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300"/>
  </bookViews>
  <sheets>
    <sheet name="July 2021" sheetId="1" r:id="rId1"/>
  </sheets>
  <definedNames>
    <definedName name="_xlnm._FilterDatabase" localSheetId="0" hidden="1">'July 2021'!$A$1:$H$1</definedName>
  </definedNames>
  <calcPr calcId="0"/>
</workbook>
</file>

<file path=xl/calcChain.xml><?xml version="1.0" encoding="utf-8"?>
<calcChain xmlns="http://schemas.openxmlformats.org/spreadsheetml/2006/main">
  <c r="C2747" i="1" l="1"/>
  <c r="G2747" i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</calcChain>
</file>

<file path=xl/sharedStrings.xml><?xml version="1.0" encoding="utf-8"?>
<sst xmlns="http://schemas.openxmlformats.org/spreadsheetml/2006/main" count="606" uniqueCount="472">
  <si>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</si>
  <si>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</si>
  <si>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</si>
  <si>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</si>
  <si>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</si>
  <si>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</si>
  <si>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</si>
  <si>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</si>
  <si>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</si>
  <si>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4IMPRINT  INC</t>
  </si>
  <si>
    <t>973 MATERIALS  LLC</t>
  </si>
  <si>
    <t>A PLUS BAIL BONDS</t>
  </si>
  <si>
    <t>ARNOLD OIL COMPANY OF AUSTIN LP</t>
  </si>
  <si>
    <t>ADAM DAKOTA ROWINS</t>
  </si>
  <si>
    <t>ADENA LEWIS</t>
  </si>
  <si>
    <t>ADVANCED GRAPHIX INC</t>
  </si>
  <si>
    <t>ALAMO  GROUP (TX)  INC</t>
  </si>
  <si>
    <t>ALBERT NEAL PFEIFFER</t>
  </si>
  <si>
    <t>TIMOTHY HALL</t>
  </si>
  <si>
    <t>AMAZON CAPITAL SERVICES INC</t>
  </si>
  <si>
    <t>AMERICAN ASSN OF NOTARIES</t>
  </si>
  <si>
    <t>AMERICAN FASTENERS  INC.</t>
  </si>
  <si>
    <t>AMERICAN TIRE DISTRIBUTORS INC</t>
  </si>
  <si>
    <t>AMERISOURCEBERGEN</t>
  </si>
  <si>
    <t>ANDERSON &amp; ANDERSON LAW FIRM PC</t>
  </si>
  <si>
    <t>ANDREW BERGER</t>
  </si>
  <si>
    <t>ANTHONY ALTGILBERS</t>
  </si>
  <si>
    <t>C APPLEMAN ENT INC</t>
  </si>
  <si>
    <t>AQUA BEVERAGE COMPANY/OZARKA</t>
  </si>
  <si>
    <t>AQUA WATER SUPPLY CORPORATION</t>
  </si>
  <si>
    <t>ARA / ST.DAVID'S IMAGING  LP</t>
  </si>
  <si>
    <t>ARSENAL ADVERTISING LLC</t>
  </si>
  <si>
    <t>ASCENSION SETON</t>
  </si>
  <si>
    <t>ASSOCIATED SUPPLY COMPANY  INC.</t>
  </si>
  <si>
    <t>ASHLEY EADES</t>
  </si>
  <si>
    <t>ASHLEY HERMANS</t>
  </si>
  <si>
    <t>ASHLEY RADDE</t>
  </si>
  <si>
    <t>AT&amp;T</t>
  </si>
  <si>
    <t>AT&amp;T MOBILITY</t>
  </si>
  <si>
    <t>BUTLER &amp; BURNS EAR NOSE &amp; THROAT ASSO</t>
  </si>
  <si>
    <t>AUSTIN REBUILDERS INC</t>
  </si>
  <si>
    <t>AUSTIN TITLE COMPANY</t>
  </si>
  <si>
    <t>AUTUMN CHEEK</t>
  </si>
  <si>
    <t>JIM ATTRA INC</t>
  </si>
  <si>
    <t>EDUARDO BARRIENTOS</t>
  </si>
  <si>
    <t>BASTROP BAIL BONDS</t>
  </si>
  <si>
    <t>BASTROP COUNTY SHERIFF'S DEPT</t>
  </si>
  <si>
    <t>BASTROP COUNTY CARES</t>
  </si>
  <si>
    <t>BASTROP COUNTY TAX ASSESSOR</t>
  </si>
  <si>
    <t>BASTROP COUNTY TAX-ASSESSOR</t>
  </si>
  <si>
    <t>BASTROP MEDICAL CLINIC</t>
  </si>
  <si>
    <t>BASTROP PROVIDENCE  LLC</t>
  </si>
  <si>
    <t>BASTROP SIGNS &amp; BANNERS</t>
  </si>
  <si>
    <t>DAVID H OUTON</t>
  </si>
  <si>
    <t>BELL COUNTY</t>
  </si>
  <si>
    <t>BELL COUNTY SHERIFF</t>
  </si>
  <si>
    <t>BEN E KEITH CO.</t>
  </si>
  <si>
    <t>B C FOOD GROUP  LLC</t>
  </si>
  <si>
    <t>BIG CITY CRUSHED CONCRETE  LLC</t>
  </si>
  <si>
    <t>BIG WRENCH ROAD SERVICE INC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</si>
  <si>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</si>
  <si>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</si>
  <si>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</si>
  <si>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</si>
  <si>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</si>
  <si>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BOBBY BROWN</t>
  </si>
  <si>
    <t>BOEHM TRACTOR SALES INC</t>
  </si>
  <si>
    <t>BRAUNTEX MATERIALS INC</t>
  </si>
  <si>
    <t>LAW OFFICE OF BRYAN W. MCDANIEL  P.C.</t>
  </si>
  <si>
    <t>BUREAU OF VITAL STATISTICS</t>
  </si>
  <si>
    <t>C.C. CREATIONS  LTD</t>
  </si>
  <si>
    <t>CALDWELL COUNTY SHERIFF</t>
  </si>
  <si>
    <t>CAMERON COUNTY SHERIFF</t>
  </si>
  <si>
    <t>CARAHSOFT TECHNOLOGY CORPORATION</t>
  </si>
  <si>
    <t>TIB-THE INDEPENDENT BANKERS BANK</t>
  </si>
  <si>
    <t>CENTERPOINT ENERGY</t>
  </si>
  <si>
    <t>CENTEX MATERIALS LLC</t>
  </si>
  <si>
    <t>CENTRAL TEXAS COMMUNITY HEALTH CENTERS</t>
  </si>
  <si>
    <t>CHARLES W CARVER</t>
  </si>
  <si>
    <t>CHARM-TEX</t>
  </si>
  <si>
    <t>CHECK PLUS STORAGE  LLC</t>
  </si>
  <si>
    <t>CHESTER McCANN</t>
  </si>
  <si>
    <t>CHRIS MATT DILLON</t>
  </si>
  <si>
    <t>CHRISTINE FILES</t>
  </si>
  <si>
    <t>CINTAS</t>
  </si>
  <si>
    <t>CINTAS CORPORATION</t>
  </si>
  <si>
    <t>CITIBANK</t>
  </si>
  <si>
    <t>CITY OF BASTROP</t>
  </si>
  <si>
    <t>CITY OF SMITHVILLE</t>
  </si>
  <si>
    <t>CLIFFORD POWER SYSTEMS INC</t>
  </si>
  <si>
    <t>CLINICAL PATHOLOGY LABORATORIES INC</t>
  </si>
  <si>
    <t>COMMUNITY COFFEE COMPANY LLC</t>
  </si>
  <si>
    <t>CONNIE CAMERON RABEL</t>
  </si>
  <si>
    <t>CONNIE SCHROEDER</t>
  </si>
  <si>
    <t>CONTECH ENGINEERED SOLUTIONS INC</t>
  </si>
  <si>
    <t>CONVERGENCE CABLING  INC.</t>
  </si>
  <si>
    <t>COOPER EQUIPMENT CO.</t>
  </si>
  <si>
    <t>COUNTY OF BEXAR - SHERIFF</t>
  </si>
  <si>
    <t>COVERTTRACK GROUP INC</t>
  </si>
  <si>
    <t>BUTLER ANIMAL HEALTH HOLDING COMPANY  LLC</t>
  </si>
  <si>
    <t>CRAIG WINTER</t>
  </si>
  <si>
    <t>FARBER INC</t>
  </si>
  <si>
    <t>CROWN CASTLE</t>
  </si>
  <si>
    <t>CUSTOM PRODUCTS CORPORATION</t>
  </si>
  <si>
    <t>DARLON J. SOJAK</t>
  </si>
  <si>
    <t>DASH MEDICAL GLOVES INC.</t>
  </si>
  <si>
    <t>DAVID B BROOKS</t>
  </si>
  <si>
    <t>DAVID C. FOLKERS  M.D.</t>
  </si>
  <si>
    <t>DAVID M COLLINS</t>
  </si>
  <si>
    <t>DE VRIES SPECIALTIES  INC</t>
  </si>
  <si>
    <t>DEAN DAIRY CORPORATE  LLC</t>
  </si>
  <si>
    <t>DELL</t>
  </si>
  <si>
    <t>DENNIS L. PARKER</t>
  </si>
  <si>
    <t>DENTRUST DENTAL TX PC</t>
  </si>
  <si>
    <t>DIANA P TRIANA</t>
  </si>
  <si>
    <t>TEXAS DEPARTMENT OF INFORMATION RESOURCES</t>
  </si>
  <si>
    <t>DISCOUNT DOOR &amp; METAL  LLC</t>
  </si>
  <si>
    <t>THE REINALT - THOMAS CORPORATION</t>
  </si>
  <si>
    <t>DISTRICT 10 TEXAS COUNTY AGRICULTURAL AGENT ASSOC</t>
  </si>
  <si>
    <t>DONNIE STARK</t>
  </si>
  <si>
    <t>DOOR CONTROL SERVICES INC</t>
  </si>
  <si>
    <t>DORA HERNANDEZ</t>
  </si>
  <si>
    <t>DOUBLE D INTERNATIONAL FOOD CO.  INC.</t>
  </si>
  <si>
    <t>DUNNE &amp; JUAREZ L.L.C.</t>
  </si>
  <si>
    <t>ECOLAB INC</t>
  </si>
  <si>
    <t>ELECTION SYSTEMS &amp; SOFTWARE INC</t>
  </si>
  <si>
    <t>CITY OF ELGIN UTILITIES</t>
  </si>
  <si>
    <t>ELLEN OWENS</t>
  </si>
  <si>
    <t>ERGON ASPHALT &amp; EMULSIONS INC</t>
  </si>
  <si>
    <t>ERIN NICKEL</t>
  </si>
  <si>
    <t>EWALD KUBOTA  INC.</t>
  </si>
  <si>
    <t>EWEAC</t>
  </si>
  <si>
    <t>BASTROP COUNTY WOMEN'S SHELTER</t>
  </si>
  <si>
    <t>FAMILY HEALTH CENTER OF BASTROP PLLC</t>
  </si>
  <si>
    <t>FAYETTE MEDICAL SUPPLY</t>
  </si>
  <si>
    <t>FEDERAL EXPRESS</t>
  </si>
  <si>
    <t>FERGUSON ENTERPRISES  INC.</t>
  </si>
  <si>
    <t>FIRST NATIONAL BANK BASTROP</t>
  </si>
  <si>
    <t>4283929 DELAWARE LLC</t>
  </si>
  <si>
    <t>FORREST L. SANDERSON</t>
  </si>
  <si>
    <t>FORT BEND COUNTY CONSTABLE PCT 4</t>
  </si>
  <si>
    <t>FRANCES HUNTER</t>
  </si>
  <si>
    <t>FRANK DELGADO</t>
  </si>
  <si>
    <t>FRONTIER BANK</t>
  </si>
  <si>
    <t>FT. BEND COUNTY SHERIFF</t>
  </si>
  <si>
    <t>EUGENE W BRIGGS JR</t>
  </si>
  <si>
    <t>GALVESTON COUNTY SHERIFF</t>
  </si>
  <si>
    <t>GARMENTS TO GO  INC</t>
  </si>
  <si>
    <t>GIPSON PENDERGRASS PEOPLE'S MORTUARY LLC</t>
  </si>
  <si>
    <t>GOVERNMENT PAYMENTS</t>
  </si>
  <si>
    <t>GRAINGER INC</t>
  </si>
  <si>
    <t>GREG E NORMAN</t>
  </si>
  <si>
    <t>GABRIEL  ROEDER  SMITH &amp; COMPANY</t>
  </si>
  <si>
    <t>GT DISTRIBUTORS  INC.</t>
  </si>
  <si>
    <t>GTS TECHNOLOGY SOLUTIONS  INC.</t>
  </si>
  <si>
    <t>GULF COAST PAPER CO. INC.</t>
  </si>
  <si>
    <t>H&amp;H OIL  L.P.</t>
  </si>
  <si>
    <t>H.A. GRAY &amp; ASSOCIATES</t>
  </si>
  <si>
    <t>HALFF ASSOCIATES</t>
  </si>
  <si>
    <t>HARRIS COUNTY CONSTABLE PCT 1</t>
  </si>
  <si>
    <t>HAYS COUNTY CONSTABLE PCT 1</t>
  </si>
  <si>
    <t>HAYS COUNTY CONSTABLE PCT 5</t>
  </si>
  <si>
    <t>HCI</t>
  </si>
  <si>
    <t>HENGST PRINTING &amp; SUPPLIES</t>
  </si>
  <si>
    <t>HERTZ CORPORATION</t>
  </si>
  <si>
    <t>HIDALGO COUNTY SHERIFF</t>
  </si>
  <si>
    <t>HINES  RANC &amp; HOLUB</t>
  </si>
  <si>
    <t>BASCOM L HODGES JR</t>
  </si>
  <si>
    <t>HODGSON G ECKEL</t>
  </si>
  <si>
    <t>BD HOLT CO</t>
  </si>
  <si>
    <t>CITIBANK (SOUTH DAKOTA)N.A./THE HOME DEPOT</t>
  </si>
  <si>
    <t>NORTHWEST CASCADE INC</t>
  </si>
  <si>
    <t>GREGORY LUCAS</t>
  </si>
  <si>
    <t>HOUSE OF CHEMICALS INC</t>
  </si>
  <si>
    <t>HYDRAULIC HOUSE INC</t>
  </si>
  <si>
    <t>PETER SMART</t>
  </si>
  <si>
    <t>HYON CHRISTOPHER SHIN  M.D.  P.A.</t>
  </si>
  <si>
    <t>ICS</t>
  </si>
  <si>
    <t>IDEXX DISTRIBUTION INC</t>
  </si>
  <si>
    <t>INDIGENT HEALTHCARE SOLUTIONS</t>
  </si>
  <si>
    <t>IRON MOUNTAIN RECORDS MGMT INC</t>
  </si>
  <si>
    <t>ISHA REALTY INC</t>
  </si>
  <si>
    <t>IVANKA LILLIE</t>
  </si>
  <si>
    <t>JACO INDUSTRIAL SUPPLY  INC</t>
  </si>
  <si>
    <t>JAMES DAVENPORT</t>
  </si>
  <si>
    <t>JAY VOIGT</t>
  </si>
  <si>
    <t>JAYCEE DAWSON</t>
  </si>
  <si>
    <t>JENKINS &amp; JENKINS LLP</t>
  </si>
  <si>
    <t>JOHN MATTHEW FABIAN  PSY.D. J.D. LLC.</t>
  </si>
  <si>
    <t>JON ETHEREDGE</t>
  </si>
  <si>
    <t>BILLY JOSHUA GILL</t>
  </si>
  <si>
    <t>JUSTIN MATTHEW FOHN</t>
  </si>
  <si>
    <t>KAREN STARKS</t>
  </si>
  <si>
    <t>KATHERINE BILOF</t>
  </si>
  <si>
    <t>KENNETH E. LIMUEL JR</t>
  </si>
  <si>
    <t>KENT BROUSSARD TOWER RENTAL INC</t>
  </si>
  <si>
    <t>KOETTER FIRE PROTECTION OF AUSTIN  LLC</t>
  </si>
  <si>
    <t>THE LA GRANGE PARTS HOUSE INC</t>
  </si>
  <si>
    <t>LABATT INSTITUTIONAL SUPPLY CO</t>
  </si>
  <si>
    <t>LANTANA SEPTIC LLC</t>
  </si>
  <si>
    <t>LARA WILSON</t>
  </si>
  <si>
    <t>LAURA ROBERTSON</t>
  </si>
  <si>
    <t>LEE COUNTY WATER SUPPLY CORP</t>
  </si>
  <si>
    <t>LENNOX INDUSTRIES INC</t>
  </si>
  <si>
    <t>LEON SCAIFE</t>
  </si>
  <si>
    <t>LEXISNEXIS RISK DATA MGMT INC</t>
  </si>
  <si>
    <t>LIBERTY COUNTY SHERIFF</t>
  </si>
  <si>
    <t>LIBERTY TIRE RECYCLING</t>
  </si>
  <si>
    <t>LINDSEY HARRELL</t>
  </si>
  <si>
    <t>LISA SMITH</t>
  </si>
  <si>
    <t>LOCTEK  INC.</t>
  </si>
  <si>
    <t>LONE STAR CIRCLE OF CARE</t>
  </si>
  <si>
    <t>UNITED KWB COLLABORATIONS LLC</t>
  </si>
  <si>
    <t>LONGHORN EMERGENCY MEDICAL ASSOC PA</t>
  </si>
  <si>
    <t>LONNIE LAWRENCE DAVIS JR</t>
  </si>
  <si>
    <t>LOWE'S</t>
  </si>
  <si>
    <t>LYNN PEAVEY CO.</t>
  </si>
  <si>
    <t>MAGIC TOUCH CLEANING SYSTEMS LLC</t>
  </si>
  <si>
    <t>MARK HANNA</t>
  </si>
  <si>
    <t>MARK MEUTH</t>
  </si>
  <si>
    <t>MARK T. MALONE  M.D. P.A</t>
  </si>
  <si>
    <t>JOHN W GASPARINI INC</t>
  </si>
  <si>
    <t>MATHESON TRI-GAS INC</t>
  </si>
  <si>
    <t>MATTHEW PLOCICA</t>
  </si>
  <si>
    <t>MAURICE C. COOK</t>
  </si>
  <si>
    <t>MC LENNAN COUNTY CONSTABLE PCT 1</t>
  </si>
  <si>
    <t>McCOY'S BUILDING SUPPLY CENTER</t>
  </si>
  <si>
    <t>McCREARY  VESELKA  BRAGG &amp; ALLEN P</t>
  </si>
  <si>
    <t>JAMES CHRISTOPHER MCDOWELL</t>
  </si>
  <si>
    <t>McKESSON MEDICAL-SURGICAL GOVERNMENT SOLUTIONS LLC</t>
  </si>
  <si>
    <t>MEDIMPACT HEALTHCARE SYSTEMS INC</t>
  </si>
  <si>
    <t>MELLANIE MICKELSON</t>
  </si>
  <si>
    <t>MENTALIX INC</t>
  </si>
  <si>
    <t>MICHAEL D WOOD</t>
  </si>
  <si>
    <t>MIDTEX MATERIALS</t>
  </si>
  <si>
    <t>FRANCES ELIZABETH DRUCK</t>
  </si>
  <si>
    <t>DOUGLAS JOHN ARNEW</t>
  </si>
  <si>
    <t>TERRI LYNNE HOCKER</t>
  </si>
  <si>
    <t>STEVEN LANCE DODSON</t>
  </si>
  <si>
    <t>KENNETH RAY HENRY SR</t>
  </si>
  <si>
    <t>CHRISTOPHER GEORGE SMITH</t>
  </si>
  <si>
    <t>DORIS WILHELM FORADORY</t>
  </si>
  <si>
    <t>RICHARD GERARD AMAYA</t>
  </si>
  <si>
    <t>TILDA ANDERSON STOVAL</t>
  </si>
  <si>
    <t>BROOKS JASSON MALAER</t>
  </si>
  <si>
    <t>SHELBY SCHROEDER ESKEW</t>
  </si>
  <si>
    <t>BLINDA LEE BETHEL</t>
  </si>
  <si>
    <t>SHERRY ANN HARPER</t>
  </si>
  <si>
    <t>EDDY JOE CONNER</t>
  </si>
  <si>
    <t>SHALILA HILLERY</t>
  </si>
  <si>
    <t>SUSAN MARIE SCHROEDER</t>
  </si>
  <si>
    <t>DAVID CARROL ASHLEY</t>
  </si>
  <si>
    <t>KAY CROWELL WESSON</t>
  </si>
  <si>
    <t>SHERRE DAWN HOWELL</t>
  </si>
  <si>
    <t>AMY MICHELLE COLTER</t>
  </si>
  <si>
    <t>JOE MICHAEL BIEN</t>
  </si>
  <si>
    <t>ROBERT ALAN DENNIS</t>
  </si>
  <si>
    <t>DELBERT FRANKLIN OSBURN</t>
  </si>
  <si>
    <t>ALAN JOE LONG</t>
  </si>
  <si>
    <t>GEORGE EDWARD MEREDITH</t>
  </si>
  <si>
    <t>ADELAIDA DIMAS</t>
  </si>
  <si>
    <t>KIRSTEN GILLIAM GLENN</t>
  </si>
  <si>
    <t>ELIZABETH VALLE</t>
  </si>
  <si>
    <t>STARBUCK LYNN GAUL</t>
  </si>
  <si>
    <t>SUSANA SALAZAR ELIZONDO</t>
  </si>
  <si>
    <t>CLARK RONALD BERNHARD</t>
  </si>
  <si>
    <t>ELEAZAR ALVAREZ CASTILLO</t>
  </si>
  <si>
    <t>MARTHA ANGELA MORALES</t>
  </si>
  <si>
    <t>HEATH EDWARD FREPPON</t>
  </si>
  <si>
    <t>DIANA CORTES-SUAREZ</t>
  </si>
  <si>
    <t>GLENIS JANELL MCBEE</t>
  </si>
  <si>
    <t>BRAD KIRK GRYDER</t>
  </si>
  <si>
    <t>JENNIFER MELISSA WISIAN</t>
  </si>
  <si>
    <t>JEFF BELL MILLER JR</t>
  </si>
  <si>
    <t>DENNIS C GRAY</t>
  </si>
  <si>
    <t>ROBIN RAE CORUM</t>
  </si>
  <si>
    <t>ROBIN LYNN LILLEY</t>
  </si>
  <si>
    <t>MICHAEL PATRICK BASKIN</t>
  </si>
  <si>
    <t>TRACY LYNN HENSON</t>
  </si>
  <si>
    <t>MOHAMMAD KHAN</t>
  </si>
  <si>
    <t>MOTOROLA SOLUTIONS  IN.C</t>
  </si>
  <si>
    <t>MOUNTAIN WEST DERM-AUSTIN PLLC</t>
  </si>
  <si>
    <t>EK&amp;R ENTERPRISES  INC</t>
  </si>
  <si>
    <t>MUSTANG MACHINERY COMPANY LTD</t>
  </si>
  <si>
    <t>NALCO COMPANY LLC</t>
  </si>
  <si>
    <t>NATIONAL FOOD GROUP INC</t>
  </si>
  <si>
    <t>NETSYNC NETWORK SOUTIONS INC.</t>
  </si>
  <si>
    <t>O'REILLY AUTOMOTIVE  INC.</t>
  </si>
  <si>
    <t>OFFICE DEPOT</t>
  </si>
  <si>
    <t>OMNIBASE SERVICES OF TEXAS LP</t>
  </si>
  <si>
    <t>ROGER C. OSBORN</t>
  </si>
  <si>
    <t>OPERATIONAL SUPPORT SERVICES INC</t>
  </si>
  <si>
    <t>OTHRAM INC.</t>
  </si>
  <si>
    <t>P SQUARED EMULSION PLANTS  LLC</t>
  </si>
  <si>
    <t>PAPER RETRIEVER OF TEXAS</t>
  </si>
  <si>
    <t>SL PARKER PARTNERSHIP LLC</t>
  </si>
  <si>
    <t>PATRICK ELECTRIC SERVICE</t>
  </si>
  <si>
    <t>PATSY MCMANUS-MIRELES</t>
  </si>
  <si>
    <t>PATTERSON  VETERINARY SUPPLY INC</t>
  </si>
  <si>
    <t>PAUL GRANADO</t>
  </si>
  <si>
    <t>PERDUE  BRANDON  FIELDER  COLLINS &amp; MOTT LLP</t>
  </si>
  <si>
    <t>PHILIP R DUCLOUX</t>
  </si>
  <si>
    <t>PB PROFESSIONAL SERVICES INC</t>
  </si>
  <si>
    <t>PITNEY BOWES GLOBAL FINANCIAL SERVICES</t>
  </si>
  <si>
    <t>PM WILSON &amp; ASSOCIATES PLLC</t>
  </si>
  <si>
    <t>POST OAK HARDWARE  INC.</t>
  </si>
  <si>
    <t>JOHN DEERE FINANCIAL f.s.b.</t>
  </si>
  <si>
    <t>PRO SERVE ENTERPRISE INC</t>
  </si>
  <si>
    <t>PTS OF AMERICA  LLC</t>
  </si>
  <si>
    <t>QUEST DIAGNOSTICS CLINICAL LABORATORIES</t>
  </si>
  <si>
    <t>R.R. BRINK LOCKING SYSTEMS INC</t>
  </si>
  <si>
    <t>RANDY MC MILLAN</t>
  </si>
  <si>
    <t>NESTLE WATERS N AMERICA INC</t>
  </si>
  <si>
    <t>REBECCA FEAGIN</t>
  </si>
  <si>
    <t>REBECCA STRNAD</t>
  </si>
  <si>
    <t>RED WING BUSINESS ADVANTAGE ACCOUNT</t>
  </si>
  <si>
    <t>NRG ENERGY INC</t>
  </si>
  <si>
    <t>RESERVE ACCOUNT</t>
  </si>
  <si>
    <t>MIKE DAVIS</t>
  </si>
  <si>
    <t>ROADRUNNER PHARMACY  INC.</t>
  </si>
  <si>
    <t>ROADRUNNER RADIOLOGY EQUIP LLC</t>
  </si>
  <si>
    <t>ROGELIO MENDOZA</t>
  </si>
  <si>
    <t>ROSE PIETSCH COUNTY CLERK</t>
  </si>
  <si>
    <t>ST DAVID'S HEALTHCARE PARTNERSHIP</t>
  </si>
  <si>
    <t>SAMMY LERMA III MD</t>
  </si>
  <si>
    <t>SECURETECH SYSTEMS  INC.</t>
  </si>
  <si>
    <t>SECURUS TECHNOLOGIES INC</t>
  </si>
  <si>
    <t>SETON HEALTHCARE SPONSORED PROJECTS</t>
  </si>
  <si>
    <t>SHARON HANCOCK</t>
  </si>
  <si>
    <t>FERRELLGAS  LP</t>
  </si>
  <si>
    <t>SHI GOVERNMENT SOLUTIONS INC.</t>
  </si>
  <si>
    <t>SHOPPA'S FARM SUPPLY</t>
  </si>
  <si>
    <t>SHRED-IT US HOLDCO  INC</t>
  </si>
  <si>
    <t>RONALD JOHN CALDWELL JR</t>
  </si>
  <si>
    <t>SINGLETON ASSOCIATES  PA</t>
  </si>
  <si>
    <t>SKYLINE EQUIPMENT LLC</t>
  </si>
  <si>
    <t>SMITH STORES  INC.</t>
  </si>
  <si>
    <t>SMITHVILLE AUTO PARTS  INC</t>
  </si>
  <si>
    <t>SOUTH CENTRAL PLANNING AND DEVELOPMENT COMMISSION</t>
  </si>
  <si>
    <t>SOUTHERN COMPUTER WAREHOUSE INC</t>
  </si>
  <si>
    <t>SOUTHERN TIRE MART LLC</t>
  </si>
  <si>
    <t>DS WATERS OF AMERICA INC</t>
  </si>
  <si>
    <t>SPECIALTY VETERINARY PHARMACY INC</t>
  </si>
  <si>
    <t>SRIDHAR P REDDY MD PA</t>
  </si>
  <si>
    <t>ST. DAVIDS HEART &amp; VASCULAR  PLLC</t>
  </si>
  <si>
    <t>ST. MARK'S MEDICAL CENTER</t>
  </si>
  <si>
    <t>STAPLES  INC.</t>
  </si>
  <si>
    <t>STATE OF TEXAS</t>
  </si>
  <si>
    <t>STERICYCLE  INC.</t>
  </si>
  <si>
    <t>STOP STICK  LTD</t>
  </si>
  <si>
    <t>STRATEGIC EQUIPMENT  LLC</t>
  </si>
  <si>
    <t>MATTHEW LEE SULLINS</t>
  </si>
  <si>
    <t>SUN COAST RESOURCES</t>
  </si>
  <si>
    <t>SUNSHIELD WINDOW TINTING</t>
  </si>
  <si>
    <t>T-MOBILE USA</t>
  </si>
  <si>
    <t>TEXAS ASSOCIATION OF ASSESSING OFFICERS</t>
  </si>
  <si>
    <t>TARRANT COUNTY CONSTABLE PCT 1</t>
  </si>
  <si>
    <t>TARRANT COUNTY CONSTABLE PCT 4</t>
  </si>
  <si>
    <t>TARRANT COUNTY CONSTABLE PCT 5</t>
  </si>
  <si>
    <t>TAVCO SERVICES INC</t>
  </si>
  <si>
    <t>TEXAS DISTRICT &amp; COUNTY ATTORNEYS ASSOCIATION</t>
  </si>
  <si>
    <t>TEJAS ELEVATOR COMPANY</t>
  </si>
  <si>
    <t>AIR RELIEF TECHNOLOGIES  INC</t>
  </si>
  <si>
    <t>TEX-CON OIL CO</t>
  </si>
  <si>
    <t>TEXAN EYE  P.A.</t>
  </si>
  <si>
    <t>TEXAS ASSOCIATES INSURORS AGENCY</t>
  </si>
  <si>
    <t>TEXAS ASSOCIATION OF COUNTIES</t>
  </si>
  <si>
    <t>TEXAS COLLEGE OF PROBATE JUDGES</t>
  </si>
  <si>
    <t>TEXAS CRUSHED STONE CO.</t>
  </si>
  <si>
    <t>TEXAS DECON LLC</t>
  </si>
  <si>
    <t>TEXAS DEPT OF PUBLIC SAFETY</t>
  </si>
  <si>
    <t>TEXAS DISPOSAL SYSTEMS  INC.</t>
  </si>
  <si>
    <t>TEXAS FLOODPLAIN MANAGEMENT ASSOCIATION</t>
  </si>
  <si>
    <t>TXFACT  LLC</t>
  </si>
  <si>
    <t>TEXAS HOTEL &amp; LODGING ASSN</t>
  </si>
  <si>
    <t>TEXAS JUSTICE COURT TRAINING CENTER</t>
  </si>
  <si>
    <t>TEXAS MATERIALS GROUP  INC.</t>
  </si>
  <si>
    <t>TEXAS PARKS &amp; WILDLIFE DEPARTMENT</t>
  </si>
  <si>
    <t>BUG MASTER EXTERMINATING SERVICES  LTD</t>
  </si>
  <si>
    <t>JAMES ANDREW CASEY</t>
  </si>
  <si>
    <t>SANDRA FAYE ROBINSON</t>
  </si>
  <si>
    <t>RICHARD NELSON MOORE</t>
  </si>
  <si>
    <t>THOMAS COOK</t>
  </si>
  <si>
    <t>WEST PUBLISHING CORPORATION</t>
  </si>
  <si>
    <t>TIM SPARKMAN</t>
  </si>
  <si>
    <t>TWE-ADVANCE/NEWHOUSE PARTNERSHIP</t>
  </si>
  <si>
    <t>TELVA D KESLER</t>
  </si>
  <si>
    <t>TNOA-CENTRAL REGION</t>
  </si>
  <si>
    <t>TOMMY POTTS</t>
  </si>
  <si>
    <t>TRACTOR SUPPLY CREDIT PLAN</t>
  </si>
  <si>
    <t>TRAVIS COUNTY CONSTABLE PCT 5</t>
  </si>
  <si>
    <t>TRAVIS COUNTY EMERGENCY PHYSICIANS PA</t>
  </si>
  <si>
    <t>TRAVIS COUNTY MEDICAL EXAMINER</t>
  </si>
  <si>
    <t>TRAVIS MATERIALS GROUP LTD</t>
  </si>
  <si>
    <t>SETON FAMILY OF DOCTORS</t>
  </si>
  <si>
    <t>TULL FARLEY</t>
  </si>
  <si>
    <t>TVMDL</t>
  </si>
  <si>
    <t>TYLER TECHNOLOGIES INC</t>
  </si>
  <si>
    <t>ULINE  INC.</t>
  </si>
  <si>
    <t>UNITED REFRIGERATION INC</t>
  </si>
  <si>
    <t>SETON FAMILY OF HOSPITALS</t>
  </si>
  <si>
    <t>U S ANESTHESIA PARTNERS OF TEXAS PA</t>
  </si>
  <si>
    <t>VERMEER EQUIPMENT OF TEXAS  INC.</t>
  </si>
  <si>
    <t>TEXAS DEPARTMENT OF STATE HEALTH SERVICES</t>
  </si>
  <si>
    <t>VOTEC CORPORATION</t>
  </si>
  <si>
    <t>US BANK NA</t>
  </si>
  <si>
    <t>VTX COMMUNICATIONS  LLC</t>
  </si>
  <si>
    <t>VULCAN  INC.</t>
  </si>
  <si>
    <t>WAGEWORKS INC  FSA/HSA</t>
  </si>
  <si>
    <t>WALLER COUNTY ASPHALT INC</t>
  </si>
  <si>
    <t>WASTE CONNECTIONS LONE STAR. INC.</t>
  </si>
  <si>
    <t>WASTE MANAGEMENT OF TEXAS  INC</t>
  </si>
  <si>
    <t>WAYNE WOOD</t>
  </si>
  <si>
    <t>WIND KNOT INCORPORATED</t>
  </si>
  <si>
    <t>WELLS FARGO BANK  NA</t>
  </si>
  <si>
    <t>LEYLA YATIM-ALIN</t>
  </si>
  <si>
    <t>MAO PHARMACY INC</t>
  </si>
  <si>
    <t>WILLIAMSON COUNTY CONSTABLE PCT 2</t>
  </si>
  <si>
    <t>WILLIAMSON COUNTY CONSTABLE PCT 1</t>
  </si>
  <si>
    <t>WINZER CORPORATION</t>
  </si>
  <si>
    <t>XMEDIUS SOLUTIONS INC.</t>
  </si>
  <si>
    <t>YVONNE ROCHA</t>
  </si>
  <si>
    <t>ZBATTERY.COM INC</t>
  </si>
  <si>
    <t>ZOETIS US LLC</t>
  </si>
  <si>
    <t>BECK-REIT AND SONS  LTD</t>
  </si>
  <si>
    <t>BEFCO ENGINEERING INC</t>
  </si>
  <si>
    <t>FIRST NATIONAL BANK</t>
  </si>
  <si>
    <t>H2O PARTNERS</t>
  </si>
  <si>
    <t>LANGFORD COMMUNITY MGMT INC</t>
  </si>
  <si>
    <t>LEE CONSTRUCTION &amp; MAINTENANCE COMPANY</t>
  </si>
  <si>
    <t>PREFERRED TECHNOLOGIES  LLC</t>
  </si>
  <si>
    <t>ROBERT C. STEUBING</t>
  </si>
  <si>
    <t>SARAH D. JACKSON</t>
  </si>
  <si>
    <t>SIGNATURE PROMOTIONAL GROUP  LLC</t>
  </si>
  <si>
    <t>U.S. BANK NATIONAL ASSOCIATION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</si>
  <si>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</si>
  <si>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</si>
  <si>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</si>
  <si>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</si>
  <si>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</si>
  <si>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GUARDIAN</t>
  </si>
  <si>
    <t>INDIANA STATE CENTRAL COLLECTION UNIT</t>
  </si>
  <si>
    <t>IRS-PAYROLL TAXES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</si>
  <si>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</si>
  <si>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</si>
  <si>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</si>
  <si>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</si>
  <si>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</si>
  <si>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</si>
  <si>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GATEHOUSE MEDIA TEXAS HOLDINGS II  INC.</t>
  </si>
  <si>
    <t>MICHAEL OLDHAM TIRE INC</t>
  </si>
  <si>
    <t>MULTI SERVICE TECHNOLOGY SOLUTIONS  INC.</t>
  </si>
  <si>
    <t>CAPITAL AREA COUNCIL OF GOVERNMENTS</t>
  </si>
  <si>
    <t>NEW URBAN RESEARCH  INC</t>
  </si>
  <si>
    <t>MUNICIPAL SERVICES BUREAU/GILA GROUP</t>
  </si>
  <si>
    <t>DICKENS LOCKSMITH INC</t>
  </si>
  <si>
    <t>GALLS PARENT HOLDINGS LLC</t>
  </si>
  <si>
    <t>ISLAND HOSPITALITY MANAGEMENT INC</t>
  </si>
  <si>
    <t>KELLY-MOORE PAINT COMPANY  INC</t>
  </si>
  <si>
    <t>SPI OLEANDER LTD</t>
  </si>
  <si>
    <t>NATIONAL NOTARY ASSOCIATION</t>
  </si>
  <si>
    <t>NEWSPAPERS.COM</t>
  </si>
  <si>
    <t>LR SATX LLC</t>
  </si>
  <si>
    <t>BASTROP CAR WASH SERVICES LLC</t>
  </si>
  <si>
    <t>RUNKLE ENTERPRISES</t>
  </si>
  <si>
    <t>ROBERT MADDEN INDUSTRIES LTD</t>
  </si>
  <si>
    <t>SAM HOUSTON STATE UNIVERSITY</t>
  </si>
  <si>
    <t>DSFP HOST LLC</t>
  </si>
  <si>
    <t>TEXAS AIR CONDITIONING CONTRACTORS ASSCOIATION</t>
  </si>
  <si>
    <t>TEXAS A&amp;M AGRILIFE EXTENSION</t>
  </si>
  <si>
    <t>TEXAS DEPARTMENT OF LICENSING &amp; REGULATION</t>
  </si>
  <si>
    <t>VISTAPRINT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</si>
</sst>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mm/d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165" fontId="18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0" fontId="18" fillId="0" borderId="0" xfId="1" applyNumberFormat="1" applyFont="1"/>
    <xf numFmtId="40" fontId="0" fillId="0" borderId="0" xfId="1" applyNumberFormat="1" applyFont="1"/>
    <xf numFmtId="40" fontId="0" fillId="0" borderId="10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48"/>
  <sheetViews>
    <sheetView tabSelected="1" workbookViewId="0"/>
  </sheetViews>
  <sheetFormatPr defaultRowHeight="15" x14ac:dyDescent="0.25"/>
  <cols>
    <col min="1" max="1" width="37.28515625" customWidth="1"/>
    <col min="3" max="3" width="13.28515625" style="5" bestFit="1" customWidth="1"/>
    <col min="4" max="4" width="13.140625" style="3" bestFit="1" customWidth="1"/>
    <col min="5" max="5" width="19.42578125" bestFit="1" customWidth="1"/>
    <col min="6" max="6" width="35.28515625" bestFit="1" customWidth="1"/>
    <col min="7" max="7" width="19.7109375" style="5" bestFit="1" customWidth="1"/>
    <col min="8" max="8" width="35.28515625" bestFit="1" customWidth="1"/>
  </cols>
  <sheetData>
    <row r="1" spans="1:8" s="1" customFormat="1" x14ac:dyDescent="0.25">
      <c r="A1" s="1" t="s">
        <v>0</v>
      </c>
      <c r="B1" s="1" t="s">
        <v>1</v>
      </c>
      <c r="C1" s="4" t="s">
        <v>2</v>
      </c>
      <c r="D1" s="2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 x14ac:dyDescent="0.25">
      <c r="A2" t="s">
        <v>8</v>
      </c>
      <c r="B2">
        <v>136163</v>
      </c>
      <c r="C2" s="5">
        <v>135</v>
      </c>
      <c r="D2" s="3">
        <v>44389</v>
      </c>
      <c r="E2" t="str">
        <f>"202107074411"</f>
        <v>202107074411</v>
      </c>
      <c r="F2" t="str">
        <f>"REIMBURSE COUPON#23340/26254"</f>
        <v>REIMBURSE COUPON#23340/26254</v>
      </c>
      <c r="G2" s="5">
        <v>135</v>
      </c>
      <c r="H2" t="str">
        <f>"REIMBURSE COUPON#23340/26254"</f>
        <v>REIMBURSE COUPON#23340/26254</v>
      </c>
    </row>
    <row r="3" spans="1:8" x14ac:dyDescent="0.25">
      <c r="A3" t="s">
        <v>9</v>
      </c>
      <c r="B3">
        <v>4783</v>
      </c>
      <c r="C3" s="5">
        <v>738.88</v>
      </c>
      <c r="D3" s="3">
        <v>44404</v>
      </c>
      <c r="E3" t="str">
        <f>"21249721"</f>
        <v>21249721</v>
      </c>
      <c r="F3" t="str">
        <f>"Lanyards"</f>
        <v>Lanyards</v>
      </c>
      <c r="G3" s="5">
        <v>738.88</v>
      </c>
      <c r="H3" t="str">
        <f>"Lanyard Card"</f>
        <v>Lanyard Card</v>
      </c>
    </row>
    <row r="4" spans="1:8" x14ac:dyDescent="0.25">
      <c r="E4" t="str">
        <f>""</f>
        <v/>
      </c>
      <c r="F4" t="str">
        <f>""</f>
        <v/>
      </c>
      <c r="H4" t="str">
        <f>"Freight"</f>
        <v>Freight</v>
      </c>
    </row>
    <row r="5" spans="1:8" x14ac:dyDescent="0.25">
      <c r="E5" t="str">
        <f>""</f>
        <v/>
      </c>
      <c r="F5" t="str">
        <f>""</f>
        <v/>
      </c>
      <c r="H5" t="str">
        <f>"Two Pocket Folder"</f>
        <v>Two Pocket Folder</v>
      </c>
    </row>
    <row r="6" spans="1:8" x14ac:dyDescent="0.25">
      <c r="E6" t="str">
        <f>""</f>
        <v/>
      </c>
      <c r="F6" t="str">
        <f>""</f>
        <v/>
      </c>
      <c r="H6" t="str">
        <f>"Set-up Charge"</f>
        <v>Set-up Charge</v>
      </c>
    </row>
    <row r="7" spans="1:8" x14ac:dyDescent="0.25">
      <c r="E7" t="str">
        <f>""</f>
        <v/>
      </c>
      <c r="F7" t="str">
        <f>""</f>
        <v/>
      </c>
      <c r="H7" t="str">
        <f>"Discount"</f>
        <v>Discount</v>
      </c>
    </row>
    <row r="8" spans="1:8" x14ac:dyDescent="0.25">
      <c r="E8" t="str">
        <f>""</f>
        <v/>
      </c>
      <c r="F8" t="str">
        <f>""</f>
        <v/>
      </c>
      <c r="H8" t="str">
        <f>"Freight"</f>
        <v>Freight</v>
      </c>
    </row>
    <row r="9" spans="1:8" x14ac:dyDescent="0.25">
      <c r="A9" t="s">
        <v>10</v>
      </c>
      <c r="B9">
        <v>4703</v>
      </c>
      <c r="C9" s="5">
        <v>5742.63</v>
      </c>
      <c r="D9" s="3">
        <v>44390</v>
      </c>
      <c r="E9" t="str">
        <f>"202107064267"</f>
        <v>202107064267</v>
      </c>
      <c r="F9" t="str">
        <f t="shared" ref="F9:F16" si="0">"ACCT#9725-001/PCT#2"</f>
        <v>ACCT#9725-001/PCT#2</v>
      </c>
      <c r="G9" s="5">
        <v>437.85</v>
      </c>
      <c r="H9" t="str">
        <f t="shared" ref="H9:H16" si="1">"ACCT#9725-001/PCT#2"</f>
        <v>ACCT#9725-001/PCT#2</v>
      </c>
    </row>
    <row r="10" spans="1:8" x14ac:dyDescent="0.25">
      <c r="E10" t="str">
        <f>"9725-001-121992"</f>
        <v>9725-001-121992</v>
      </c>
      <c r="F10" t="str">
        <f t="shared" si="0"/>
        <v>ACCT#9725-001/PCT#2</v>
      </c>
      <c r="G10" s="5">
        <v>442.71</v>
      </c>
      <c r="H10" t="str">
        <f t="shared" si="1"/>
        <v>ACCT#9725-001/PCT#2</v>
      </c>
    </row>
    <row r="11" spans="1:8" x14ac:dyDescent="0.25">
      <c r="E11" t="str">
        <f>"9725-001-122007"</f>
        <v>9725-001-122007</v>
      </c>
      <c r="F11" t="str">
        <f t="shared" si="0"/>
        <v>ACCT#9725-001/PCT#2</v>
      </c>
      <c r="G11" s="5">
        <v>416.16</v>
      </c>
      <c r="H11" t="str">
        <f t="shared" si="1"/>
        <v>ACCT#9725-001/PCT#2</v>
      </c>
    </row>
    <row r="12" spans="1:8" x14ac:dyDescent="0.25">
      <c r="E12" t="str">
        <f>"9725-001-122025"</f>
        <v>9725-001-122025</v>
      </c>
      <c r="F12" t="str">
        <f t="shared" si="0"/>
        <v>ACCT#9725-001/PCT#2</v>
      </c>
      <c r="G12" s="5">
        <v>434.34</v>
      </c>
      <c r="H12" t="str">
        <f t="shared" si="1"/>
        <v>ACCT#9725-001/PCT#2</v>
      </c>
    </row>
    <row r="13" spans="1:8" x14ac:dyDescent="0.25">
      <c r="E13" t="str">
        <f>"9725-001-122047"</f>
        <v>9725-001-122047</v>
      </c>
      <c r="F13" t="str">
        <f t="shared" si="0"/>
        <v>ACCT#9725-001/PCT#2</v>
      </c>
      <c r="G13" s="5">
        <v>429.21</v>
      </c>
      <c r="H13" t="str">
        <f t="shared" si="1"/>
        <v>ACCT#9725-001/PCT#2</v>
      </c>
    </row>
    <row r="14" spans="1:8" x14ac:dyDescent="0.25">
      <c r="E14" t="str">
        <f>"9725-001-122063"</f>
        <v>9725-001-122063</v>
      </c>
      <c r="F14" t="str">
        <f t="shared" si="0"/>
        <v>ACCT#9725-001/PCT#2</v>
      </c>
      <c r="G14" s="5">
        <v>441.27</v>
      </c>
      <c r="H14" t="str">
        <f t="shared" si="1"/>
        <v>ACCT#9725-001/PCT#2</v>
      </c>
    </row>
    <row r="15" spans="1:8" x14ac:dyDescent="0.25">
      <c r="E15" t="str">
        <f>"9725-001-122113"</f>
        <v>9725-001-122113</v>
      </c>
      <c r="F15" t="str">
        <f t="shared" si="0"/>
        <v>ACCT#9725-001/PCT#2</v>
      </c>
      <c r="G15" s="5">
        <v>436.5</v>
      </c>
      <c r="H15" t="str">
        <f t="shared" si="1"/>
        <v>ACCT#9725-001/PCT#2</v>
      </c>
    </row>
    <row r="16" spans="1:8" x14ac:dyDescent="0.25">
      <c r="E16" t="str">
        <f>"9725-001-122138"</f>
        <v>9725-001-122138</v>
      </c>
      <c r="F16" t="str">
        <f t="shared" si="0"/>
        <v>ACCT#9725-001/PCT#2</v>
      </c>
      <c r="G16" s="5">
        <v>222.21</v>
      </c>
      <c r="H16" t="str">
        <f t="shared" si="1"/>
        <v>ACCT#9725-001/PCT#2</v>
      </c>
    </row>
    <row r="17" spans="1:8" x14ac:dyDescent="0.25">
      <c r="E17" t="str">
        <f>"9725-004-122122"</f>
        <v>9725-004-122122</v>
      </c>
      <c r="F17" t="str">
        <f>"ACCT#9725-004/PCT#1"</f>
        <v>ACCT#9725-004/PCT#1</v>
      </c>
      <c r="G17" s="5">
        <v>779.4</v>
      </c>
      <c r="H17" t="str">
        <f>"ACCT#9725-004/PCT#1"</f>
        <v>ACCT#9725-004/PCT#1</v>
      </c>
    </row>
    <row r="18" spans="1:8" x14ac:dyDescent="0.25">
      <c r="E18" t="str">
        <f>"9725-004-122193"</f>
        <v>9725-004-122193</v>
      </c>
      <c r="F18" t="str">
        <f>"ACCT#9725-004/PCT#1"</f>
        <v>ACCT#9725-004/PCT#1</v>
      </c>
      <c r="G18" s="5">
        <v>1702.98</v>
      </c>
      <c r="H18" t="str">
        <f>"ACCT#9725-004/PCT#1"</f>
        <v>ACCT#9725-004/PCT#1</v>
      </c>
    </row>
    <row r="19" spans="1:8" x14ac:dyDescent="0.25">
      <c r="A19" t="s">
        <v>10</v>
      </c>
      <c r="B19">
        <v>4780</v>
      </c>
      <c r="C19" s="5">
        <v>3224.52</v>
      </c>
      <c r="D19" s="3">
        <v>44404</v>
      </c>
      <c r="E19" t="str">
        <f>"9725-001-122254"</f>
        <v>9725-001-122254</v>
      </c>
      <c r="F19" t="str">
        <f>"ACCT#9725-001/PCT#2"</f>
        <v>ACCT#9725-001/PCT#2</v>
      </c>
      <c r="G19" s="5">
        <v>217.98</v>
      </c>
      <c r="H19" t="str">
        <f>"ACCT#9725-001/PCT#2"</f>
        <v>ACCT#9725-001/PCT#2</v>
      </c>
    </row>
    <row r="20" spans="1:8" x14ac:dyDescent="0.25">
      <c r="E20" t="str">
        <f>"9725-001-122277"</f>
        <v>9725-001-122277</v>
      </c>
      <c r="F20" t="str">
        <f>"ACCT#9725-001/PCT#2"</f>
        <v>ACCT#9725-001/PCT#2</v>
      </c>
      <c r="G20" s="5">
        <v>254.16</v>
      </c>
      <c r="H20" t="str">
        <f>"ACCT#9725-001/PCT#2"</f>
        <v>ACCT#9725-001/PCT#2</v>
      </c>
    </row>
    <row r="21" spans="1:8" x14ac:dyDescent="0.25">
      <c r="E21" t="str">
        <f>"9725-001-122319"</f>
        <v>9725-001-122319</v>
      </c>
      <c r="F21" t="str">
        <f>"ACCT#9725-001/PCT#2"</f>
        <v>ACCT#9725-001/PCT#2</v>
      </c>
      <c r="G21" s="5">
        <v>209.52</v>
      </c>
      <c r="H21" t="str">
        <f>"ACCT#9725-001/PCT#2"</f>
        <v>ACCT#9725-001/PCT#2</v>
      </c>
    </row>
    <row r="22" spans="1:8" x14ac:dyDescent="0.25">
      <c r="E22" t="str">
        <f>"9725-004-122145"</f>
        <v>9725-004-122145</v>
      </c>
      <c r="F22" t="str">
        <f>"ACCT#9725-004/PCT#1"</f>
        <v>ACCT#9725-004/PCT#1</v>
      </c>
      <c r="G22" s="5">
        <v>867.24</v>
      </c>
      <c r="H22" t="str">
        <f>"ACCT#9725-004/PCT#1"</f>
        <v>ACCT#9725-004/PCT#1</v>
      </c>
    </row>
    <row r="23" spans="1:8" x14ac:dyDescent="0.25">
      <c r="E23" t="str">
        <f>"9725-004-122273"</f>
        <v>9725-004-122273</v>
      </c>
      <c r="F23" t="str">
        <f>"ACCT#9725-004/PCT#1"</f>
        <v>ACCT#9725-004/PCT#1</v>
      </c>
      <c r="G23" s="5">
        <v>616.67999999999995</v>
      </c>
      <c r="H23" t="str">
        <f>"ACCT#9725-004/PCT#1"</f>
        <v>ACCT#9725-004/PCT#1</v>
      </c>
    </row>
    <row r="24" spans="1:8" x14ac:dyDescent="0.25">
      <c r="E24" t="str">
        <f>"9725-004-122307"</f>
        <v>9725-004-122307</v>
      </c>
      <c r="F24" t="str">
        <f>"ACCT#9725-004/PCT#1"</f>
        <v>ACCT#9725-004/PCT#1</v>
      </c>
      <c r="G24" s="5">
        <v>851.76</v>
      </c>
      <c r="H24" t="str">
        <f>"ACCT#9725-004/PCT#1"</f>
        <v>ACCT#9725-004/PCT#1</v>
      </c>
    </row>
    <row r="25" spans="1:8" x14ac:dyDescent="0.25">
      <c r="E25" t="str">
        <f>"9725-007-122123"</f>
        <v>9725-007-122123</v>
      </c>
      <c r="F25" t="str">
        <f>"ACCT#9725-007/PCT#4"</f>
        <v>ACCT#9725-007/PCT#4</v>
      </c>
      <c r="G25" s="5">
        <v>207.18</v>
      </c>
      <c r="H25" t="str">
        <f>"ACCT#9725-007/PCT#4"</f>
        <v>ACCT#9725-007/PCT#4</v>
      </c>
    </row>
    <row r="26" spans="1:8" x14ac:dyDescent="0.25">
      <c r="A26" t="s">
        <v>11</v>
      </c>
      <c r="B26">
        <v>136164</v>
      </c>
      <c r="C26" s="5">
        <v>150</v>
      </c>
      <c r="D26" s="3">
        <v>44389</v>
      </c>
      <c r="E26" t="str">
        <f>"202107074410"</f>
        <v>202107074410</v>
      </c>
      <c r="F26" t="str">
        <f>"REIMBURSE COUPON#26276/26285"</f>
        <v>REIMBURSE COUPON#26276/26285</v>
      </c>
      <c r="G26" s="5">
        <v>150</v>
      </c>
      <c r="H26" t="str">
        <f>"REIMBURSE COUPON#26276/26285"</f>
        <v>REIMBURSE COUPON#26276/26285</v>
      </c>
    </row>
    <row r="27" spans="1:8" x14ac:dyDescent="0.25">
      <c r="A27" t="s">
        <v>12</v>
      </c>
      <c r="B27">
        <v>136311</v>
      </c>
      <c r="C27" s="5">
        <v>1637.54</v>
      </c>
      <c r="D27" s="3">
        <v>44403</v>
      </c>
      <c r="E27" t="str">
        <f>"433668"</f>
        <v>433668</v>
      </c>
      <c r="F27" t="str">
        <f>"CUST#16500/PCT#2"</f>
        <v>CUST#16500/PCT#2</v>
      </c>
      <c r="G27" s="5">
        <v>1637.54</v>
      </c>
      <c r="H27" t="str">
        <f>"CUST#16500/PCT#2"</f>
        <v>CUST#16500/PCT#2</v>
      </c>
    </row>
    <row r="28" spans="1:8" x14ac:dyDescent="0.25">
      <c r="A28" t="s">
        <v>13</v>
      </c>
      <c r="B28">
        <v>136312</v>
      </c>
      <c r="C28" s="5">
        <v>1495</v>
      </c>
      <c r="D28" s="3">
        <v>44403</v>
      </c>
      <c r="E28" t="str">
        <f>"202107134516"</f>
        <v>202107134516</v>
      </c>
      <c r="F28" t="str">
        <f>"21-20568"</f>
        <v>21-20568</v>
      </c>
      <c r="G28" s="5">
        <v>145</v>
      </c>
      <c r="H28" t="str">
        <f>"21-20568"</f>
        <v>21-20568</v>
      </c>
    </row>
    <row r="29" spans="1:8" x14ac:dyDescent="0.25">
      <c r="E29" t="str">
        <f>"202107134517"</f>
        <v>202107134517</v>
      </c>
      <c r="F29" t="str">
        <f>"19-20002"</f>
        <v>19-20002</v>
      </c>
      <c r="G29" s="5">
        <v>75</v>
      </c>
      <c r="H29" t="str">
        <f>"19-20002"</f>
        <v>19-20002</v>
      </c>
    </row>
    <row r="30" spans="1:8" x14ac:dyDescent="0.25">
      <c r="E30" t="str">
        <f>"202107134518"</f>
        <v>202107134518</v>
      </c>
      <c r="F30" t="str">
        <f>"20-20261"</f>
        <v>20-20261</v>
      </c>
      <c r="G30" s="5">
        <v>75</v>
      </c>
      <c r="H30" t="str">
        <f>"20-20261"</f>
        <v>20-20261</v>
      </c>
    </row>
    <row r="31" spans="1:8" x14ac:dyDescent="0.25">
      <c r="E31" t="str">
        <f>"202107134519"</f>
        <v>202107134519</v>
      </c>
      <c r="F31" t="str">
        <f>"21-20542"</f>
        <v>21-20542</v>
      </c>
      <c r="G31" s="5">
        <v>137.5</v>
      </c>
      <c r="H31" t="str">
        <f>"21-20542"</f>
        <v>21-20542</v>
      </c>
    </row>
    <row r="32" spans="1:8" x14ac:dyDescent="0.25">
      <c r="E32" t="str">
        <f>"202107134520"</f>
        <v>202107134520</v>
      </c>
      <c r="F32" t="str">
        <f>"20-20077"</f>
        <v>20-20077</v>
      </c>
      <c r="G32" s="5">
        <v>37.5</v>
      </c>
      <c r="H32" t="str">
        <f>"20-20077"</f>
        <v>20-20077</v>
      </c>
    </row>
    <row r="33" spans="1:8" x14ac:dyDescent="0.25">
      <c r="E33" t="str">
        <f>"202107134521"</f>
        <v>202107134521</v>
      </c>
      <c r="F33" t="str">
        <f>"21-20702"</f>
        <v>21-20702</v>
      </c>
      <c r="G33" s="5">
        <v>137.5</v>
      </c>
      <c r="H33" t="str">
        <f>"21-20702"</f>
        <v>21-20702</v>
      </c>
    </row>
    <row r="34" spans="1:8" x14ac:dyDescent="0.25">
      <c r="E34" t="str">
        <f>"202107134522"</f>
        <v>202107134522</v>
      </c>
      <c r="F34" t="str">
        <f>"21-20724"</f>
        <v>21-20724</v>
      </c>
      <c r="G34" s="5">
        <v>115</v>
      </c>
      <c r="H34" t="str">
        <f>"21-20724"</f>
        <v>21-20724</v>
      </c>
    </row>
    <row r="35" spans="1:8" x14ac:dyDescent="0.25">
      <c r="E35" t="str">
        <f>"202107134523"</f>
        <v>202107134523</v>
      </c>
      <c r="F35" t="str">
        <f>"20-20321"</f>
        <v>20-20321</v>
      </c>
      <c r="G35" s="5">
        <v>37.5</v>
      </c>
      <c r="H35" t="str">
        <f>"20-20321"</f>
        <v>20-20321</v>
      </c>
    </row>
    <row r="36" spans="1:8" x14ac:dyDescent="0.25">
      <c r="E36" t="str">
        <f>"202107134524"</f>
        <v>202107134524</v>
      </c>
      <c r="F36" t="str">
        <f>"20-20262"</f>
        <v>20-20262</v>
      </c>
      <c r="G36" s="5">
        <v>735</v>
      </c>
      <c r="H36" t="str">
        <f>"20-20262"</f>
        <v>20-20262</v>
      </c>
    </row>
    <row r="37" spans="1:8" x14ac:dyDescent="0.25">
      <c r="A37" t="s">
        <v>14</v>
      </c>
      <c r="B37">
        <v>4795</v>
      </c>
      <c r="C37" s="5">
        <v>351.8</v>
      </c>
      <c r="D37" s="3">
        <v>44404</v>
      </c>
      <c r="E37" t="str">
        <f>"202107204672"</f>
        <v>202107204672</v>
      </c>
      <c r="F37" t="str">
        <f>"REIMBURSE/ADENA LEWIS"</f>
        <v>REIMBURSE/ADENA LEWIS</v>
      </c>
      <c r="G37" s="5">
        <v>351.8</v>
      </c>
      <c r="H37" t="str">
        <f>"REIMBURSE/ADENA LEWIS"</f>
        <v>REIMBURSE/ADENA LEWIS</v>
      </c>
    </row>
    <row r="38" spans="1:8" x14ac:dyDescent="0.25">
      <c r="E38" t="str">
        <f>""</f>
        <v/>
      </c>
      <c r="F38" t="str">
        <f>""</f>
        <v/>
      </c>
      <c r="H38" t="str">
        <f>"REIMBURSE/ADENA LEWIS"</f>
        <v>REIMBURSE/ADENA LEWIS</v>
      </c>
    </row>
    <row r="39" spans="1:8" x14ac:dyDescent="0.25">
      <c r="A39" t="s">
        <v>15</v>
      </c>
      <c r="B39">
        <v>136313</v>
      </c>
      <c r="C39" s="5">
        <v>245</v>
      </c>
      <c r="D39" s="3">
        <v>44403</v>
      </c>
      <c r="E39" t="str">
        <f>"207120"</f>
        <v>207120</v>
      </c>
      <c r="F39" t="str">
        <f>"CONSTABLE/PCT#4"</f>
        <v>CONSTABLE/PCT#4</v>
      </c>
      <c r="G39" s="5">
        <v>245</v>
      </c>
      <c r="H39" t="str">
        <f>"CONSTABLE/PCT#4"</f>
        <v>CONSTABLE/PCT#4</v>
      </c>
    </row>
    <row r="40" spans="1:8" x14ac:dyDescent="0.25">
      <c r="A40" t="s">
        <v>16</v>
      </c>
      <c r="B40">
        <v>136165</v>
      </c>
      <c r="C40" s="5">
        <v>5460.37</v>
      </c>
      <c r="D40" s="3">
        <v>44389</v>
      </c>
      <c r="E40" t="str">
        <f>"7581029"</f>
        <v>7581029</v>
      </c>
      <c r="F40" t="str">
        <f>"CUST#17295/PCT#3"</f>
        <v>CUST#17295/PCT#3</v>
      </c>
      <c r="G40" s="5">
        <v>5189.96</v>
      </c>
      <c r="H40" t="str">
        <f>"CUST#17295/PCT#3"</f>
        <v>CUST#17295/PCT#3</v>
      </c>
    </row>
    <row r="41" spans="1:8" x14ac:dyDescent="0.25">
      <c r="E41" t="str">
        <f>"7583569"</f>
        <v>7583569</v>
      </c>
      <c r="F41" t="str">
        <f>"CUST#17295/PCT#4"</f>
        <v>CUST#17295/PCT#4</v>
      </c>
      <c r="G41" s="5">
        <v>270.41000000000003</v>
      </c>
      <c r="H41" t="str">
        <f>"CUST#17295/PCT#4"</f>
        <v>CUST#17295/PCT#4</v>
      </c>
    </row>
    <row r="42" spans="1:8" x14ac:dyDescent="0.25">
      <c r="A42" t="s">
        <v>16</v>
      </c>
      <c r="B42">
        <v>136314</v>
      </c>
      <c r="C42" s="5">
        <v>2164.37</v>
      </c>
      <c r="D42" s="3">
        <v>44403</v>
      </c>
      <c r="E42" t="str">
        <f>"7591948"</f>
        <v>7591948</v>
      </c>
      <c r="F42" t="str">
        <f>"CUST#17295/PCT#3"</f>
        <v>CUST#17295/PCT#3</v>
      </c>
      <c r="G42" s="5">
        <v>2164.37</v>
      </c>
      <c r="H42" t="str">
        <f>"CUST#17295/PCT#3"</f>
        <v>CUST#17295/PCT#3</v>
      </c>
    </row>
    <row r="43" spans="1:8" x14ac:dyDescent="0.25">
      <c r="A43" t="s">
        <v>17</v>
      </c>
      <c r="B43">
        <v>4751</v>
      </c>
      <c r="C43" s="5">
        <v>1050</v>
      </c>
      <c r="D43" s="3">
        <v>44390</v>
      </c>
      <c r="E43" t="str">
        <f>"202106294180"</f>
        <v>202106294180</v>
      </c>
      <c r="F43" t="str">
        <f>"17027"</f>
        <v>17027</v>
      </c>
      <c r="G43" s="5">
        <v>450</v>
      </c>
      <c r="H43" t="str">
        <f>"17027"</f>
        <v>17027</v>
      </c>
    </row>
    <row r="44" spans="1:8" x14ac:dyDescent="0.25">
      <c r="E44" t="str">
        <f>"202106294181"</f>
        <v>202106294181</v>
      </c>
      <c r="F44" t="str">
        <f>"16963"</f>
        <v>16963</v>
      </c>
      <c r="G44" s="5">
        <v>600</v>
      </c>
      <c r="H44" t="str">
        <f>"16963"</f>
        <v>16963</v>
      </c>
    </row>
    <row r="45" spans="1:8" x14ac:dyDescent="0.25">
      <c r="A45" t="s">
        <v>18</v>
      </c>
      <c r="B45">
        <v>4710</v>
      </c>
      <c r="C45" s="5">
        <v>6121.46</v>
      </c>
      <c r="D45" s="3">
        <v>44390</v>
      </c>
      <c r="E45" t="str">
        <f>"202107074407"</f>
        <v>202107074407</v>
      </c>
      <c r="F45" t="str">
        <f>"HAULING/PCT#1"</f>
        <v>HAULING/PCT#1</v>
      </c>
      <c r="G45" s="5">
        <v>1602.3</v>
      </c>
      <c r="H45" t="str">
        <f>"HAULING/PCT#1"</f>
        <v>HAULING/PCT#1</v>
      </c>
    </row>
    <row r="46" spans="1:8" x14ac:dyDescent="0.25">
      <c r="E46" t="str">
        <f>"202107074408"</f>
        <v>202107074408</v>
      </c>
      <c r="F46" t="str">
        <f>"HAULING/PCT#1"</f>
        <v>HAULING/PCT#1</v>
      </c>
      <c r="G46" s="5">
        <v>4410.26</v>
      </c>
      <c r="H46" t="str">
        <f>"HAULING/PCT#1"</f>
        <v>HAULING/PCT#1</v>
      </c>
    </row>
    <row r="47" spans="1:8" x14ac:dyDescent="0.25">
      <c r="E47" t="str">
        <f>"202107074409"</f>
        <v>202107074409</v>
      </c>
      <c r="F47" t="str">
        <f>"HAULING/PCT#1"</f>
        <v>HAULING/PCT#1</v>
      </c>
      <c r="G47" s="5">
        <v>108.9</v>
      </c>
      <c r="H47" t="str">
        <f>"HAULING/PCT#1"</f>
        <v>HAULING/PCT#1</v>
      </c>
    </row>
    <row r="48" spans="1:8" x14ac:dyDescent="0.25">
      <c r="A48" t="s">
        <v>18</v>
      </c>
      <c r="B48">
        <v>4791</v>
      </c>
      <c r="C48" s="5">
        <v>1052.3800000000001</v>
      </c>
      <c r="D48" s="3">
        <v>44404</v>
      </c>
      <c r="E48" t="str">
        <f>"202107194647"</f>
        <v>202107194647</v>
      </c>
      <c r="F48" t="str">
        <f>"HAULING/PCT#1"</f>
        <v>HAULING/PCT#1</v>
      </c>
      <c r="G48" s="5">
        <v>1052.3800000000001</v>
      </c>
      <c r="H48" t="str">
        <f>"HAULING/PCT#1"</f>
        <v>HAULING/PCT#1</v>
      </c>
    </row>
    <row r="49" spans="1:8" x14ac:dyDescent="0.25">
      <c r="A49" t="s">
        <v>19</v>
      </c>
      <c r="B49">
        <v>4731</v>
      </c>
      <c r="C49" s="5">
        <v>2304.91</v>
      </c>
      <c r="D49" s="3">
        <v>44390</v>
      </c>
      <c r="E49" t="str">
        <f>"202106294212"</f>
        <v>202106294212</v>
      </c>
      <c r="F49" t="str">
        <f>"Hats for Pct 2"</f>
        <v>Hats for Pct 2</v>
      </c>
      <c r="G49" s="5">
        <v>311.64</v>
      </c>
      <c r="H49" t="str">
        <f>"12 Grey Hats"</f>
        <v>12 Grey Hats</v>
      </c>
    </row>
    <row r="50" spans="1:8" x14ac:dyDescent="0.25">
      <c r="E50" t="str">
        <f>""</f>
        <v/>
      </c>
      <c r="F50" t="str">
        <f>""</f>
        <v/>
      </c>
      <c r="H50" t="str">
        <f>"12 Navy Hats"</f>
        <v>12 Navy Hats</v>
      </c>
    </row>
    <row r="51" spans="1:8" x14ac:dyDescent="0.25">
      <c r="E51" t="str">
        <f>""</f>
        <v/>
      </c>
      <c r="F51" t="str">
        <f>""</f>
        <v/>
      </c>
      <c r="H51" t="str">
        <f>"12 Black Hats"</f>
        <v>12 Black Hats</v>
      </c>
    </row>
    <row r="52" spans="1:8" x14ac:dyDescent="0.25">
      <c r="E52" t="str">
        <f>"202106294213"</f>
        <v>202106294213</v>
      </c>
      <c r="F52" t="str">
        <f>"Amazon Order"</f>
        <v>Amazon Order</v>
      </c>
      <c r="G52" s="5">
        <v>25.76</v>
      </c>
      <c r="H52" t="str">
        <f>"2  Key Rings"</f>
        <v>2  Key Rings</v>
      </c>
    </row>
    <row r="53" spans="1:8" x14ac:dyDescent="0.25">
      <c r="E53" t="str">
        <f>""</f>
        <v/>
      </c>
      <c r="F53" t="str">
        <f>""</f>
        <v/>
      </c>
      <c r="H53" t="str">
        <f>"Shipping"</f>
        <v>Shipping</v>
      </c>
    </row>
    <row r="54" spans="1:8" x14ac:dyDescent="0.25">
      <c r="E54" t="str">
        <f>"202106294214"</f>
        <v>202106294214</v>
      </c>
      <c r="F54" t="str">
        <f>"Amazon Order"</f>
        <v>Amazon Order</v>
      </c>
      <c r="G54" s="5">
        <v>311.91000000000003</v>
      </c>
      <c r="H54" t="str">
        <f>"Ceiling Tiles"</f>
        <v>Ceiling Tiles</v>
      </c>
    </row>
    <row r="55" spans="1:8" x14ac:dyDescent="0.25">
      <c r="E55" t="str">
        <f>""</f>
        <v/>
      </c>
      <c r="F55" t="str">
        <f>""</f>
        <v/>
      </c>
      <c r="H55" t="str">
        <f>"2500 Headlight"</f>
        <v>2500 Headlight</v>
      </c>
    </row>
    <row r="56" spans="1:8" x14ac:dyDescent="0.25">
      <c r="E56" t="str">
        <f>""</f>
        <v/>
      </c>
      <c r="F56" t="str">
        <f>""</f>
        <v/>
      </c>
      <c r="H56" t="str">
        <f>"F150 Tail Light"</f>
        <v>F150 Tail Light</v>
      </c>
    </row>
    <row r="57" spans="1:8" x14ac:dyDescent="0.25">
      <c r="E57" t="str">
        <f>"202106294215"</f>
        <v>202106294215</v>
      </c>
      <c r="F57" t="str">
        <f>"Treadmill"</f>
        <v>Treadmill</v>
      </c>
      <c r="G57" s="5">
        <v>424.89</v>
      </c>
      <c r="H57" t="str">
        <f>"Treadmill"</f>
        <v>Treadmill</v>
      </c>
    </row>
    <row r="58" spans="1:8" x14ac:dyDescent="0.25">
      <c r="E58" t="str">
        <f>"202106294216"</f>
        <v>202106294216</v>
      </c>
      <c r="F58" t="str">
        <f>"Metal Snip"</f>
        <v>Metal Snip</v>
      </c>
      <c r="G58" s="5">
        <v>16.989999999999998</v>
      </c>
      <c r="H58" t="str">
        <f>"Metal Snip Amazon"</f>
        <v>Metal Snip Amazon</v>
      </c>
    </row>
    <row r="59" spans="1:8" x14ac:dyDescent="0.25">
      <c r="E59" t="str">
        <f>"202106294217"</f>
        <v>202106294217</v>
      </c>
      <c r="F59" t="str">
        <f>"Microwave Oven"</f>
        <v>Microwave Oven</v>
      </c>
      <c r="G59" s="5">
        <v>64.989999999999995</v>
      </c>
      <c r="H59" t="str">
        <f>"Microwave Oven"</f>
        <v>Microwave Oven</v>
      </c>
    </row>
    <row r="60" spans="1:8" x14ac:dyDescent="0.25">
      <c r="E60" t="str">
        <f>"202107064365"</f>
        <v>202107064365</v>
      </c>
      <c r="F60" t="str">
        <f>"Batteries general serv"</f>
        <v>Batteries general serv</v>
      </c>
      <c r="G60" s="5">
        <v>70.989999999999995</v>
      </c>
      <c r="H60" t="str">
        <f>"D batteries amazon"</f>
        <v>D batteries amazon</v>
      </c>
    </row>
    <row r="61" spans="1:8" x14ac:dyDescent="0.25">
      <c r="E61" t="str">
        <f>"202107064366"</f>
        <v>202107064366</v>
      </c>
      <c r="F61" t="str">
        <f>"AMAZON CAPITAL SERVICES INC"</f>
        <v>AMAZON CAPITAL SERVICES INC</v>
      </c>
      <c r="G61" s="5">
        <v>83.37</v>
      </c>
      <c r="H61" t="str">
        <f>"Voting Posters"</f>
        <v>Voting Posters</v>
      </c>
    </row>
    <row r="62" spans="1:8" x14ac:dyDescent="0.25">
      <c r="E62" t="str">
        <f>""</f>
        <v/>
      </c>
      <c r="F62" t="str">
        <f>""</f>
        <v/>
      </c>
      <c r="H62" t="str">
        <f>"Frames"</f>
        <v>Frames</v>
      </c>
    </row>
    <row r="63" spans="1:8" x14ac:dyDescent="0.25">
      <c r="E63" t="str">
        <f>"202107064367"</f>
        <v>202107064367</v>
      </c>
      <c r="F63" t="str">
        <f>"Chair Order"</f>
        <v>Chair Order</v>
      </c>
      <c r="G63" s="5">
        <v>79.989999999999995</v>
      </c>
      <c r="H63" t="str">
        <f>"Kneeling Chair"</f>
        <v>Kneeling Chair</v>
      </c>
    </row>
    <row r="64" spans="1:8" x14ac:dyDescent="0.25">
      <c r="E64" t="str">
        <f>"24511"</f>
        <v>24511</v>
      </c>
      <c r="F64" t="str">
        <f>"Spill Kits/blue towels"</f>
        <v>Spill Kits/blue towels</v>
      </c>
      <c r="G64" s="5">
        <v>346.55</v>
      </c>
      <c r="H64" t="str">
        <f>"Scott papertowels"</f>
        <v>Scott papertowels</v>
      </c>
    </row>
    <row r="65" spans="1:8" x14ac:dyDescent="0.25">
      <c r="E65" t="str">
        <f>""</f>
        <v/>
      </c>
      <c r="F65" t="str">
        <f>""</f>
        <v/>
      </c>
      <c r="H65" t="str">
        <f>"Spill Kits"</f>
        <v>Spill Kits</v>
      </c>
    </row>
    <row r="66" spans="1:8" x14ac:dyDescent="0.25">
      <c r="E66" t="str">
        <f>"24783"</f>
        <v>24783</v>
      </c>
      <c r="F66" t="str">
        <f>"Digital Food Thermometer"</f>
        <v>Digital Food Thermometer</v>
      </c>
      <c r="G66" s="5">
        <v>54.99</v>
      </c>
      <c r="H66" t="str">
        <f>"Digital Food Thermometer"</f>
        <v>Digital Food Thermometer</v>
      </c>
    </row>
    <row r="67" spans="1:8" x14ac:dyDescent="0.25">
      <c r="E67" t="str">
        <f>"24870"</f>
        <v>24870</v>
      </c>
      <c r="F67" t="str">
        <f>"Printer Rollers Amazon"</f>
        <v>Printer Rollers Amazon</v>
      </c>
      <c r="G67" s="5">
        <v>65.989999999999995</v>
      </c>
      <c r="H67" t="str">
        <f>"Printer Rollers Amazon"</f>
        <v>Printer Rollers Amazon</v>
      </c>
    </row>
    <row r="68" spans="1:8" x14ac:dyDescent="0.25">
      <c r="E68" t="str">
        <f>"24871"</f>
        <v>24871</v>
      </c>
      <c r="F68" t="str">
        <f>"WirelessMicrophoneSystem"</f>
        <v>WirelessMicrophoneSystem</v>
      </c>
      <c r="G68" s="5">
        <v>279</v>
      </c>
      <c r="H68" t="str">
        <f>"Wireless Microphone Syste"</f>
        <v>Wireless Microphone Syste</v>
      </c>
    </row>
    <row r="69" spans="1:8" x14ac:dyDescent="0.25">
      <c r="E69" t="str">
        <f>"24981"</f>
        <v>24981</v>
      </c>
      <c r="F69" t="str">
        <f>"Headset District Clerk"</f>
        <v>Headset District Clerk</v>
      </c>
      <c r="G69" s="5">
        <v>27.95</v>
      </c>
      <c r="H69" t="str">
        <f>"Headset District Clerk"</f>
        <v>Headset District Clerk</v>
      </c>
    </row>
    <row r="70" spans="1:8" x14ac:dyDescent="0.25">
      <c r="E70" t="str">
        <f>"24982"</f>
        <v>24982</v>
      </c>
      <c r="F70" t="str">
        <f>"Fixed Mount Antennas"</f>
        <v>Fixed Mount Antennas</v>
      </c>
      <c r="G70" s="5">
        <v>139.9</v>
      </c>
      <c r="H70" t="str">
        <f>"Fixed Mount Antennas"</f>
        <v>Fixed Mount Antennas</v>
      </c>
    </row>
    <row r="71" spans="1:8" x14ac:dyDescent="0.25">
      <c r="A71" t="s">
        <v>19</v>
      </c>
      <c r="B71">
        <v>4814</v>
      </c>
      <c r="C71" s="5">
        <v>2466.64</v>
      </c>
      <c r="D71" s="3">
        <v>44404</v>
      </c>
      <c r="E71" t="str">
        <f>"202107204709"</f>
        <v>202107204709</v>
      </c>
      <c r="F71" t="str">
        <f>"Batteries Amazon"</f>
        <v>Batteries Amazon</v>
      </c>
      <c r="G71" s="5">
        <v>58.97</v>
      </c>
      <c r="H71" t="str">
        <f>"AAA 48pk Batteries"</f>
        <v>AAA 48pk Batteries</v>
      </c>
    </row>
    <row r="72" spans="1:8" x14ac:dyDescent="0.25">
      <c r="E72" t="str">
        <f>""</f>
        <v/>
      </c>
      <c r="F72" t="str">
        <f>""</f>
        <v/>
      </c>
      <c r="H72" t="str">
        <f>"AA 48pk Batteries"</f>
        <v>AA 48pk Batteries</v>
      </c>
    </row>
    <row r="73" spans="1:8" x14ac:dyDescent="0.25">
      <c r="E73" t="str">
        <f>"202107204710"</f>
        <v>202107204710</v>
      </c>
      <c r="F73" t="str">
        <f>"Doc Safe File Box"</f>
        <v>Doc Safe File Box</v>
      </c>
      <c r="G73" s="5">
        <v>2000.7</v>
      </c>
      <c r="H73" t="str">
        <f>"Doc Safe File Box"</f>
        <v>Doc Safe File Box</v>
      </c>
    </row>
    <row r="74" spans="1:8" x14ac:dyDescent="0.25">
      <c r="E74" t="str">
        <f>""</f>
        <v/>
      </c>
      <c r="F74" t="str">
        <f>""</f>
        <v/>
      </c>
      <c r="H74" t="str">
        <f>"Promotion"</f>
        <v>Promotion</v>
      </c>
    </row>
    <row r="75" spans="1:8" x14ac:dyDescent="0.25">
      <c r="E75" t="str">
        <f>""</f>
        <v/>
      </c>
      <c r="F75" t="str">
        <f>""</f>
        <v/>
      </c>
      <c r="H75" t="str">
        <f>"Doc Safe File Box"</f>
        <v>Doc Safe File Box</v>
      </c>
    </row>
    <row r="76" spans="1:8" x14ac:dyDescent="0.25">
      <c r="E76" t="str">
        <f>""</f>
        <v/>
      </c>
      <c r="F76" t="str">
        <f>""</f>
        <v/>
      </c>
      <c r="H76" t="str">
        <f>"Promotions"</f>
        <v>Promotions</v>
      </c>
    </row>
    <row r="77" spans="1:8" x14ac:dyDescent="0.25">
      <c r="E77" t="str">
        <f>"202107204711"</f>
        <v>202107204711</v>
      </c>
      <c r="F77" t="str">
        <f>"Amazon Order"</f>
        <v>Amazon Order</v>
      </c>
      <c r="G77" s="5">
        <v>89.95</v>
      </c>
      <c r="H77" t="str">
        <f>"Kneeling Chair"</f>
        <v>Kneeling Chair</v>
      </c>
    </row>
    <row r="78" spans="1:8" x14ac:dyDescent="0.25">
      <c r="E78" t="str">
        <f>""</f>
        <v/>
      </c>
      <c r="F78" t="str">
        <f>""</f>
        <v/>
      </c>
      <c r="H78" t="str">
        <f>"coupon"</f>
        <v>coupon</v>
      </c>
    </row>
    <row r="79" spans="1:8" x14ac:dyDescent="0.25">
      <c r="E79" t="str">
        <f>"23867"</f>
        <v>23867</v>
      </c>
      <c r="F79" t="str">
        <f>"Hog Boards"</f>
        <v>Hog Boards</v>
      </c>
      <c r="G79" s="5">
        <v>128.56</v>
      </c>
      <c r="H79" t="str">
        <f>"Hog Boards"</f>
        <v>Hog Boards</v>
      </c>
    </row>
    <row r="80" spans="1:8" x14ac:dyDescent="0.25">
      <c r="E80" t="str">
        <f>""</f>
        <v/>
      </c>
      <c r="F80" t="str">
        <f>""</f>
        <v/>
      </c>
      <c r="H80" t="str">
        <f>"Shipping"</f>
        <v>Shipping</v>
      </c>
    </row>
    <row r="81" spans="1:8" x14ac:dyDescent="0.25">
      <c r="E81" t="str">
        <f>"25088"</f>
        <v>25088</v>
      </c>
      <c r="F81" t="str">
        <f>"DIGITAL CAMERA"</f>
        <v>DIGITAL CAMERA</v>
      </c>
      <c r="G81" s="5">
        <v>79.569999999999993</v>
      </c>
      <c r="H81" t="str">
        <f>"DIGITAL CAMERA"</f>
        <v>DIGITAL CAMERA</v>
      </c>
    </row>
    <row r="82" spans="1:8" x14ac:dyDescent="0.25">
      <c r="E82" t="str">
        <f>"25187"</f>
        <v>25187</v>
      </c>
      <c r="F82" t="str">
        <f>"Amazon Replacement Batter"</f>
        <v>Amazon Replacement Batter</v>
      </c>
      <c r="G82" s="5">
        <v>108.89</v>
      </c>
      <c r="H82" t="str">
        <f>"DELL 90V7W BATTERY"</f>
        <v>DELL 90V7W BATTERY</v>
      </c>
    </row>
    <row r="83" spans="1:8" x14ac:dyDescent="0.25">
      <c r="E83" t="str">
        <f>""</f>
        <v/>
      </c>
      <c r="F83" t="str">
        <f>""</f>
        <v/>
      </c>
      <c r="H83" t="str">
        <f>"EBKK 91WH BATTERY"</f>
        <v>EBKK 91WH BATTERY</v>
      </c>
    </row>
    <row r="84" spans="1:8" x14ac:dyDescent="0.25">
      <c r="A84" t="s">
        <v>20</v>
      </c>
      <c r="B84">
        <v>136166</v>
      </c>
      <c r="C84" s="5">
        <v>36.9</v>
      </c>
      <c r="D84" s="3">
        <v>44389</v>
      </c>
      <c r="E84" t="str">
        <f>"01-211404553"</f>
        <v>01-211404553</v>
      </c>
      <c r="F84" t="str">
        <f>"INV 01-211404553"</f>
        <v>INV 01-211404553</v>
      </c>
      <c r="G84" s="5">
        <v>36.9</v>
      </c>
      <c r="H84" t="str">
        <f>"INV 01-211404553"</f>
        <v>INV 01-211404553</v>
      </c>
    </row>
    <row r="85" spans="1:8" x14ac:dyDescent="0.25">
      <c r="A85" t="s">
        <v>21</v>
      </c>
      <c r="B85">
        <v>136167</v>
      </c>
      <c r="C85" s="5">
        <v>16.7</v>
      </c>
      <c r="D85" s="3">
        <v>44389</v>
      </c>
      <c r="E85" t="str">
        <f>"5420489"</f>
        <v>5420489</v>
      </c>
      <c r="F85" t="str">
        <f>"CUST#100074/PCT#3"</f>
        <v>CUST#100074/PCT#3</v>
      </c>
      <c r="G85" s="5">
        <v>16.7</v>
      </c>
      <c r="H85" t="str">
        <f>"CUST#100074/PCT#3"</f>
        <v>CUST#100074/PCT#3</v>
      </c>
    </row>
    <row r="86" spans="1:8" x14ac:dyDescent="0.25">
      <c r="A86" t="s">
        <v>22</v>
      </c>
      <c r="B86">
        <v>4716</v>
      </c>
      <c r="C86" s="5">
        <v>1476.2</v>
      </c>
      <c r="D86" s="3">
        <v>44390</v>
      </c>
      <c r="E86" t="str">
        <f>"202107064358"</f>
        <v>202107064358</v>
      </c>
      <c r="F86" t="str">
        <f>"ACCT#379865/PCT#2"</f>
        <v>ACCT#379865/PCT#2</v>
      </c>
      <c r="G86" s="5">
        <v>1476.2</v>
      </c>
      <c r="H86" t="str">
        <f>"ACCT#379865/PCT#2"</f>
        <v>ACCT#379865/PCT#2</v>
      </c>
    </row>
    <row r="87" spans="1:8" x14ac:dyDescent="0.25">
      <c r="A87" t="s">
        <v>23</v>
      </c>
      <c r="B87">
        <v>136168</v>
      </c>
      <c r="C87" s="5">
        <v>361.98</v>
      </c>
      <c r="D87" s="3">
        <v>44389</v>
      </c>
      <c r="E87" t="str">
        <f>"3060165034"</f>
        <v>3060165034</v>
      </c>
      <c r="F87" t="str">
        <f>"INV 3060165034  306016503"</f>
        <v>INV 3060165034  306016503</v>
      </c>
      <c r="G87" s="5">
        <v>361.98</v>
      </c>
      <c r="H87" t="str">
        <f>"INV 3060165034"</f>
        <v>INV 3060165034</v>
      </c>
    </row>
    <row r="88" spans="1:8" x14ac:dyDescent="0.25">
      <c r="E88" t="str">
        <f>""</f>
        <v/>
      </c>
      <c r="F88" t="str">
        <f>""</f>
        <v/>
      </c>
      <c r="H88" t="str">
        <f>"INV 3060165035"</f>
        <v>INV 3060165035</v>
      </c>
    </row>
    <row r="89" spans="1:8" x14ac:dyDescent="0.25">
      <c r="A89" t="s">
        <v>24</v>
      </c>
      <c r="B89">
        <v>4766</v>
      </c>
      <c r="C89" s="5">
        <v>2000</v>
      </c>
      <c r="D89" s="3">
        <v>44390</v>
      </c>
      <c r="E89" t="str">
        <f>"202106294186"</f>
        <v>202106294186</v>
      </c>
      <c r="F89" t="str">
        <f>"17261"</f>
        <v>17261</v>
      </c>
      <c r="G89" s="5">
        <v>400</v>
      </c>
      <c r="H89" t="str">
        <f>"17261"</f>
        <v>17261</v>
      </c>
    </row>
    <row r="90" spans="1:8" x14ac:dyDescent="0.25">
      <c r="E90" t="str">
        <f>"202106294187"</f>
        <v>202106294187</v>
      </c>
      <c r="F90" t="str">
        <f>"17349"</f>
        <v>17349</v>
      </c>
      <c r="G90" s="5">
        <v>400</v>
      </c>
      <c r="H90" t="str">
        <f>"17349"</f>
        <v>17349</v>
      </c>
    </row>
    <row r="91" spans="1:8" x14ac:dyDescent="0.25">
      <c r="E91" t="str">
        <f>"202106294188"</f>
        <v>202106294188</v>
      </c>
      <c r="F91" t="str">
        <f>"16400"</f>
        <v>16400</v>
      </c>
      <c r="G91" s="5">
        <v>400</v>
      </c>
      <c r="H91" t="str">
        <f>"16400"</f>
        <v>16400</v>
      </c>
    </row>
    <row r="92" spans="1:8" x14ac:dyDescent="0.25">
      <c r="E92" t="str">
        <f>"202106294189"</f>
        <v>202106294189</v>
      </c>
      <c r="F92" t="str">
        <f>"1735-335 / 423-7692"</f>
        <v>1735-335 / 423-7692</v>
      </c>
      <c r="G92" s="5">
        <v>300</v>
      </c>
      <c r="H92" t="str">
        <f>"1735-335 / 423-7692"</f>
        <v>1735-335 / 423-7692</v>
      </c>
    </row>
    <row r="93" spans="1:8" x14ac:dyDescent="0.25">
      <c r="E93" t="str">
        <f>"202106294190"</f>
        <v>202106294190</v>
      </c>
      <c r="F93" t="str">
        <f>"423-7858 / 1776-21"</f>
        <v>423-7858 / 1776-21</v>
      </c>
      <c r="G93" s="5">
        <v>300</v>
      </c>
      <c r="H93" t="str">
        <f>"423-7858 / 1776-21"</f>
        <v>423-7858 / 1776-21</v>
      </c>
    </row>
    <row r="94" spans="1:8" x14ac:dyDescent="0.25">
      <c r="E94" t="str">
        <f>"202106294191"</f>
        <v>202106294191</v>
      </c>
      <c r="F94" t="str">
        <f>"1782-21"</f>
        <v>1782-21</v>
      </c>
      <c r="G94" s="5">
        <v>200</v>
      </c>
      <c r="H94" t="str">
        <f>"1782-21"</f>
        <v>1782-21</v>
      </c>
    </row>
    <row r="95" spans="1:8" x14ac:dyDescent="0.25">
      <c r="A95" t="s">
        <v>24</v>
      </c>
      <c r="B95">
        <v>4849</v>
      </c>
      <c r="C95" s="5">
        <v>4150</v>
      </c>
      <c r="D95" s="3">
        <v>44404</v>
      </c>
      <c r="E95" t="str">
        <f>"202107154552"</f>
        <v>202107154552</v>
      </c>
      <c r="F95" t="str">
        <f>"02-03062"</f>
        <v>02-03062</v>
      </c>
      <c r="G95" s="5">
        <v>250</v>
      </c>
      <c r="H95" t="str">
        <f>"02-03062"</f>
        <v>02-03062</v>
      </c>
    </row>
    <row r="96" spans="1:8" x14ac:dyDescent="0.25">
      <c r="E96" t="str">
        <f>"202107154563"</f>
        <v>202107154563</v>
      </c>
      <c r="F96" t="str">
        <f>"423-7896"</f>
        <v>423-7896</v>
      </c>
      <c r="G96" s="5">
        <v>100</v>
      </c>
      <c r="H96" t="str">
        <f>"423-7896"</f>
        <v>423-7896</v>
      </c>
    </row>
    <row r="97" spans="1:8" x14ac:dyDescent="0.25">
      <c r="E97" t="str">
        <f>"202107154564"</f>
        <v>202107154564</v>
      </c>
      <c r="F97" t="str">
        <f>"BC-2019120GE"</f>
        <v>BC-2019120GE</v>
      </c>
      <c r="G97" s="5">
        <v>400</v>
      </c>
      <c r="H97" t="str">
        <f>"BC-2019120GE"</f>
        <v>BC-2019120GE</v>
      </c>
    </row>
    <row r="98" spans="1:8" x14ac:dyDescent="0.25">
      <c r="E98" t="str">
        <f>"202107154565"</f>
        <v>202107154565</v>
      </c>
      <c r="F98" t="str">
        <f>"02-0314-17"</f>
        <v>02-0314-17</v>
      </c>
      <c r="G98" s="5">
        <v>400</v>
      </c>
      <c r="H98" t="str">
        <f>"02-0314-17"</f>
        <v>02-0314-17</v>
      </c>
    </row>
    <row r="99" spans="1:8" x14ac:dyDescent="0.25">
      <c r="E99" t="str">
        <f>"202107194639"</f>
        <v>202107194639</v>
      </c>
      <c r="F99" t="str">
        <f>"4110720-4"</f>
        <v>4110720-4</v>
      </c>
      <c r="G99" s="5">
        <v>800</v>
      </c>
      <c r="H99" t="str">
        <f>"4110720-4"</f>
        <v>4110720-4</v>
      </c>
    </row>
    <row r="100" spans="1:8" x14ac:dyDescent="0.25">
      <c r="E100" t="str">
        <f>"202107194640"</f>
        <v>202107194640</v>
      </c>
      <c r="F100" t="str">
        <f>"1834-21423-7927"</f>
        <v>1834-21423-7927</v>
      </c>
      <c r="G100" s="5">
        <v>200</v>
      </c>
      <c r="H100" t="str">
        <f>"1834-21423-7927"</f>
        <v>1834-21423-7927</v>
      </c>
    </row>
    <row r="101" spans="1:8" x14ac:dyDescent="0.25">
      <c r="E101" t="str">
        <f>"202107194641"</f>
        <v>202107194641</v>
      </c>
      <c r="F101" t="str">
        <f>"1808-335"</f>
        <v>1808-335</v>
      </c>
      <c r="G101" s="5">
        <v>200</v>
      </c>
      <c r="H101" t="str">
        <f>"1808-335"</f>
        <v>1808-335</v>
      </c>
    </row>
    <row r="102" spans="1:8" x14ac:dyDescent="0.25">
      <c r="E102" t="str">
        <f>"202107194642"</f>
        <v>202107194642</v>
      </c>
      <c r="F102" t="str">
        <f>"17-362"</f>
        <v>17-362</v>
      </c>
      <c r="G102" s="5">
        <v>400</v>
      </c>
      <c r="H102" t="str">
        <f>"17-362"</f>
        <v>17-362</v>
      </c>
    </row>
    <row r="103" spans="1:8" x14ac:dyDescent="0.25">
      <c r="E103" t="str">
        <f>"202107194643"</f>
        <v>202107194643</v>
      </c>
      <c r="F103" t="str">
        <f>"17210"</f>
        <v>17210</v>
      </c>
      <c r="G103" s="5">
        <v>600</v>
      </c>
      <c r="H103" t="str">
        <f>"17210"</f>
        <v>17210</v>
      </c>
    </row>
    <row r="104" spans="1:8" x14ac:dyDescent="0.25">
      <c r="E104" t="str">
        <f>"202107194644"</f>
        <v>202107194644</v>
      </c>
      <c r="F104" t="str">
        <f>"1764-21"</f>
        <v>1764-21</v>
      </c>
      <c r="G104" s="5">
        <v>100</v>
      </c>
      <c r="H104" t="str">
        <f>"1764-21"</f>
        <v>1764-21</v>
      </c>
    </row>
    <row r="105" spans="1:8" x14ac:dyDescent="0.25">
      <c r="E105" t="str">
        <f>"202107204667"</f>
        <v>202107204667</v>
      </c>
      <c r="F105" t="str">
        <f>"JP105112019C"</f>
        <v>JP105112019C</v>
      </c>
      <c r="G105" s="5">
        <v>250</v>
      </c>
      <c r="H105" t="str">
        <f>"JP105112019C"</f>
        <v>JP105112019C</v>
      </c>
    </row>
    <row r="106" spans="1:8" x14ac:dyDescent="0.25">
      <c r="E106" t="str">
        <f>"202107214742"</f>
        <v>202107214742</v>
      </c>
      <c r="F106" t="str">
        <f>"21-20537 21-20538"</f>
        <v>21-20537 21-20538</v>
      </c>
      <c r="G106" s="5">
        <v>200</v>
      </c>
      <c r="H106" t="str">
        <f>"21-20537 21-20538"</f>
        <v>21-20537 21-20538</v>
      </c>
    </row>
    <row r="107" spans="1:8" x14ac:dyDescent="0.25">
      <c r="E107" t="str">
        <f>"202107214743"</f>
        <v>202107214743</v>
      </c>
      <c r="F107" t="str">
        <f>"C180097"</f>
        <v>C180097</v>
      </c>
      <c r="G107" s="5">
        <v>250</v>
      </c>
      <c r="H107" t="str">
        <f>"C180097"</f>
        <v>C180097</v>
      </c>
    </row>
    <row r="108" spans="1:8" x14ac:dyDescent="0.25">
      <c r="A108" t="s">
        <v>25</v>
      </c>
      <c r="B108">
        <v>136315</v>
      </c>
      <c r="C108" s="5">
        <v>135</v>
      </c>
      <c r="D108" s="3">
        <v>44403</v>
      </c>
      <c r="E108" t="str">
        <f>"202107204721"</f>
        <v>202107204721</v>
      </c>
      <c r="F108" t="str">
        <f>"PER DIEM"</f>
        <v>PER DIEM</v>
      </c>
      <c r="G108" s="5">
        <v>135</v>
      </c>
      <c r="H108" t="str">
        <f>"PER DIEM"</f>
        <v>PER DIEM</v>
      </c>
    </row>
    <row r="109" spans="1:8" x14ac:dyDescent="0.25">
      <c r="A109" t="s">
        <v>26</v>
      </c>
      <c r="B109">
        <v>136169</v>
      </c>
      <c r="C109" s="5">
        <v>37.020000000000003</v>
      </c>
      <c r="D109" s="3">
        <v>44389</v>
      </c>
      <c r="E109" t="str">
        <f>"202107064359"</f>
        <v>202107064359</v>
      </c>
      <c r="F109" t="str">
        <f>"REIMBURSEMENT - FUEL"</f>
        <v>REIMBURSEMENT - FUEL</v>
      </c>
      <c r="G109" s="5">
        <v>37.020000000000003</v>
      </c>
      <c r="H109" t="str">
        <f>"REIMBURSEMENT - FUEL"</f>
        <v>REIMBURSEMENT - FUEL</v>
      </c>
    </row>
    <row r="110" spans="1:8" x14ac:dyDescent="0.25">
      <c r="A110" t="s">
        <v>27</v>
      </c>
      <c r="B110">
        <v>136170</v>
      </c>
      <c r="C110" s="5">
        <v>125.97</v>
      </c>
      <c r="D110" s="3">
        <v>44389</v>
      </c>
      <c r="E110" t="str">
        <f>"202107064268"</f>
        <v>202107064268</v>
      </c>
      <c r="F110" t="str">
        <f>"ACCT#3-3053/PCT#2"</f>
        <v>ACCT#3-3053/PCT#2</v>
      </c>
      <c r="G110" s="5">
        <v>125.97</v>
      </c>
      <c r="H110" t="str">
        <f>"ACCT#3-3053/PCT#2"</f>
        <v>ACCT#3-3053/PCT#2</v>
      </c>
    </row>
    <row r="111" spans="1:8" x14ac:dyDescent="0.25">
      <c r="A111" t="s">
        <v>28</v>
      </c>
      <c r="B111">
        <v>136171</v>
      </c>
      <c r="C111" s="5">
        <v>749.4</v>
      </c>
      <c r="D111" s="3">
        <v>44389</v>
      </c>
      <c r="E111" t="str">
        <f>"202107064256"</f>
        <v>202107064256</v>
      </c>
      <c r="F111" t="str">
        <f>"ACCT#010238/GENERAL SVCS"</f>
        <v>ACCT#010238/GENERAL SVCS</v>
      </c>
      <c r="G111" s="5">
        <v>145</v>
      </c>
      <c r="H111" t="str">
        <f>"ACCT#010238/GENERAL SVCS"</f>
        <v>ACCT#010238/GENERAL SVCS</v>
      </c>
    </row>
    <row r="112" spans="1:8" x14ac:dyDescent="0.25">
      <c r="E112" t="str">
        <f>"202107064257"</f>
        <v>202107064257</v>
      </c>
      <c r="F112" t="str">
        <f>"ACCT#010602/COMMISSIONERS"</f>
        <v>ACCT#010602/COMMISSIONERS</v>
      </c>
      <c r="G112" s="5">
        <v>24</v>
      </c>
      <c r="H112" t="str">
        <f>"ACCT#010602/COMMISSIONERS"</f>
        <v>ACCT#010602/COMMISSIONERS</v>
      </c>
    </row>
    <row r="113" spans="1:8" x14ac:dyDescent="0.25">
      <c r="E113" t="str">
        <f>"202107064258"</f>
        <v>202107064258</v>
      </c>
      <c r="F113" t="str">
        <f>"ACCT#012571/TREASURER"</f>
        <v>ACCT#012571/TREASURER</v>
      </c>
      <c r="G113" s="5">
        <v>24</v>
      </c>
      <c r="H113" t="str">
        <f>"ACCT#012571/TREASURER"</f>
        <v>ACCT#012571/TREASURER</v>
      </c>
    </row>
    <row r="114" spans="1:8" x14ac:dyDescent="0.25">
      <c r="E114" t="str">
        <f>"202107064260"</f>
        <v>202107064260</v>
      </c>
      <c r="F114" t="str">
        <f>"ACCT#011280/COUNTY CLERK"</f>
        <v>ACCT#011280/COUNTY CLERK</v>
      </c>
      <c r="G114" s="5">
        <v>39</v>
      </c>
      <c r="H114" t="str">
        <f>"ACCT#011280/COUNTY CLERK"</f>
        <v>ACCT#011280/COUNTY CLERK</v>
      </c>
    </row>
    <row r="115" spans="1:8" x14ac:dyDescent="0.25">
      <c r="E115" t="str">
        <f>"202107064261"</f>
        <v>202107064261</v>
      </c>
      <c r="F115" t="str">
        <f>"ACCT#010149/TEXAS AGRI LIFE"</f>
        <v>ACCT#010149/TEXAS AGRI LIFE</v>
      </c>
      <c r="G115" s="5">
        <v>66</v>
      </c>
      <c r="H115" t="str">
        <f>"ACCT#010149/TEXAS AGRI LIFE"</f>
        <v>ACCT#010149/TEXAS AGRI LIFE</v>
      </c>
    </row>
    <row r="116" spans="1:8" x14ac:dyDescent="0.25">
      <c r="E116" t="str">
        <f>"202107064262"</f>
        <v>202107064262</v>
      </c>
      <c r="F116" t="str">
        <f>"ACCT#015199/JP#1"</f>
        <v>ACCT#015199/JP#1</v>
      </c>
      <c r="G116" s="5">
        <v>20.5</v>
      </c>
      <c r="H116" t="str">
        <f>"ACCT#015199/JP#1"</f>
        <v>ACCT#015199/JP#1</v>
      </c>
    </row>
    <row r="117" spans="1:8" x14ac:dyDescent="0.25">
      <c r="E117" t="str">
        <f>"202107064263"</f>
        <v>202107064263</v>
      </c>
      <c r="F117" t="str">
        <f>"ACCT#012259/DISTRICT CLERK"</f>
        <v>ACCT#012259/DISTRICT CLERK</v>
      </c>
      <c r="G117" s="5">
        <v>34.5</v>
      </c>
      <c r="H117" t="str">
        <f>"ACCT#012259/DISTRICT CLERK"</f>
        <v>ACCT#012259/DISTRICT CLERK</v>
      </c>
    </row>
    <row r="118" spans="1:8" x14ac:dyDescent="0.25">
      <c r="E118" t="str">
        <f>"202107064264"</f>
        <v>202107064264</v>
      </c>
      <c r="F118" t="str">
        <f>"ACCT#011474/ELECTIONS"</f>
        <v>ACCT#011474/ELECTIONS</v>
      </c>
      <c r="G118" s="5">
        <v>17.5</v>
      </c>
      <c r="H118" t="str">
        <f>"ACCT#011474/ELECTIONS"</f>
        <v>ACCT#011474/ELECTIONS</v>
      </c>
    </row>
    <row r="119" spans="1:8" x14ac:dyDescent="0.25">
      <c r="E119" t="str">
        <f>"202107064265"</f>
        <v>202107064265</v>
      </c>
      <c r="F119" t="str">
        <f>"ACCT#010057/AUDITOR"</f>
        <v>ACCT#010057/AUDITOR</v>
      </c>
      <c r="G119" s="5">
        <v>31.5</v>
      </c>
      <c r="H119" t="str">
        <f>"ACCT#010057/AUDITOR"</f>
        <v>ACCT#010057/AUDITOR</v>
      </c>
    </row>
    <row r="120" spans="1:8" x14ac:dyDescent="0.25">
      <c r="E120" t="str">
        <f>"202107064343"</f>
        <v>202107064343</v>
      </c>
      <c r="F120" t="str">
        <f>"ACCT#010835/PCT#1"</f>
        <v>ACCT#010835/PCT#1</v>
      </c>
      <c r="G120" s="5">
        <v>20.5</v>
      </c>
      <c r="H120" t="str">
        <f>"ACCT#010835/PCT#1"</f>
        <v>ACCT#010835/PCT#1</v>
      </c>
    </row>
    <row r="121" spans="1:8" x14ac:dyDescent="0.25">
      <c r="E121" t="str">
        <f>"202107064344"</f>
        <v>202107064344</v>
      </c>
      <c r="F121" t="str">
        <f>"ACCT#011955/DISTRICT JUDGE"</f>
        <v>ACCT#011955/DISTRICT JUDGE</v>
      </c>
      <c r="G121" s="5">
        <v>19.5</v>
      </c>
      <c r="H121" t="str">
        <f>"ACCT#011955/DISTRICT JUDGE"</f>
        <v>ACCT#011955/DISTRICT JUDGE</v>
      </c>
    </row>
    <row r="122" spans="1:8" x14ac:dyDescent="0.25">
      <c r="E122" t="str">
        <f>"202107064345"</f>
        <v>202107064345</v>
      </c>
      <c r="F122" t="str">
        <f>"ACCT#012231/DIST JUDGE OFFICE"</f>
        <v>ACCT#012231/DIST JUDGE OFFICE</v>
      </c>
      <c r="G122" s="5">
        <v>10</v>
      </c>
      <c r="H122" t="str">
        <f>"ACCT#012231/DIST JUDGE OFFICE"</f>
        <v>ACCT#012231/DIST JUDGE OFFICE</v>
      </c>
    </row>
    <row r="123" spans="1:8" x14ac:dyDescent="0.25">
      <c r="E123" t="str">
        <f>"202107064346"</f>
        <v>202107064346</v>
      </c>
      <c r="F123" t="str">
        <f>"ACCT#015476/PURCHASING DEPT."</f>
        <v>ACCT#015476/PURCHASING DEPT.</v>
      </c>
      <c r="G123" s="5">
        <v>19</v>
      </c>
      <c r="H123" t="str">
        <f>"ACCT#015476/PURCHASING DEPT."</f>
        <v>ACCT#015476/PURCHASING DEPT.</v>
      </c>
    </row>
    <row r="124" spans="1:8" x14ac:dyDescent="0.25">
      <c r="E124" t="str">
        <f>"202107064352"</f>
        <v>202107064352</v>
      </c>
      <c r="F124" t="str">
        <f>"ACCT#014877/INDIGENT HEALTH"</f>
        <v>ACCT#014877/INDIGENT HEALTH</v>
      </c>
      <c r="G124" s="5">
        <v>44</v>
      </c>
      <c r="H124" t="str">
        <f>"ACCT#014877/INDIGENT HEALTH"</f>
        <v>ACCT#014877/INDIGENT HEALTH</v>
      </c>
    </row>
    <row r="125" spans="1:8" x14ac:dyDescent="0.25">
      <c r="E125" t="str">
        <f>"202107064355"</f>
        <v>202107064355</v>
      </c>
      <c r="F125" t="str">
        <f>"ACCT#011033/IT DEPT."</f>
        <v>ACCT#011033/IT DEPT.</v>
      </c>
      <c r="G125" s="5">
        <v>144</v>
      </c>
      <c r="H125" t="str">
        <f>"ACCT#011033/IT DEPT."</f>
        <v>ACCT#011033/IT DEPT.</v>
      </c>
    </row>
    <row r="126" spans="1:8" x14ac:dyDescent="0.25">
      <c r="E126" t="str">
        <f>"202107074427"</f>
        <v>202107074427</v>
      </c>
      <c r="F126" t="str">
        <f>"ACCT#014737/ANIMAL SHELTER"</f>
        <v>ACCT#014737/ANIMAL SHELTER</v>
      </c>
      <c r="G126" s="5">
        <v>63.4</v>
      </c>
      <c r="H126" t="str">
        <f>"ACCT#014737/ANIMAL SHELTER"</f>
        <v>ACCT#014737/ANIMAL SHELTER</v>
      </c>
    </row>
    <row r="127" spans="1:8" x14ac:dyDescent="0.25">
      <c r="E127" t="str">
        <f>"202107074429"</f>
        <v>202107074429</v>
      </c>
      <c r="F127" t="str">
        <f>"ACCT#013393/HUMAN RESCOURCES"</f>
        <v>ACCT#013393/HUMAN RESCOURCES</v>
      </c>
      <c r="G127" s="5">
        <v>27</v>
      </c>
      <c r="H127" t="str">
        <f>"ACCT#013393/HUMAN RESCOURCES"</f>
        <v>ACCT#013393/HUMAN RESCOURCES</v>
      </c>
    </row>
    <row r="128" spans="1:8" x14ac:dyDescent="0.25">
      <c r="A128" t="s">
        <v>28</v>
      </c>
      <c r="B128">
        <v>136316</v>
      </c>
      <c r="C128" s="5">
        <v>40.74</v>
      </c>
      <c r="D128" s="3">
        <v>44403</v>
      </c>
      <c r="E128" t="str">
        <f>"202107134530"</f>
        <v>202107134530</v>
      </c>
      <c r="F128" t="str">
        <f>"CUST#016020/COLLECTIONS"</f>
        <v>CUST#016020/COLLECTIONS</v>
      </c>
      <c r="G128" s="5">
        <v>37.74</v>
      </c>
      <c r="H128" t="str">
        <f>"CUST#016020/COLLECTIONS"</f>
        <v>CUST#016020/COLLECTIONS</v>
      </c>
    </row>
    <row r="129" spans="1:8" x14ac:dyDescent="0.25">
      <c r="E129" t="str">
        <f>"202107144542"</f>
        <v>202107144542</v>
      </c>
      <c r="F129" t="str">
        <f>"ACCT#012803/COUNTY JUDGE"</f>
        <v>ACCT#012803/COUNTY JUDGE</v>
      </c>
      <c r="G129" s="5">
        <v>3</v>
      </c>
      <c r="H129" t="str">
        <f>"ACCT#012803/COUNTY JUDGE"</f>
        <v>ACCT#012803/COUNTY JUDGE</v>
      </c>
    </row>
    <row r="130" spans="1:8" x14ac:dyDescent="0.25">
      <c r="A130" t="s">
        <v>29</v>
      </c>
      <c r="B130">
        <v>136159</v>
      </c>
      <c r="C130" s="5">
        <v>106.4</v>
      </c>
      <c r="D130" s="3">
        <v>44386</v>
      </c>
      <c r="E130" t="str">
        <f>"202107084462"</f>
        <v>202107084462</v>
      </c>
      <c r="F130" t="str">
        <f>"ACCT#0201855301 / 06022021"</f>
        <v>ACCT#0201855301 / 06022021</v>
      </c>
      <c r="G130" s="5">
        <v>50.43</v>
      </c>
      <c r="H130" t="str">
        <f>"AQUA WATER SUPPLY CORPORATION"</f>
        <v>AQUA WATER SUPPLY CORPORATION</v>
      </c>
    </row>
    <row r="131" spans="1:8" x14ac:dyDescent="0.25">
      <c r="E131" t="str">
        <f>"202107084463"</f>
        <v>202107084463</v>
      </c>
      <c r="F131" t="str">
        <f>"ACCT#0201891401 / 06012021"</f>
        <v>ACCT#0201891401 / 06012021</v>
      </c>
      <c r="G131" s="5">
        <v>25.28</v>
      </c>
      <c r="H131" t="str">
        <f>"AQUA WATER SUPPLY CORPORATION"</f>
        <v>AQUA WATER SUPPLY CORPORATION</v>
      </c>
    </row>
    <row r="132" spans="1:8" x14ac:dyDescent="0.25">
      <c r="E132" t="str">
        <f>"202107084464"</f>
        <v>202107084464</v>
      </c>
      <c r="F132" t="str">
        <f>"ACCT#0202496901 / 06112021"</f>
        <v>ACCT#0202496901 / 06112021</v>
      </c>
      <c r="G132" s="5">
        <v>30.69</v>
      </c>
      <c r="H132" t="str">
        <f>"AQUA WATER SUPPLY CORPORATION"</f>
        <v>AQUA WATER SUPPLY CORPORATION</v>
      </c>
    </row>
    <row r="133" spans="1:8" x14ac:dyDescent="0.25">
      <c r="A133" t="s">
        <v>29</v>
      </c>
      <c r="B133">
        <v>136317</v>
      </c>
      <c r="C133" s="5">
        <v>1857.3</v>
      </c>
      <c r="D133" s="3">
        <v>44403</v>
      </c>
      <c r="E133" t="str">
        <f>"202107134534"</f>
        <v>202107134534</v>
      </c>
      <c r="F133" t="str">
        <f>"ACCT#7700010027/PCT#4"</f>
        <v>ACCT#7700010027/PCT#4</v>
      </c>
      <c r="G133" s="5">
        <v>635.5</v>
      </c>
      <c r="H133" t="str">
        <f>"ACCT#7700010027/PCT#4"</f>
        <v>ACCT#7700010027/PCT#4</v>
      </c>
    </row>
    <row r="134" spans="1:8" x14ac:dyDescent="0.25">
      <c r="E134" t="str">
        <f>"202107134536"</f>
        <v>202107134536</v>
      </c>
      <c r="F134" t="str">
        <f>"ACCT#7700010019/PCT#3"</f>
        <v>ACCT#7700010019/PCT#3</v>
      </c>
      <c r="G134" s="5">
        <v>2.0499999999999998</v>
      </c>
      <c r="H134" t="str">
        <f>"ACCT#7700010019/PCT#3"</f>
        <v>ACCT#7700010019/PCT#3</v>
      </c>
    </row>
    <row r="135" spans="1:8" x14ac:dyDescent="0.25">
      <c r="E135" t="str">
        <f>"202107134537"</f>
        <v>202107134537</v>
      </c>
      <c r="F135" t="str">
        <f>"ACCT#7700010026/PCT#3"</f>
        <v>ACCT#7700010026/PCT#3</v>
      </c>
      <c r="G135" s="5">
        <v>1219.75</v>
      </c>
      <c r="H135" t="str">
        <f>"ACCT#7700010026/PCT#3"</f>
        <v>ACCT#7700010026/PCT#3</v>
      </c>
    </row>
    <row r="136" spans="1:8" x14ac:dyDescent="0.25">
      <c r="A136" t="s">
        <v>29</v>
      </c>
      <c r="B136">
        <v>136493</v>
      </c>
      <c r="C136" s="5">
        <v>1092.05</v>
      </c>
      <c r="D136" s="3">
        <v>44406</v>
      </c>
      <c r="E136" t="str">
        <f>"202107284806"</f>
        <v>202107284806</v>
      </c>
      <c r="F136" t="str">
        <f>"ACCT#0102120801//PCT#2"</f>
        <v>ACCT#0102120801//PCT#2</v>
      </c>
      <c r="G136" s="5">
        <v>46.94</v>
      </c>
      <c r="H136" t="str">
        <f>"ACCT#0102120801//PCT#2"</f>
        <v>ACCT#0102120801//PCT#2</v>
      </c>
    </row>
    <row r="137" spans="1:8" x14ac:dyDescent="0.25">
      <c r="E137" t="str">
        <f>"202107284807"</f>
        <v>202107284807</v>
      </c>
      <c r="F137" t="str">
        <f>"ACCT#0400785803 / 07012021"</f>
        <v>ACCT#0400785803 / 07012021</v>
      </c>
      <c r="G137" s="5">
        <v>219.99</v>
      </c>
      <c r="H137" t="str">
        <f>"AQUA WATER SUPPLY CORPORATION"</f>
        <v>AQUA WATER SUPPLY CORPORATION</v>
      </c>
    </row>
    <row r="138" spans="1:8" x14ac:dyDescent="0.25">
      <c r="E138" t="str">
        <f>"202107284808"</f>
        <v>202107284808</v>
      </c>
      <c r="F138" t="str">
        <f>"ACCT#0401408501 / 07012021"</f>
        <v>ACCT#0401408501 / 07012021</v>
      </c>
      <c r="G138" s="5">
        <v>740.9</v>
      </c>
      <c r="H138" t="str">
        <f>"AQUA WATER SUPPLY CORPORATION"</f>
        <v>AQUA WATER SUPPLY CORPORATION</v>
      </c>
    </row>
    <row r="139" spans="1:8" x14ac:dyDescent="0.25">
      <c r="E139" t="str">
        <f>"202107284809"</f>
        <v>202107284809</v>
      </c>
      <c r="F139" t="str">
        <f>"ACCT#0800042801 / 07032021"</f>
        <v>ACCT#0800042801 / 07032021</v>
      </c>
      <c r="G139" s="5">
        <v>58.94</v>
      </c>
      <c r="H139" t="str">
        <f>"AQUA WATER SUPPLY CORPORATION"</f>
        <v>AQUA WATER SUPPLY CORPORATION</v>
      </c>
    </row>
    <row r="140" spans="1:8" x14ac:dyDescent="0.25">
      <c r="E140" t="str">
        <f>"202107284810"</f>
        <v>202107284810</v>
      </c>
      <c r="F140" t="str">
        <f>"ACCT#0802361501 / 070221"</f>
        <v>ACCT#0802361501 / 070221</v>
      </c>
      <c r="G140" s="5">
        <v>25.28</v>
      </c>
      <c r="H140" t="str">
        <f>"AQUA WATER SUPPLY CORPORATION"</f>
        <v>AQUA WATER SUPPLY CORPORATION</v>
      </c>
    </row>
    <row r="141" spans="1:8" x14ac:dyDescent="0.25">
      <c r="A141" t="s">
        <v>30</v>
      </c>
      <c r="B141">
        <v>136172</v>
      </c>
      <c r="C141" s="5">
        <v>147.29</v>
      </c>
      <c r="D141" s="3">
        <v>44389</v>
      </c>
      <c r="E141" t="str">
        <f>"202107014226"</f>
        <v>202107014226</v>
      </c>
      <c r="F141" t="str">
        <f>"INDIGENT HEALTH"</f>
        <v>INDIGENT HEALTH</v>
      </c>
      <c r="G141" s="5">
        <v>147.29</v>
      </c>
      <c r="H141" t="str">
        <f>"INDIGENT HEALTH"</f>
        <v>INDIGENT HEALTH</v>
      </c>
    </row>
    <row r="142" spans="1:8" x14ac:dyDescent="0.25">
      <c r="A142" t="s">
        <v>31</v>
      </c>
      <c r="B142">
        <v>4800</v>
      </c>
      <c r="C142" s="5">
        <v>4409.57</v>
      </c>
      <c r="D142" s="3">
        <v>44404</v>
      </c>
      <c r="E142" t="str">
        <f>"15185"</f>
        <v>15185</v>
      </c>
      <c r="F142" t="str">
        <f>"SOCIAL MEDIA/APRIL-MAY"</f>
        <v>SOCIAL MEDIA/APRIL-MAY</v>
      </c>
      <c r="G142" s="5">
        <v>4409.57</v>
      </c>
      <c r="H142" t="str">
        <f>"SOCIAL MEDIA/APRIL-MAY"</f>
        <v>SOCIAL MEDIA/APRIL-MAY</v>
      </c>
    </row>
    <row r="143" spans="1:8" x14ac:dyDescent="0.25">
      <c r="A143" t="s">
        <v>32</v>
      </c>
      <c r="B143">
        <v>136173</v>
      </c>
      <c r="C143" s="5">
        <v>6233.27</v>
      </c>
      <c r="D143" s="3">
        <v>44389</v>
      </c>
      <c r="E143" t="str">
        <f>"202107014227"</f>
        <v>202107014227</v>
      </c>
      <c r="F143" t="str">
        <f>"INDIGENT HEALTH"</f>
        <v>INDIGENT HEALTH</v>
      </c>
      <c r="G143" s="5">
        <v>2100.39</v>
      </c>
      <c r="H143" t="str">
        <f>"INDIGENT HEALTH"</f>
        <v>INDIGENT HEALTH</v>
      </c>
    </row>
    <row r="144" spans="1:8" x14ac:dyDescent="0.25">
      <c r="E144" t="str">
        <f>"202107074381"</f>
        <v>202107074381</v>
      </c>
      <c r="F144" t="str">
        <f>"JAIL MEDICAL"</f>
        <v>JAIL MEDICAL</v>
      </c>
      <c r="G144" s="5">
        <v>4132.88</v>
      </c>
      <c r="H144" t="str">
        <f>"JAIL MEDICAL"</f>
        <v>JAIL MEDICAL</v>
      </c>
    </row>
    <row r="145" spans="1:8" x14ac:dyDescent="0.25">
      <c r="A145" t="s">
        <v>32</v>
      </c>
      <c r="B145">
        <v>136318</v>
      </c>
      <c r="C145" s="5">
        <v>2011.38</v>
      </c>
      <c r="D145" s="3">
        <v>44403</v>
      </c>
      <c r="E145" t="str">
        <f>"202107204691"</f>
        <v>202107204691</v>
      </c>
      <c r="F145" t="str">
        <f>"INDIGENT HEALTH"</f>
        <v>INDIGENT HEALTH</v>
      </c>
      <c r="G145" s="5">
        <v>2011.38</v>
      </c>
      <c r="H145" t="str">
        <f>"INDIGENT HEALTH"</f>
        <v>INDIGENT HEALTH</v>
      </c>
    </row>
    <row r="146" spans="1:8" x14ac:dyDescent="0.25">
      <c r="A146" t="s">
        <v>33</v>
      </c>
      <c r="B146">
        <v>4786</v>
      </c>
      <c r="C146" s="5">
        <v>4120</v>
      </c>
      <c r="D146" s="3">
        <v>44404</v>
      </c>
      <c r="E146" t="str">
        <f>"RSA074611-1"</f>
        <v>RSA074611-1</v>
      </c>
      <c r="F146" t="str">
        <f>"CUST#BP0014528/PCT#4"</f>
        <v>CUST#BP0014528/PCT#4</v>
      </c>
      <c r="G146" s="5">
        <v>4120</v>
      </c>
      <c r="H146" t="str">
        <f>"CUST#BP0014528/PCT#4"</f>
        <v>CUST#BP0014528/PCT#4</v>
      </c>
    </row>
    <row r="147" spans="1:8" x14ac:dyDescent="0.25">
      <c r="A147" t="s">
        <v>34</v>
      </c>
      <c r="B147">
        <v>136319</v>
      </c>
      <c r="C147" s="5">
        <v>90</v>
      </c>
      <c r="D147" s="3">
        <v>44403</v>
      </c>
      <c r="E147" t="str">
        <f>"21-27946"</f>
        <v>21-27946</v>
      </c>
      <c r="F147" t="str">
        <f>"PER DIEM"</f>
        <v>PER DIEM</v>
      </c>
      <c r="G147" s="5">
        <v>90</v>
      </c>
      <c r="H147" t="str">
        <f>"PER DIEM"</f>
        <v>PER DIEM</v>
      </c>
    </row>
    <row r="148" spans="1:8" x14ac:dyDescent="0.25">
      <c r="A148" t="s">
        <v>35</v>
      </c>
      <c r="B148">
        <v>136174</v>
      </c>
      <c r="C148" s="5">
        <v>10.02</v>
      </c>
      <c r="D148" s="3">
        <v>44389</v>
      </c>
      <c r="E148" t="str">
        <f>"202107074428"</f>
        <v>202107074428</v>
      </c>
      <c r="F148" t="str">
        <f>"REIMBURSE/ASHLEY HERMANS"</f>
        <v>REIMBURSE/ASHLEY HERMANS</v>
      </c>
      <c r="G148" s="5">
        <v>10.02</v>
      </c>
      <c r="H148" t="str">
        <f>"REIMBURSE/ASHLEY HERMANS"</f>
        <v>REIMBURSE/ASHLEY HERMANS</v>
      </c>
    </row>
    <row r="149" spans="1:8" x14ac:dyDescent="0.25">
      <c r="A149" t="s">
        <v>35</v>
      </c>
      <c r="B149">
        <v>136320</v>
      </c>
      <c r="C149" s="5">
        <v>108.77</v>
      </c>
      <c r="D149" s="3">
        <v>44403</v>
      </c>
      <c r="E149" t="str">
        <f>"202107204684"</f>
        <v>202107204684</v>
      </c>
      <c r="F149" t="str">
        <f>"REIMBURSE/ASHLEY HERMANS"</f>
        <v>REIMBURSE/ASHLEY HERMANS</v>
      </c>
      <c r="G149" s="5">
        <v>108.77</v>
      </c>
      <c r="H149" t="str">
        <f>"REIMBURSE/ASHLEY HERMANS"</f>
        <v>REIMBURSE/ASHLEY HERMANS</v>
      </c>
    </row>
    <row r="150" spans="1:8" x14ac:dyDescent="0.25">
      <c r="E150" t="str">
        <f>""</f>
        <v/>
      </c>
      <c r="F150" t="str">
        <f>""</f>
        <v/>
      </c>
      <c r="H150" t="str">
        <f>"REIMBURSE/ASHLEY HERMANS"</f>
        <v>REIMBURSE/ASHLEY HERMANS</v>
      </c>
    </row>
    <row r="151" spans="1:8" x14ac:dyDescent="0.25">
      <c r="E151" t="str">
        <f>""</f>
        <v/>
      </c>
      <c r="F151" t="str">
        <f>""</f>
        <v/>
      </c>
      <c r="H151" t="str">
        <f>"REIMBURSE/ASHLEY HERMANS"</f>
        <v>REIMBURSE/ASHLEY HERMANS</v>
      </c>
    </row>
    <row r="152" spans="1:8" x14ac:dyDescent="0.25">
      <c r="A152" t="s">
        <v>36</v>
      </c>
      <c r="B152">
        <v>136175</v>
      </c>
      <c r="C152" s="5">
        <v>58.05</v>
      </c>
      <c r="D152" s="3">
        <v>44389</v>
      </c>
      <c r="E152" t="str">
        <f>"202107074382"</f>
        <v>202107074382</v>
      </c>
      <c r="F152" t="str">
        <f>"REIMBURSE/ASHLEY RADDE"</f>
        <v>REIMBURSE/ASHLEY RADDE</v>
      </c>
      <c r="G152" s="5">
        <v>38.049999999999997</v>
      </c>
      <c r="H152" t="str">
        <f>"REIMBURSE/ASHLEY RADDE"</f>
        <v>REIMBURSE/ASHLEY RADDE</v>
      </c>
    </row>
    <row r="153" spans="1:8" x14ac:dyDescent="0.25">
      <c r="E153" t="str">
        <f>"202107074383"</f>
        <v>202107074383</v>
      </c>
      <c r="F153" t="str">
        <f>"REIMBURSE/ASHLEY RADDE"</f>
        <v>REIMBURSE/ASHLEY RADDE</v>
      </c>
      <c r="G153" s="5">
        <v>20</v>
      </c>
      <c r="H153" t="str">
        <f>"REIMBURSE/ASHLEY RADDE"</f>
        <v>REIMBURSE/ASHLEY RADDE</v>
      </c>
    </row>
    <row r="154" spans="1:8" x14ac:dyDescent="0.25">
      <c r="A154" t="s">
        <v>36</v>
      </c>
      <c r="B154">
        <v>136321</v>
      </c>
      <c r="C154" s="5">
        <v>180.79</v>
      </c>
      <c r="D154" s="3">
        <v>44403</v>
      </c>
      <c r="E154" t="str">
        <f>"202107134532"</f>
        <v>202107134532</v>
      </c>
      <c r="F154" t="str">
        <f>"REIMBURSE/ASHLEY RADDE"</f>
        <v>REIMBURSE/ASHLEY RADDE</v>
      </c>
      <c r="G154" s="5">
        <v>180.79</v>
      </c>
      <c r="H154" t="str">
        <f>"REIMBURSE/ASHLEY RADDE"</f>
        <v>REIMBURSE/ASHLEY RADDE</v>
      </c>
    </row>
    <row r="155" spans="1:8" x14ac:dyDescent="0.25">
      <c r="A155" t="s">
        <v>37</v>
      </c>
      <c r="B155">
        <v>136176</v>
      </c>
      <c r="C155" s="5">
        <v>6330.32</v>
      </c>
      <c r="D155" s="3">
        <v>44389</v>
      </c>
      <c r="E155" t="str">
        <f>"202107064351"</f>
        <v>202107064351</v>
      </c>
      <c r="F155" t="str">
        <f>"ACCT#512A49-00481933"</f>
        <v>ACCT#512A49-00481933</v>
      </c>
      <c r="G155" s="5">
        <v>5242.97</v>
      </c>
      <c r="H155" t="str">
        <f>"ACCT#512A49-00481933"</f>
        <v>ACCT#512A49-00481933</v>
      </c>
    </row>
    <row r="156" spans="1:8" x14ac:dyDescent="0.25">
      <c r="E156" t="str">
        <f>""</f>
        <v/>
      </c>
      <c r="F156" t="str">
        <f>""</f>
        <v/>
      </c>
      <c r="H156" t="str">
        <f>"ACCT#512A49-00481933"</f>
        <v>ACCT#512A49-00481933</v>
      </c>
    </row>
    <row r="157" spans="1:8" x14ac:dyDescent="0.25">
      <c r="E157" t="str">
        <f>""</f>
        <v/>
      </c>
      <c r="F157" t="str">
        <f>""</f>
        <v/>
      </c>
      <c r="H157" t="str">
        <f>"ACCT#512A49-00481933"</f>
        <v>ACCT#512A49-00481933</v>
      </c>
    </row>
    <row r="158" spans="1:8" x14ac:dyDescent="0.25">
      <c r="E158" t="str">
        <f>""</f>
        <v/>
      </c>
      <c r="F158" t="str">
        <f>""</f>
        <v/>
      </c>
      <c r="H158" t="str">
        <f>"ACCT#512A49-00481933"</f>
        <v>ACCT#512A49-00481933</v>
      </c>
    </row>
    <row r="159" spans="1:8" x14ac:dyDescent="0.25">
      <c r="E159" t="str">
        <f>"202107074372"</f>
        <v>202107074372</v>
      </c>
      <c r="F159" t="str">
        <f>"ACCT#51230898705307"</f>
        <v>ACCT#51230898705307</v>
      </c>
      <c r="G159" s="5">
        <v>1087.3499999999999</v>
      </c>
      <c r="H159" t="str">
        <f>"ACCT#51230898705307"</f>
        <v>ACCT#51230898705307</v>
      </c>
    </row>
    <row r="160" spans="1:8" x14ac:dyDescent="0.25">
      <c r="A160" t="s">
        <v>37</v>
      </c>
      <c r="B160">
        <v>136177</v>
      </c>
      <c r="C160" s="5">
        <v>4559.32</v>
      </c>
      <c r="D160" s="3">
        <v>44389</v>
      </c>
      <c r="E160" t="str">
        <f>"202107074373"</f>
        <v>202107074373</v>
      </c>
      <c r="F160" t="str">
        <f>"ACCT#831-0006084095"</f>
        <v>ACCT#831-0006084095</v>
      </c>
      <c r="G160" s="5">
        <v>1684.69</v>
      </c>
      <c r="H160" t="str">
        <f>"ACCT#831-0006084095"</f>
        <v>ACCT#831-0006084095</v>
      </c>
    </row>
    <row r="161" spans="1:8" x14ac:dyDescent="0.25">
      <c r="E161" t="str">
        <f>"202107074374"</f>
        <v>202107074374</v>
      </c>
      <c r="F161" t="str">
        <f>"ACCT#8310007218923"</f>
        <v>ACCT#8310007218923</v>
      </c>
      <c r="G161" s="5">
        <v>874.25</v>
      </c>
      <c r="H161" t="str">
        <f>"ACCT#8310007218923"</f>
        <v>ACCT#8310007218923</v>
      </c>
    </row>
    <row r="162" spans="1:8" x14ac:dyDescent="0.25">
      <c r="E162" t="str">
        <f>"202107074375"</f>
        <v>202107074375</v>
      </c>
      <c r="F162" t="str">
        <f>"ACCT#8310007919623"</f>
        <v>ACCT#8310007919623</v>
      </c>
      <c r="G162" s="5">
        <v>2000.38</v>
      </c>
      <c r="H162" t="str">
        <f>"ACCT#8310007919623"</f>
        <v>ACCT#8310007919623</v>
      </c>
    </row>
    <row r="163" spans="1:8" x14ac:dyDescent="0.25">
      <c r="A163" t="s">
        <v>37</v>
      </c>
      <c r="B163">
        <v>136322</v>
      </c>
      <c r="C163" s="5">
        <v>125</v>
      </c>
      <c r="D163" s="3">
        <v>44403</v>
      </c>
      <c r="E163" t="str">
        <f>"392786"</f>
        <v>392786</v>
      </c>
      <c r="F163" t="str">
        <f>"INV 392786"</f>
        <v>INV 392786</v>
      </c>
      <c r="G163" s="5">
        <v>125</v>
      </c>
      <c r="H163" t="str">
        <f>"INV 392786"</f>
        <v>INV 392786</v>
      </c>
    </row>
    <row r="164" spans="1:8" x14ac:dyDescent="0.25">
      <c r="A164" t="s">
        <v>38</v>
      </c>
      <c r="B164">
        <v>136178</v>
      </c>
      <c r="C164" s="5">
        <v>4717.04</v>
      </c>
      <c r="D164" s="3">
        <v>44389</v>
      </c>
      <c r="E164" t="str">
        <f>"2827290524359X0627"</f>
        <v>2827290524359X0627</v>
      </c>
      <c r="F164" t="str">
        <f>"ACCT#2827290524359/FAN#2872905"</f>
        <v>ACCT#2827290524359/FAN#2872905</v>
      </c>
      <c r="G164" s="5">
        <v>4717.04</v>
      </c>
      <c r="H164" t="str">
        <f t="shared" ref="H164:H176" si="2">"ACCT#2827290524359/FAN#2872905"</f>
        <v>ACCT#2827290524359/FAN#2872905</v>
      </c>
    </row>
    <row r="165" spans="1:8" x14ac:dyDescent="0.25">
      <c r="E165" t="str">
        <f>""</f>
        <v/>
      </c>
      <c r="F165" t="str">
        <f>""</f>
        <v/>
      </c>
      <c r="H165" t="str">
        <f t="shared" si="2"/>
        <v>ACCT#2827290524359/FAN#2872905</v>
      </c>
    </row>
    <row r="166" spans="1:8" x14ac:dyDescent="0.25">
      <c r="E166" t="str">
        <f>""</f>
        <v/>
      </c>
      <c r="F166" t="str">
        <f>""</f>
        <v/>
      </c>
      <c r="H166" t="str">
        <f t="shared" si="2"/>
        <v>ACCT#2827290524359/FAN#2872905</v>
      </c>
    </row>
    <row r="167" spans="1:8" x14ac:dyDescent="0.25">
      <c r="E167" t="str">
        <f>""</f>
        <v/>
      </c>
      <c r="F167" t="str">
        <f>""</f>
        <v/>
      </c>
      <c r="H167" t="str">
        <f t="shared" si="2"/>
        <v>ACCT#2827290524359/FAN#2872905</v>
      </c>
    </row>
    <row r="168" spans="1:8" x14ac:dyDescent="0.25">
      <c r="E168" t="str">
        <f>""</f>
        <v/>
      </c>
      <c r="F168" t="str">
        <f>""</f>
        <v/>
      </c>
      <c r="H168" t="str">
        <f t="shared" si="2"/>
        <v>ACCT#2827290524359/FAN#2872905</v>
      </c>
    </row>
    <row r="169" spans="1:8" x14ac:dyDescent="0.25">
      <c r="E169" t="str">
        <f>""</f>
        <v/>
      </c>
      <c r="F169" t="str">
        <f>""</f>
        <v/>
      </c>
      <c r="H169" t="str">
        <f t="shared" si="2"/>
        <v>ACCT#2827290524359/FAN#2872905</v>
      </c>
    </row>
    <row r="170" spans="1:8" x14ac:dyDescent="0.25">
      <c r="E170" t="str">
        <f>""</f>
        <v/>
      </c>
      <c r="F170" t="str">
        <f>""</f>
        <v/>
      </c>
      <c r="H170" t="str">
        <f t="shared" si="2"/>
        <v>ACCT#2827290524359/FAN#2872905</v>
      </c>
    </row>
    <row r="171" spans="1:8" x14ac:dyDescent="0.25">
      <c r="E171" t="str">
        <f>""</f>
        <v/>
      </c>
      <c r="F171" t="str">
        <f>""</f>
        <v/>
      </c>
      <c r="H171" t="str">
        <f t="shared" si="2"/>
        <v>ACCT#2827290524359/FAN#2872905</v>
      </c>
    </row>
    <row r="172" spans="1:8" x14ac:dyDescent="0.25">
      <c r="E172" t="str">
        <f>""</f>
        <v/>
      </c>
      <c r="F172" t="str">
        <f>""</f>
        <v/>
      </c>
      <c r="H172" t="str">
        <f t="shared" si="2"/>
        <v>ACCT#2827290524359/FAN#2872905</v>
      </c>
    </row>
    <row r="173" spans="1:8" x14ac:dyDescent="0.25">
      <c r="E173" t="str">
        <f>""</f>
        <v/>
      </c>
      <c r="F173" t="str">
        <f>""</f>
        <v/>
      </c>
      <c r="H173" t="str">
        <f t="shared" si="2"/>
        <v>ACCT#2827290524359/FAN#2872905</v>
      </c>
    </row>
    <row r="174" spans="1:8" x14ac:dyDescent="0.25">
      <c r="E174" t="str">
        <f>""</f>
        <v/>
      </c>
      <c r="F174" t="str">
        <f>""</f>
        <v/>
      </c>
      <c r="H174" t="str">
        <f t="shared" si="2"/>
        <v>ACCT#2827290524359/FAN#2872905</v>
      </c>
    </row>
    <row r="175" spans="1:8" x14ac:dyDescent="0.25">
      <c r="E175" t="str">
        <f>""</f>
        <v/>
      </c>
      <c r="F175" t="str">
        <f>""</f>
        <v/>
      </c>
      <c r="H175" t="str">
        <f t="shared" si="2"/>
        <v>ACCT#2827290524359/FAN#2872905</v>
      </c>
    </row>
    <row r="176" spans="1:8" x14ac:dyDescent="0.25">
      <c r="E176" t="str">
        <f>""</f>
        <v/>
      </c>
      <c r="F176" t="str">
        <f>""</f>
        <v/>
      </c>
      <c r="H176" t="str">
        <f t="shared" si="2"/>
        <v>ACCT#2827290524359/FAN#2872905</v>
      </c>
    </row>
    <row r="177" spans="1:8" x14ac:dyDescent="0.25">
      <c r="A177" t="s">
        <v>38</v>
      </c>
      <c r="B177">
        <v>136323</v>
      </c>
      <c r="C177" s="5">
        <v>265.10000000000002</v>
      </c>
      <c r="D177" s="3">
        <v>44403</v>
      </c>
      <c r="E177" t="str">
        <f>"202107204715"</f>
        <v>202107204715</v>
      </c>
      <c r="F177" t="str">
        <f>"INV 287280903541X07202021"</f>
        <v>INV 287280903541X07202021</v>
      </c>
      <c r="G177" s="5">
        <v>265.10000000000002</v>
      </c>
      <c r="H177" t="str">
        <f>"INV 287280903541X07202021"</f>
        <v>INV 287280903541X07202021</v>
      </c>
    </row>
    <row r="178" spans="1:8" x14ac:dyDescent="0.25">
      <c r="A178" t="s">
        <v>39</v>
      </c>
      <c r="B178">
        <v>136324</v>
      </c>
      <c r="C178" s="5">
        <v>33.270000000000003</v>
      </c>
      <c r="D178" s="3">
        <v>44403</v>
      </c>
      <c r="E178" t="str">
        <f>"202107214740"</f>
        <v>202107214740</v>
      </c>
      <c r="F178" t="str">
        <f>"JAIL MEDICAL"</f>
        <v>JAIL MEDICAL</v>
      </c>
      <c r="G178" s="5">
        <v>33.270000000000003</v>
      </c>
      <c r="H178" t="str">
        <f>"JAIL MEDICAL"</f>
        <v>JAIL MEDICAL</v>
      </c>
    </row>
    <row r="179" spans="1:8" x14ac:dyDescent="0.25">
      <c r="A179" t="s">
        <v>40</v>
      </c>
      <c r="B179">
        <v>136179</v>
      </c>
      <c r="C179" s="5">
        <v>420.2</v>
      </c>
      <c r="D179" s="3">
        <v>44389</v>
      </c>
      <c r="E179" t="str">
        <f>"159269"</f>
        <v>159269</v>
      </c>
      <c r="F179" t="str">
        <f>"GMC/PCT#3"</f>
        <v>GMC/PCT#3</v>
      </c>
      <c r="G179" s="5">
        <v>368.45</v>
      </c>
      <c r="H179" t="str">
        <f>"GMC/PCT#3"</f>
        <v>GMC/PCT#3</v>
      </c>
    </row>
    <row r="180" spans="1:8" x14ac:dyDescent="0.25">
      <c r="E180" t="str">
        <f>"159400"</f>
        <v>159400</v>
      </c>
      <c r="F180" t="str">
        <f>"HOSE/PCT#3"</f>
        <v>HOSE/PCT#3</v>
      </c>
      <c r="G180" s="5">
        <v>51.75</v>
      </c>
      <c r="H180" t="str">
        <f>"HOSE/PCT#3"</f>
        <v>HOSE/PCT#3</v>
      </c>
    </row>
    <row r="181" spans="1:8" x14ac:dyDescent="0.25">
      <c r="A181" t="s">
        <v>41</v>
      </c>
      <c r="B181">
        <v>136325</v>
      </c>
      <c r="C181" s="5">
        <v>100</v>
      </c>
      <c r="D181" s="3">
        <v>44403</v>
      </c>
      <c r="E181" t="str">
        <f>"13565"</f>
        <v>13565</v>
      </c>
      <c r="F181" t="str">
        <f>"REFUND OF PARTIAL COURT COST"</f>
        <v>REFUND OF PARTIAL COURT COST</v>
      </c>
      <c r="G181" s="5">
        <v>100</v>
      </c>
      <c r="H181" t="str">
        <f>"REFUND OF PARTIAL COURT COST"</f>
        <v>REFUND OF PARTIAL COURT COST</v>
      </c>
    </row>
    <row r="182" spans="1:8" x14ac:dyDescent="0.25">
      <c r="A182" t="s">
        <v>42</v>
      </c>
      <c r="B182">
        <v>4794</v>
      </c>
      <c r="C182" s="5">
        <v>500</v>
      </c>
      <c r="D182" s="3">
        <v>44404</v>
      </c>
      <c r="E182" t="str">
        <f>"2196"</f>
        <v>2196</v>
      </c>
      <c r="F182" t="str">
        <f>"423-3263"</f>
        <v>423-3263</v>
      </c>
      <c r="G182" s="5">
        <v>500</v>
      </c>
      <c r="H182" t="str">
        <f>"423-3263"</f>
        <v>423-3263</v>
      </c>
    </row>
    <row r="183" spans="1:8" x14ac:dyDescent="0.25">
      <c r="A183" t="s">
        <v>43</v>
      </c>
      <c r="B183">
        <v>136180</v>
      </c>
      <c r="C183" s="5">
        <v>119.96</v>
      </c>
      <c r="D183" s="3">
        <v>44389</v>
      </c>
      <c r="E183" t="str">
        <f>"166894"</f>
        <v>166894</v>
      </c>
      <c r="F183" t="str">
        <f>"INV 166894"</f>
        <v>INV 166894</v>
      </c>
      <c r="G183" s="5">
        <v>119.96</v>
      </c>
      <c r="H183" t="str">
        <f>"INV 166894"</f>
        <v>INV 166894</v>
      </c>
    </row>
    <row r="184" spans="1:8" x14ac:dyDescent="0.25">
      <c r="A184" t="s">
        <v>44</v>
      </c>
      <c r="B184">
        <v>4707</v>
      </c>
      <c r="C184" s="5">
        <v>1850</v>
      </c>
      <c r="D184" s="3">
        <v>44390</v>
      </c>
      <c r="E184" t="str">
        <f>"1642"</f>
        <v>1642</v>
      </c>
      <c r="F184" t="str">
        <f>"REMOVED TREE/WAYSIDE ROAD"</f>
        <v>REMOVED TREE/WAYSIDE ROAD</v>
      </c>
      <c r="G184" s="5">
        <v>1850</v>
      </c>
      <c r="H184" t="str">
        <f>"REMOVED TREE/WAYSIDE ROAD"</f>
        <v>REMOVED TREE/WAYSIDE ROAD</v>
      </c>
    </row>
    <row r="185" spans="1:8" x14ac:dyDescent="0.25">
      <c r="A185" t="s">
        <v>44</v>
      </c>
      <c r="B185">
        <v>4789</v>
      </c>
      <c r="C185" s="5">
        <v>10000</v>
      </c>
      <c r="D185" s="3">
        <v>44404</v>
      </c>
      <c r="E185" t="str">
        <f>"1643"</f>
        <v>1643</v>
      </c>
      <c r="F185" t="str">
        <f>"TREE REMOVAL/PCT#1"</f>
        <v>TREE REMOVAL/PCT#1</v>
      </c>
      <c r="G185" s="5">
        <v>5000</v>
      </c>
      <c r="H185" t="str">
        <f>"TREE REMOVAL/PCT#1"</f>
        <v>TREE REMOVAL/PCT#1</v>
      </c>
    </row>
    <row r="186" spans="1:8" x14ac:dyDescent="0.25">
      <c r="E186" t="str">
        <f>"1644"</f>
        <v>1644</v>
      </c>
      <c r="F186" t="str">
        <f>"REMOVE TREE MT.OLIVE/PCT#1"</f>
        <v>REMOVE TREE MT.OLIVE/PCT#1</v>
      </c>
      <c r="G186" s="5">
        <v>5000</v>
      </c>
      <c r="H186" t="str">
        <f>"REMOVE TREE MT.OLIVE/PCT#1"</f>
        <v>REMOVE TREE MT.OLIVE/PCT#1</v>
      </c>
    </row>
    <row r="187" spans="1:8" x14ac:dyDescent="0.25">
      <c r="A187" t="s">
        <v>45</v>
      </c>
      <c r="B187">
        <v>136181</v>
      </c>
      <c r="C187" s="5">
        <v>255</v>
      </c>
      <c r="D187" s="3">
        <v>44389</v>
      </c>
      <c r="E187" t="str">
        <f>"202107074412"</f>
        <v>202107074412</v>
      </c>
      <c r="F187" t="str">
        <f>"REIMBURSE COUPON#25073/25988"</f>
        <v>REIMBURSE COUPON#25073/25988</v>
      </c>
      <c r="G187" s="5">
        <v>255</v>
      </c>
      <c r="H187" t="str">
        <f>"REIMBURSE COUPON#25073/25988"</f>
        <v>REIMBURSE COUPON#25073/25988</v>
      </c>
    </row>
    <row r="188" spans="1:8" x14ac:dyDescent="0.25">
      <c r="A188" t="s">
        <v>46</v>
      </c>
      <c r="B188">
        <v>136182</v>
      </c>
      <c r="C188" s="5">
        <v>1267</v>
      </c>
      <c r="D188" s="3">
        <v>44389</v>
      </c>
      <c r="E188" t="str">
        <f>"13286"</f>
        <v>13286</v>
      </c>
      <c r="F188" t="str">
        <f t="shared" ref="F188:F211" si="3">"SERVICE"</f>
        <v>SERVICE</v>
      </c>
      <c r="G188" s="5">
        <v>250</v>
      </c>
      <c r="H188" t="str">
        <f t="shared" ref="H188:H211" si="4">"SERVICE"</f>
        <v>SERVICE</v>
      </c>
    </row>
    <row r="189" spans="1:8" x14ac:dyDescent="0.25">
      <c r="E189" t="str">
        <f>"13289"</f>
        <v>13289</v>
      </c>
      <c r="F189" t="str">
        <f t="shared" si="3"/>
        <v>SERVICE</v>
      </c>
      <c r="G189" s="5">
        <v>442</v>
      </c>
      <c r="H189" t="str">
        <f t="shared" si="4"/>
        <v>SERVICE</v>
      </c>
    </row>
    <row r="190" spans="1:8" x14ac:dyDescent="0.25">
      <c r="E190" t="str">
        <f>"13357"</f>
        <v>13357</v>
      </c>
      <c r="F190" t="str">
        <f t="shared" si="3"/>
        <v>SERVICE</v>
      </c>
      <c r="G190" s="5">
        <v>325</v>
      </c>
      <c r="H190" t="str">
        <f t="shared" si="4"/>
        <v>SERVICE</v>
      </c>
    </row>
    <row r="191" spans="1:8" x14ac:dyDescent="0.25">
      <c r="E191" t="str">
        <f>"13424"</f>
        <v>13424</v>
      </c>
      <c r="F191" t="str">
        <f t="shared" si="3"/>
        <v>SERVICE</v>
      </c>
      <c r="G191" s="5">
        <v>250</v>
      </c>
      <c r="H191" t="str">
        <f t="shared" si="4"/>
        <v>SERVICE</v>
      </c>
    </row>
    <row r="192" spans="1:8" x14ac:dyDescent="0.25">
      <c r="A192" t="s">
        <v>46</v>
      </c>
      <c r="B192">
        <v>136326</v>
      </c>
      <c r="C192" s="5">
        <v>3707</v>
      </c>
      <c r="D192" s="3">
        <v>44403</v>
      </c>
      <c r="E192" t="str">
        <f>"12330"</f>
        <v>12330</v>
      </c>
      <c r="F192" t="str">
        <f t="shared" si="3"/>
        <v>SERVICE</v>
      </c>
      <c r="G192" s="5">
        <v>200</v>
      </c>
      <c r="H192" t="str">
        <f t="shared" si="4"/>
        <v>SERVICE</v>
      </c>
    </row>
    <row r="193" spans="5:8" x14ac:dyDescent="0.25">
      <c r="E193" t="str">
        <f>"12383-4/5/21"</f>
        <v>12383-4/5/21</v>
      </c>
      <c r="F193" t="str">
        <f t="shared" si="3"/>
        <v>SERVICE</v>
      </c>
      <c r="G193" s="5">
        <v>575</v>
      </c>
      <c r="H193" t="str">
        <f t="shared" si="4"/>
        <v>SERVICE</v>
      </c>
    </row>
    <row r="194" spans="5:8" x14ac:dyDescent="0.25">
      <c r="E194" t="str">
        <f>"12738"</f>
        <v>12738</v>
      </c>
      <c r="F194" t="str">
        <f t="shared" si="3"/>
        <v>SERVICE</v>
      </c>
      <c r="G194" s="5">
        <v>325</v>
      </c>
      <c r="H194" t="str">
        <f t="shared" si="4"/>
        <v>SERVICE</v>
      </c>
    </row>
    <row r="195" spans="5:8" x14ac:dyDescent="0.25">
      <c r="E195" t="str">
        <f>"12869"</f>
        <v>12869</v>
      </c>
      <c r="F195" t="str">
        <f t="shared" si="3"/>
        <v>SERVICE</v>
      </c>
      <c r="G195" s="5">
        <v>250</v>
      </c>
      <c r="H195" t="str">
        <f t="shared" si="4"/>
        <v>SERVICE</v>
      </c>
    </row>
    <row r="196" spans="5:8" x14ac:dyDescent="0.25">
      <c r="E196" t="str">
        <f>"12917"</f>
        <v>12917</v>
      </c>
      <c r="F196" t="str">
        <f t="shared" si="3"/>
        <v>SERVICE</v>
      </c>
      <c r="G196" s="5">
        <v>325</v>
      </c>
      <c r="H196" t="str">
        <f t="shared" si="4"/>
        <v>SERVICE</v>
      </c>
    </row>
    <row r="197" spans="5:8" x14ac:dyDescent="0.25">
      <c r="E197" t="str">
        <f>"12926"</f>
        <v>12926</v>
      </c>
      <c r="F197" t="str">
        <f t="shared" si="3"/>
        <v>SERVICE</v>
      </c>
      <c r="G197" s="5">
        <v>250</v>
      </c>
      <c r="H197" t="str">
        <f t="shared" si="4"/>
        <v>SERVICE</v>
      </c>
    </row>
    <row r="198" spans="5:8" x14ac:dyDescent="0.25">
      <c r="E198" t="str">
        <f>"13032"</f>
        <v>13032</v>
      </c>
      <c r="F198" t="str">
        <f t="shared" si="3"/>
        <v>SERVICE</v>
      </c>
      <c r="G198" s="5">
        <v>325</v>
      </c>
      <c r="H198" t="str">
        <f t="shared" si="4"/>
        <v>SERVICE</v>
      </c>
    </row>
    <row r="199" spans="5:8" x14ac:dyDescent="0.25">
      <c r="E199" t="str">
        <f>"13102"</f>
        <v>13102</v>
      </c>
      <c r="F199" t="str">
        <f t="shared" si="3"/>
        <v>SERVICE</v>
      </c>
      <c r="G199" s="5">
        <v>325</v>
      </c>
      <c r="H199" t="str">
        <f t="shared" si="4"/>
        <v>SERVICE</v>
      </c>
    </row>
    <row r="200" spans="5:8" x14ac:dyDescent="0.25">
      <c r="E200" t="str">
        <f>"13136"</f>
        <v>13136</v>
      </c>
      <c r="F200" t="str">
        <f t="shared" si="3"/>
        <v>SERVICE</v>
      </c>
      <c r="G200" s="5">
        <v>150</v>
      </c>
      <c r="H200" t="str">
        <f t="shared" si="4"/>
        <v>SERVICE</v>
      </c>
    </row>
    <row r="201" spans="5:8" x14ac:dyDescent="0.25">
      <c r="E201" t="str">
        <f>"13255"</f>
        <v>13255</v>
      </c>
      <c r="F201" t="str">
        <f t="shared" si="3"/>
        <v>SERVICE</v>
      </c>
      <c r="G201" s="5">
        <v>75</v>
      </c>
      <c r="H201" t="str">
        <f t="shared" si="4"/>
        <v>SERVICE</v>
      </c>
    </row>
    <row r="202" spans="5:8" x14ac:dyDescent="0.25">
      <c r="E202" t="str">
        <f>"13305"</f>
        <v>13305</v>
      </c>
      <c r="F202" t="str">
        <f t="shared" si="3"/>
        <v>SERVICE</v>
      </c>
      <c r="G202" s="5">
        <v>325</v>
      </c>
      <c r="H202" t="str">
        <f t="shared" si="4"/>
        <v>SERVICE</v>
      </c>
    </row>
    <row r="203" spans="5:8" x14ac:dyDescent="0.25">
      <c r="E203" t="str">
        <f>"13390"</f>
        <v>13390</v>
      </c>
      <c r="F203" t="str">
        <f t="shared" si="3"/>
        <v>SERVICE</v>
      </c>
      <c r="G203" s="5">
        <v>17</v>
      </c>
      <c r="H203" t="str">
        <f t="shared" si="4"/>
        <v>SERVICE</v>
      </c>
    </row>
    <row r="204" spans="5:8" x14ac:dyDescent="0.25">
      <c r="E204" t="str">
        <f>"13489 5-11-21"</f>
        <v>13489 5-11-21</v>
      </c>
      <c r="F204" t="str">
        <f t="shared" si="3"/>
        <v>SERVICE</v>
      </c>
      <c r="G204" s="5">
        <v>50</v>
      </c>
      <c r="H204" t="str">
        <f t="shared" si="4"/>
        <v>SERVICE</v>
      </c>
    </row>
    <row r="205" spans="5:8" x14ac:dyDescent="0.25">
      <c r="E205" t="str">
        <f>"13510"</f>
        <v>13510</v>
      </c>
      <c r="F205" t="str">
        <f t="shared" si="3"/>
        <v>SERVICE</v>
      </c>
      <c r="G205" s="5">
        <v>13</v>
      </c>
      <c r="H205" t="str">
        <f t="shared" si="4"/>
        <v>SERVICE</v>
      </c>
    </row>
    <row r="206" spans="5:8" x14ac:dyDescent="0.25">
      <c r="E206" t="str">
        <f>"13634"</f>
        <v>13634</v>
      </c>
      <c r="F206" t="str">
        <f t="shared" si="3"/>
        <v>SERVICE</v>
      </c>
      <c r="G206" s="5">
        <v>50</v>
      </c>
      <c r="H206" t="str">
        <f t="shared" si="4"/>
        <v>SERVICE</v>
      </c>
    </row>
    <row r="207" spans="5:8" x14ac:dyDescent="0.25">
      <c r="E207" t="str">
        <f>"13660"</f>
        <v>13660</v>
      </c>
      <c r="F207" t="str">
        <f t="shared" si="3"/>
        <v>SERVICE</v>
      </c>
      <c r="G207" s="5">
        <v>20</v>
      </c>
      <c r="H207" t="str">
        <f t="shared" si="4"/>
        <v>SERVICE</v>
      </c>
    </row>
    <row r="208" spans="5:8" x14ac:dyDescent="0.25">
      <c r="E208" t="str">
        <f>"13683"</f>
        <v>13683</v>
      </c>
      <c r="F208" t="str">
        <f t="shared" si="3"/>
        <v>SERVICE</v>
      </c>
      <c r="G208" s="5">
        <v>75</v>
      </c>
      <c r="H208" t="str">
        <f t="shared" si="4"/>
        <v>SERVICE</v>
      </c>
    </row>
    <row r="209" spans="1:8" x14ac:dyDescent="0.25">
      <c r="E209" t="str">
        <f>"13694"</f>
        <v>13694</v>
      </c>
      <c r="F209" t="str">
        <f t="shared" si="3"/>
        <v>SERVICE</v>
      </c>
      <c r="G209" s="5">
        <v>150</v>
      </c>
      <c r="H209" t="str">
        <f t="shared" si="4"/>
        <v>SERVICE</v>
      </c>
    </row>
    <row r="210" spans="1:8" x14ac:dyDescent="0.25">
      <c r="E210" t="str">
        <f>"13702"</f>
        <v>13702</v>
      </c>
      <c r="F210" t="str">
        <f t="shared" si="3"/>
        <v>SERVICE</v>
      </c>
      <c r="G210" s="5">
        <v>150</v>
      </c>
      <c r="H210" t="str">
        <f t="shared" si="4"/>
        <v>SERVICE</v>
      </c>
    </row>
    <row r="211" spans="1:8" x14ac:dyDescent="0.25">
      <c r="E211" t="str">
        <f>"13714"</f>
        <v>13714</v>
      </c>
      <c r="F211" t="str">
        <f t="shared" si="3"/>
        <v>SERVICE</v>
      </c>
      <c r="G211" s="5">
        <v>57</v>
      </c>
      <c r="H211" t="str">
        <f t="shared" si="4"/>
        <v>SERVICE</v>
      </c>
    </row>
    <row r="212" spans="1:8" x14ac:dyDescent="0.25">
      <c r="A212" t="s">
        <v>47</v>
      </c>
      <c r="B212">
        <v>4733</v>
      </c>
      <c r="C212" s="5">
        <v>4978.6899999999996</v>
      </c>
      <c r="D212" s="3">
        <v>44390</v>
      </c>
      <c r="E212" t="str">
        <f>"202107074418"</f>
        <v>202107074418</v>
      </c>
      <c r="F212" t="str">
        <f>"HOME VISIT GRANT/MAY"</f>
        <v>HOME VISIT GRANT/MAY</v>
      </c>
      <c r="G212" s="5">
        <v>4978.6899999999996</v>
      </c>
      <c r="H212" t="str">
        <f>"HOME VISIT GRANT/MAY"</f>
        <v>HOME VISIT GRANT/MAY</v>
      </c>
    </row>
    <row r="213" spans="1:8" x14ac:dyDescent="0.25">
      <c r="A213" t="s">
        <v>47</v>
      </c>
      <c r="B213">
        <v>4817</v>
      </c>
      <c r="C213" s="5">
        <v>47360.75</v>
      </c>
      <c r="D213" s="3">
        <v>44404</v>
      </c>
      <c r="E213" t="str">
        <f>"202107194581"</f>
        <v>202107194581</v>
      </c>
      <c r="F213" t="str">
        <f>"HOGG FOUNDATION/JUNE"</f>
        <v>HOGG FOUNDATION/JUNE</v>
      </c>
      <c r="G213" s="5">
        <v>47360.75</v>
      </c>
      <c r="H213" t="str">
        <f>"HOGG FOUNDATION/JUNE"</f>
        <v>HOGG FOUNDATION/JUNE</v>
      </c>
    </row>
    <row r="214" spans="1:8" x14ac:dyDescent="0.25">
      <c r="A214" t="s">
        <v>48</v>
      </c>
      <c r="B214">
        <v>4839</v>
      </c>
      <c r="C214" s="5">
        <v>193.5</v>
      </c>
      <c r="D214" s="3">
        <v>44404</v>
      </c>
      <c r="E214" t="str">
        <f>"202107194618"</f>
        <v>202107194618</v>
      </c>
      <c r="F214" t="str">
        <f>"VEHICLE REGISTRATION/JULY"</f>
        <v>VEHICLE REGISTRATION/JULY</v>
      </c>
      <c r="G214" s="5">
        <v>193.5</v>
      </c>
      <c r="H214" t="str">
        <f>"VEHICLE REGISTRATION/JULY"</f>
        <v>VEHICLE REGISTRATION/JULY</v>
      </c>
    </row>
    <row r="215" spans="1:8" x14ac:dyDescent="0.25">
      <c r="E215" t="str">
        <f>""</f>
        <v/>
      </c>
      <c r="F215" t="str">
        <f>""</f>
        <v/>
      </c>
      <c r="H215" t="str">
        <f>"VEHICLE REGISTRATION/JULY"</f>
        <v>VEHICLE REGISTRATION/JULY</v>
      </c>
    </row>
    <row r="216" spans="1:8" x14ac:dyDescent="0.25">
      <c r="E216" t="str">
        <f>""</f>
        <v/>
      </c>
      <c r="F216" t="str">
        <f>""</f>
        <v/>
      </c>
      <c r="H216" t="str">
        <f>"VEHICLE REGISTRATION/JULY"</f>
        <v>VEHICLE REGISTRATION/JULY</v>
      </c>
    </row>
    <row r="217" spans="1:8" x14ac:dyDescent="0.25">
      <c r="E217" t="str">
        <f>""</f>
        <v/>
      </c>
      <c r="F217" t="str">
        <f>""</f>
        <v/>
      </c>
      <c r="H217" t="str">
        <f>"VEHICLE REGISTRATION/JULY"</f>
        <v>VEHICLE REGISTRATION/JULY</v>
      </c>
    </row>
    <row r="218" spans="1:8" x14ac:dyDescent="0.25">
      <c r="A218" t="s">
        <v>49</v>
      </c>
      <c r="B218">
        <v>136327</v>
      </c>
      <c r="C218" s="5">
        <v>299.77999999999997</v>
      </c>
      <c r="D218" s="3">
        <v>44403</v>
      </c>
      <c r="E218" t="str">
        <f>"202107204687"</f>
        <v>202107204687</v>
      </c>
      <c r="F218" t="str">
        <f>"CHECKS/TAX OFFICE"</f>
        <v>CHECKS/TAX OFFICE</v>
      </c>
      <c r="G218" s="5">
        <v>299.77999999999997</v>
      </c>
      <c r="H218" t="str">
        <f>"CHECKS/TAX OFFICE"</f>
        <v>CHECKS/TAX OFFICE</v>
      </c>
    </row>
    <row r="219" spans="1:8" x14ac:dyDescent="0.25">
      <c r="A219" t="s">
        <v>50</v>
      </c>
      <c r="B219">
        <v>4759</v>
      </c>
      <c r="C219" s="5">
        <v>33.270000000000003</v>
      </c>
      <c r="D219" s="3">
        <v>44390</v>
      </c>
      <c r="E219" t="str">
        <f>"202107014229"</f>
        <v>202107014229</v>
      </c>
      <c r="F219" t="str">
        <f>"INDIGENT HEALTH"</f>
        <v>INDIGENT HEALTH</v>
      </c>
      <c r="G219" s="5">
        <v>33.270000000000003</v>
      </c>
      <c r="H219" t="str">
        <f>"INDIGENT HEALTH"</f>
        <v>INDIGENT HEALTH</v>
      </c>
    </row>
    <row r="220" spans="1:8" x14ac:dyDescent="0.25">
      <c r="A220" t="s">
        <v>51</v>
      </c>
      <c r="B220">
        <v>4787</v>
      </c>
      <c r="C220" s="5">
        <v>1230</v>
      </c>
      <c r="D220" s="3">
        <v>44404</v>
      </c>
      <c r="E220" t="str">
        <f>"2021121"</f>
        <v>2021121</v>
      </c>
      <c r="F220" t="str">
        <f>"TRANSPORT/PATSY BENDELE"</f>
        <v>TRANSPORT/PATSY BENDELE</v>
      </c>
      <c r="G220" s="5">
        <v>295</v>
      </c>
      <c r="H220" t="str">
        <f>"TRANSPORT/PATSY BENDELE"</f>
        <v>TRANSPORT/PATSY BENDELE</v>
      </c>
    </row>
    <row r="221" spans="1:8" x14ac:dyDescent="0.25">
      <c r="E221" t="str">
        <f>"20211218"</f>
        <v>20211218</v>
      </c>
      <c r="F221" t="str">
        <f>"TRANSPORT/LOANN GUILLORY"</f>
        <v>TRANSPORT/LOANN GUILLORY</v>
      </c>
      <c r="G221" s="5">
        <v>295</v>
      </c>
      <c r="H221" t="str">
        <f>"TRANSPORT/LOANN GUILLORY"</f>
        <v>TRANSPORT/LOANN GUILLORY</v>
      </c>
    </row>
    <row r="222" spans="1:8" x14ac:dyDescent="0.25">
      <c r="E222" t="str">
        <f>"2021127"</f>
        <v>2021127</v>
      </c>
      <c r="F222" t="str">
        <f>"TRANSPORT/DREW WARREN"</f>
        <v>TRANSPORT/DREW WARREN</v>
      </c>
      <c r="G222" s="5">
        <v>640</v>
      </c>
      <c r="H222" t="str">
        <f>"TRANSPORT/DREW WARREN"</f>
        <v>TRANSPORT/DREW WARREN</v>
      </c>
    </row>
    <row r="223" spans="1:8" x14ac:dyDescent="0.25">
      <c r="A223" t="s">
        <v>52</v>
      </c>
      <c r="B223">
        <v>136328</v>
      </c>
      <c r="C223" s="5">
        <v>138</v>
      </c>
      <c r="D223" s="3">
        <v>44403</v>
      </c>
      <c r="E223" t="str">
        <f>"9584"</f>
        <v>9584</v>
      </c>
      <c r="F223" t="str">
        <f>"ELECTIONS SIGNS"</f>
        <v>ELECTIONS SIGNS</v>
      </c>
      <c r="G223" s="5">
        <v>138</v>
      </c>
      <c r="H223" t="str">
        <f>"ELECTIONS SIGNS"</f>
        <v>ELECTIONS SIGNS</v>
      </c>
    </row>
    <row r="224" spans="1:8" x14ac:dyDescent="0.25">
      <c r="A224" t="s">
        <v>53</v>
      </c>
      <c r="B224">
        <v>4700</v>
      </c>
      <c r="C224" s="5">
        <v>2519.7199999999998</v>
      </c>
      <c r="D224" s="3">
        <v>44390</v>
      </c>
      <c r="E224" t="str">
        <f>"202106294208"</f>
        <v>202106294208</v>
      </c>
      <c r="F224" t="str">
        <f>"BACKGROUND SVCS/DAVID H OUTON"</f>
        <v>BACKGROUND SVCS/DAVID H OUTON</v>
      </c>
      <c r="G224" s="5">
        <v>315</v>
      </c>
      <c r="H224" t="str">
        <f>"BACKGROUND SVCS/DAVID H OUTON"</f>
        <v>BACKGROUND SVCS/DAVID H OUTON</v>
      </c>
    </row>
    <row r="225" spans="1:8" x14ac:dyDescent="0.25">
      <c r="E225" t="str">
        <f>"202107064361"</f>
        <v>202107064361</v>
      </c>
      <c r="F225" t="str">
        <f>"JULY INVOICE"</f>
        <v>JULY INVOICE</v>
      </c>
      <c r="G225" s="5">
        <v>1172.22</v>
      </c>
      <c r="H225" t="str">
        <f>"JULY INVOICE - LE"</f>
        <v>JULY INVOICE - LE</v>
      </c>
    </row>
    <row r="226" spans="1:8" x14ac:dyDescent="0.25">
      <c r="E226" t="str">
        <f>""</f>
        <v/>
      </c>
      <c r="F226" t="str">
        <f>""</f>
        <v/>
      </c>
      <c r="H226" t="str">
        <f>"JULY INVOICE - JAIL"</f>
        <v>JULY INVOICE - JAIL</v>
      </c>
    </row>
    <row r="227" spans="1:8" x14ac:dyDescent="0.25">
      <c r="E227" t="str">
        <f>"202107074424"</f>
        <v>202107074424</v>
      </c>
      <c r="F227" t="str">
        <f>"MAY-JUNE 2021-DAVID H OUTON"</f>
        <v>MAY-JUNE 2021-DAVID H OUTON</v>
      </c>
      <c r="G227" s="5">
        <v>1032.5</v>
      </c>
      <c r="H227" t="str">
        <f>"MAY-JUNE 2021-DAVID H OUTON"</f>
        <v>MAY-JUNE 2021-DAVID H OUTON</v>
      </c>
    </row>
    <row r="228" spans="1:8" x14ac:dyDescent="0.25">
      <c r="A228" t="s">
        <v>54</v>
      </c>
      <c r="B228">
        <v>136183</v>
      </c>
      <c r="C228" s="5">
        <v>686</v>
      </c>
      <c r="D228" s="3">
        <v>44389</v>
      </c>
      <c r="E228" t="str">
        <f>"202106294198"</f>
        <v>202106294198</v>
      </c>
      <c r="F228" t="str">
        <f>"CAUSE NO. MI-15295"</f>
        <v>CAUSE NO. MI-15295</v>
      </c>
      <c r="G228" s="5">
        <v>686</v>
      </c>
      <c r="H228" t="str">
        <f>"CAUSE NO. MI-15295"</f>
        <v>CAUSE NO. MI-15295</v>
      </c>
    </row>
    <row r="229" spans="1:8" x14ac:dyDescent="0.25">
      <c r="A229" t="s">
        <v>55</v>
      </c>
      <c r="B229">
        <v>136329</v>
      </c>
      <c r="C229" s="5">
        <v>140</v>
      </c>
      <c r="D229" s="3">
        <v>44403</v>
      </c>
      <c r="E229" t="str">
        <f>"13136"</f>
        <v>13136</v>
      </c>
      <c r="F229" t="str">
        <f>"SERVICE"</f>
        <v>SERVICE</v>
      </c>
      <c r="G229" s="5">
        <v>140</v>
      </c>
      <c r="H229" t="str">
        <f>"SERVICE"</f>
        <v>SERVICE</v>
      </c>
    </row>
    <row r="230" spans="1:8" x14ac:dyDescent="0.25">
      <c r="A230" t="s">
        <v>56</v>
      </c>
      <c r="B230">
        <v>136184</v>
      </c>
      <c r="C230" s="5">
        <v>1413.68</v>
      </c>
      <c r="D230" s="3">
        <v>44389</v>
      </c>
      <c r="E230" t="str">
        <f>"76002422"</f>
        <v>76002422</v>
      </c>
      <c r="F230" t="str">
        <f>"INV 76002422  76008570"</f>
        <v>INV 76002422  76008570</v>
      </c>
      <c r="G230" s="5">
        <v>1413.68</v>
      </c>
      <c r="H230" t="str">
        <f>"INV 76002422"</f>
        <v>INV 76002422</v>
      </c>
    </row>
    <row r="231" spans="1:8" x14ac:dyDescent="0.25">
      <c r="E231" t="str">
        <f>""</f>
        <v/>
      </c>
      <c r="F231" t="str">
        <f>""</f>
        <v/>
      </c>
      <c r="H231" t="str">
        <f>"INV 76008570"</f>
        <v>INV 76008570</v>
      </c>
    </row>
    <row r="232" spans="1:8" x14ac:dyDescent="0.25">
      <c r="A232" t="s">
        <v>56</v>
      </c>
      <c r="B232">
        <v>136330</v>
      </c>
      <c r="C232" s="5">
        <v>1240.58</v>
      </c>
      <c r="D232" s="3">
        <v>44403</v>
      </c>
      <c r="E232" t="str">
        <f>"76021441"</f>
        <v>76021441</v>
      </c>
      <c r="F232" t="str">
        <f>"INV 76021441  76027027  7"</f>
        <v>INV 76021441  76027027  7</v>
      </c>
      <c r="G232" s="5">
        <v>1240.58</v>
      </c>
      <c r="H232" t="str">
        <f>"INV 76021441"</f>
        <v>INV 76021441</v>
      </c>
    </row>
    <row r="233" spans="1:8" x14ac:dyDescent="0.25">
      <c r="E233" t="str">
        <f>""</f>
        <v/>
      </c>
      <c r="F233" t="str">
        <f>""</f>
        <v/>
      </c>
      <c r="H233" t="str">
        <f>"INV 76027027"</f>
        <v>INV 76027027</v>
      </c>
    </row>
    <row r="234" spans="1:8" x14ac:dyDescent="0.25">
      <c r="E234" t="str">
        <f>""</f>
        <v/>
      </c>
      <c r="F234" t="str">
        <f>""</f>
        <v/>
      </c>
      <c r="H234" t="str">
        <f>"INV 76031951"</f>
        <v>INV 76031951</v>
      </c>
    </row>
    <row r="235" spans="1:8" x14ac:dyDescent="0.25">
      <c r="A235" t="s">
        <v>57</v>
      </c>
      <c r="B235">
        <v>4840</v>
      </c>
      <c r="C235" s="5">
        <v>2405.6999999999998</v>
      </c>
      <c r="D235" s="3">
        <v>44404</v>
      </c>
      <c r="E235" t="str">
        <f>"25263"</f>
        <v>25263</v>
      </c>
      <c r="F235" t="str">
        <f>"INV 25263"</f>
        <v>INV 25263</v>
      </c>
      <c r="G235" s="5">
        <v>2405.6999999999998</v>
      </c>
      <c r="H235" t="str">
        <f>"INV 25263"</f>
        <v>INV 25263</v>
      </c>
    </row>
    <row r="236" spans="1:8" x14ac:dyDescent="0.25">
      <c r="A236" t="s">
        <v>58</v>
      </c>
      <c r="B236">
        <v>136185</v>
      </c>
      <c r="C236" s="5">
        <v>7701.12</v>
      </c>
      <c r="D236" s="3">
        <v>44389</v>
      </c>
      <c r="E236" t="str">
        <f>"51268541"</f>
        <v>51268541</v>
      </c>
      <c r="F236" t="str">
        <f>"CUST#C27986/PCT#4"</f>
        <v>CUST#C27986/PCT#4</v>
      </c>
      <c r="G236" s="5">
        <v>7701.12</v>
      </c>
      <c r="H236" t="str">
        <f>"CUST#C27986/PCT#4"</f>
        <v>CUST#C27986/PCT#4</v>
      </c>
    </row>
    <row r="237" spans="1:8" x14ac:dyDescent="0.25">
      <c r="A237" t="s">
        <v>58</v>
      </c>
      <c r="B237">
        <v>136331</v>
      </c>
      <c r="C237" s="5">
        <v>21286.26</v>
      </c>
      <c r="D237" s="3">
        <v>44403</v>
      </c>
      <c r="E237" t="str">
        <f>"51262728"</f>
        <v>51262728</v>
      </c>
      <c r="F237" t="str">
        <f>"CUST#C27762/PCT#2"</f>
        <v>CUST#C27762/PCT#2</v>
      </c>
      <c r="G237" s="5">
        <v>7203.24</v>
      </c>
      <c r="H237" t="str">
        <f>"CUST#C27762/PCT#2"</f>
        <v>CUST#C27762/PCT#2</v>
      </c>
    </row>
    <row r="238" spans="1:8" x14ac:dyDescent="0.25">
      <c r="E238" t="str">
        <f>"51264199"</f>
        <v>51264199</v>
      </c>
      <c r="F238" t="str">
        <f>"CUST#C27762/PCT#2"</f>
        <v>CUST#C27762/PCT#2</v>
      </c>
      <c r="G238" s="5">
        <v>869.22</v>
      </c>
      <c r="H238" t="str">
        <f>"CUST#C27762/PCT#2"</f>
        <v>CUST#C27762/PCT#2</v>
      </c>
    </row>
    <row r="239" spans="1:8" x14ac:dyDescent="0.25">
      <c r="E239" t="str">
        <f>"51265746"</f>
        <v>51265746</v>
      </c>
      <c r="F239" t="str">
        <f>"CUST#C27762/PCT#2"</f>
        <v>CUST#C27762/PCT#2</v>
      </c>
      <c r="G239" s="5">
        <v>659.43</v>
      </c>
      <c r="H239" t="str">
        <f>"CUST#C27762/PCT#2"</f>
        <v>CUST#C27762/PCT#2</v>
      </c>
    </row>
    <row r="240" spans="1:8" x14ac:dyDescent="0.25">
      <c r="E240" t="str">
        <f>"51266655"</f>
        <v>51266655</v>
      </c>
      <c r="F240" t="str">
        <f>"CUST#C27986/PCT#4"</f>
        <v>CUST#C27986/PCT#4</v>
      </c>
      <c r="G240" s="5">
        <v>10536.12</v>
      </c>
      <c r="H240" t="str">
        <f>"CUST#C27986/PCT#4"</f>
        <v>CUST#C27986/PCT#4</v>
      </c>
    </row>
    <row r="241" spans="1:8" x14ac:dyDescent="0.25">
      <c r="E241" t="str">
        <f>"51266656"</f>
        <v>51266656</v>
      </c>
      <c r="F241" t="str">
        <f>"CUST#C27986/PCT#4"</f>
        <v>CUST#C27986/PCT#4</v>
      </c>
      <c r="G241" s="5">
        <v>911.79</v>
      </c>
      <c r="H241" t="str">
        <f>"CUST#C27986/PCT#4"</f>
        <v>CUST#C27986/PCT#4</v>
      </c>
    </row>
    <row r="242" spans="1:8" x14ac:dyDescent="0.25">
      <c r="E242" t="str">
        <f>"51268522"</f>
        <v>51268522</v>
      </c>
      <c r="F242" t="str">
        <f>"CUST#C27762/PCT#2"</f>
        <v>CUST#C27762/PCT#2</v>
      </c>
      <c r="G242" s="5">
        <v>216.9</v>
      </c>
      <c r="H242" t="str">
        <f>"CUST#C27762/PCT#2"</f>
        <v>CUST#C27762/PCT#2</v>
      </c>
    </row>
    <row r="243" spans="1:8" x14ac:dyDescent="0.25">
      <c r="E243" t="str">
        <f>"51269359"</f>
        <v>51269359</v>
      </c>
      <c r="F243" t="str">
        <f>"CUST#C27762/PCT#2"</f>
        <v>CUST#C27762/PCT#2</v>
      </c>
      <c r="G243" s="5">
        <v>889.56</v>
      </c>
      <c r="H243" t="str">
        <f>"CUST#C27762/PCT#2"</f>
        <v>CUST#C27762/PCT#2</v>
      </c>
    </row>
    <row r="244" spans="1:8" x14ac:dyDescent="0.25">
      <c r="A244" t="s">
        <v>59</v>
      </c>
      <c r="B244">
        <v>4724</v>
      </c>
      <c r="C244" s="5">
        <v>745</v>
      </c>
      <c r="D244" s="3">
        <v>44390</v>
      </c>
      <c r="E244" t="str">
        <f>"6031"</f>
        <v>6031</v>
      </c>
      <c r="F244" t="str">
        <f>"2012 FRIGHTLINER/PCT#4"</f>
        <v>2012 FRIGHTLINER/PCT#4</v>
      </c>
      <c r="G244" s="5">
        <v>220</v>
      </c>
      <c r="H244" t="str">
        <f>"2012 FRIGHTLINER/PCT#4"</f>
        <v>2012 FRIGHTLINER/PCT#4</v>
      </c>
    </row>
    <row r="245" spans="1:8" x14ac:dyDescent="0.25">
      <c r="E245" t="str">
        <f>"6056"</f>
        <v>6056</v>
      </c>
      <c r="F245" t="str">
        <f>"INSTAL AC/PCT#4"</f>
        <v>INSTAL AC/PCT#4</v>
      </c>
      <c r="G245" s="5">
        <v>105</v>
      </c>
      <c r="H245" t="str">
        <f>"INSTAL AC/PCT#4"</f>
        <v>INSTAL AC/PCT#4</v>
      </c>
    </row>
    <row r="246" spans="1:8" x14ac:dyDescent="0.25">
      <c r="E246" t="str">
        <f>"6097"</f>
        <v>6097</v>
      </c>
      <c r="F246" t="str">
        <f>"2012 FRIGHTLINER/PCT#4"</f>
        <v>2012 FRIGHTLINER/PCT#4</v>
      </c>
      <c r="G246" s="5">
        <v>262.5</v>
      </c>
      <c r="H246" t="str">
        <f>"2012 FRIGHTLINER/PCT#4"</f>
        <v>2012 FRIGHTLINER/PCT#4</v>
      </c>
    </row>
    <row r="247" spans="1:8" x14ac:dyDescent="0.25">
      <c r="E247" t="str">
        <f>"6144"</f>
        <v>6144</v>
      </c>
      <c r="F247" t="str">
        <f>"ARM BRUSH MOWER/PCT#4"</f>
        <v>ARM BRUSH MOWER/PCT#4</v>
      </c>
      <c r="G247" s="5">
        <v>157.5</v>
      </c>
      <c r="H247" t="str">
        <f>"ARM BRUSH MOWER/PCT#4"</f>
        <v>ARM BRUSH MOWER/PCT#4</v>
      </c>
    </row>
    <row r="248" spans="1:8" x14ac:dyDescent="0.25">
      <c r="A248" t="s">
        <v>59</v>
      </c>
      <c r="B248">
        <v>4806</v>
      </c>
      <c r="C248" s="5">
        <v>4475.87</v>
      </c>
      <c r="D248" s="3">
        <v>44404</v>
      </c>
      <c r="E248" t="str">
        <f>"6081"</f>
        <v>6081</v>
      </c>
      <c r="F248" t="str">
        <f>"2014 INTERNATINAL/PCT#1"</f>
        <v>2014 INTERNATINAL/PCT#1</v>
      </c>
      <c r="G248" s="5">
        <v>766.93</v>
      </c>
      <c r="H248" t="str">
        <f>"2014 INTERNATINAL/PCT#1"</f>
        <v>2014 INTERNATINAL/PCT#1</v>
      </c>
    </row>
    <row r="249" spans="1:8" x14ac:dyDescent="0.25">
      <c r="E249" t="str">
        <f>"6092"</f>
        <v>6092</v>
      </c>
      <c r="F249" t="str">
        <f>"2007 INTERNATIONAL/PCT#1"</f>
        <v>2007 INTERNATIONAL/PCT#1</v>
      </c>
      <c r="G249" s="5">
        <v>259.02999999999997</v>
      </c>
      <c r="H249" t="str">
        <f>"2007 INTERNATIONAL/PCT#1"</f>
        <v>2007 INTERNATIONAL/PCT#1</v>
      </c>
    </row>
    <row r="250" spans="1:8" x14ac:dyDescent="0.25">
      <c r="E250" t="str">
        <f>"6140"</f>
        <v>6140</v>
      </c>
      <c r="F250" t="str">
        <f>"CAT/PCT#1"</f>
        <v>CAT/PCT#1</v>
      </c>
      <c r="G250" s="5">
        <v>2661.98</v>
      </c>
      <c r="H250" t="str">
        <f>"CAT/PCT#1"</f>
        <v>CAT/PCT#1</v>
      </c>
    </row>
    <row r="251" spans="1:8" x14ac:dyDescent="0.25">
      <c r="E251" t="str">
        <f>"6143"</f>
        <v>6143</v>
      </c>
      <c r="F251" t="str">
        <f>"2008 FREIGHTLINER/PCT#4"</f>
        <v>2008 FREIGHTLINER/PCT#4</v>
      </c>
      <c r="G251" s="5">
        <v>488.13</v>
      </c>
      <c r="H251" t="str">
        <f>"2008 FREIGHTLINER/PCT#4"</f>
        <v>2008 FREIGHTLINER/PCT#4</v>
      </c>
    </row>
    <row r="252" spans="1:8" x14ac:dyDescent="0.25">
      <c r="E252" t="str">
        <f>"6160"</f>
        <v>6160</v>
      </c>
      <c r="F252" t="str">
        <f>"2000 FORD/PCT#1"</f>
        <v>2000 FORD/PCT#1</v>
      </c>
      <c r="G252" s="5">
        <v>299.8</v>
      </c>
      <c r="H252" t="str">
        <f>"2000 FORD/PCT#1"</f>
        <v>2000 FORD/PCT#1</v>
      </c>
    </row>
    <row r="253" spans="1:8" x14ac:dyDescent="0.25">
      <c r="A253" t="s">
        <v>60</v>
      </c>
      <c r="B253">
        <v>136186</v>
      </c>
      <c r="C253" s="5">
        <v>521.44000000000005</v>
      </c>
      <c r="D253" s="3">
        <v>44389</v>
      </c>
      <c r="E253" t="str">
        <f>"84048400193"</f>
        <v>84048400193</v>
      </c>
      <c r="F253" t="str">
        <f>"INV 84048400193  84048400"</f>
        <v>INV 84048400193  84048400</v>
      </c>
      <c r="G253" s="5">
        <v>521.44000000000005</v>
      </c>
      <c r="H253" t="str">
        <f>"INV 84048400193"</f>
        <v>INV 84048400193</v>
      </c>
    </row>
    <row r="254" spans="1:8" x14ac:dyDescent="0.25">
      <c r="E254" t="str">
        <f>""</f>
        <v/>
      </c>
      <c r="F254" t="str">
        <f>""</f>
        <v/>
      </c>
      <c r="H254" t="str">
        <f>"INV 84048400250"</f>
        <v>INV 84048400250</v>
      </c>
    </row>
    <row r="255" spans="1:8" x14ac:dyDescent="0.25">
      <c r="A255" t="s">
        <v>60</v>
      </c>
      <c r="B255">
        <v>136332</v>
      </c>
      <c r="C255" s="5">
        <v>567.78</v>
      </c>
      <c r="D255" s="3">
        <v>44403</v>
      </c>
      <c r="E255" t="str">
        <f>"84048400309"</f>
        <v>84048400309</v>
      </c>
      <c r="F255" t="str">
        <f>"INV 84048400309  84048400"</f>
        <v>INV 84048400309  84048400</v>
      </c>
      <c r="G255" s="5">
        <v>567.78</v>
      </c>
      <c r="H255" t="str">
        <f>"INV 84048400309"</f>
        <v>INV 84048400309</v>
      </c>
    </row>
    <row r="256" spans="1:8" x14ac:dyDescent="0.25">
      <c r="E256" t="str">
        <f>""</f>
        <v/>
      </c>
      <c r="F256" t="str">
        <f>""</f>
        <v/>
      </c>
      <c r="H256" t="str">
        <f>"INV 84048400377"</f>
        <v>INV 84048400377</v>
      </c>
    </row>
    <row r="257" spans="1:8" x14ac:dyDescent="0.25">
      <c r="A257" t="s">
        <v>61</v>
      </c>
      <c r="B257">
        <v>4721</v>
      </c>
      <c r="C257" s="5">
        <v>750</v>
      </c>
      <c r="D257" s="3">
        <v>44390</v>
      </c>
      <c r="E257" t="str">
        <f>"202107074386"</f>
        <v>202107074386</v>
      </c>
      <c r="F257" t="str">
        <f>"JP10702020E"</f>
        <v>JP10702020E</v>
      </c>
      <c r="G257" s="5">
        <v>250</v>
      </c>
      <c r="H257" t="str">
        <f>"JP10702020E"</f>
        <v>JP10702020E</v>
      </c>
    </row>
    <row r="258" spans="1:8" x14ac:dyDescent="0.25">
      <c r="E258" t="str">
        <f>"202107074387"</f>
        <v>202107074387</v>
      </c>
      <c r="F258" t="str">
        <f>"57-441"</f>
        <v>57-441</v>
      </c>
      <c r="G258" s="5">
        <v>250</v>
      </c>
      <c r="H258" t="str">
        <f>"57-441"</f>
        <v>57-441</v>
      </c>
    </row>
    <row r="259" spans="1:8" x14ac:dyDescent="0.25">
      <c r="E259" t="str">
        <f>"202107074388"</f>
        <v>202107074388</v>
      </c>
      <c r="F259" t="str">
        <f>"312152020D"</f>
        <v>312152020D</v>
      </c>
      <c r="G259" s="5">
        <v>250</v>
      </c>
      <c r="H259" t="str">
        <f>"312152020D"</f>
        <v>312152020D</v>
      </c>
    </row>
    <row r="260" spans="1:8" x14ac:dyDescent="0.25">
      <c r="A260" t="s">
        <v>61</v>
      </c>
      <c r="B260">
        <v>4801</v>
      </c>
      <c r="C260" s="5">
        <v>1750</v>
      </c>
      <c r="D260" s="3">
        <v>44404</v>
      </c>
      <c r="E260" t="str">
        <f>"202107134510"</f>
        <v>202107134510</v>
      </c>
      <c r="F260" t="str">
        <f>"57-626"</f>
        <v>57-626</v>
      </c>
      <c r="G260" s="5">
        <v>250</v>
      </c>
      <c r="H260" t="str">
        <f>"57-626"</f>
        <v>57-626</v>
      </c>
    </row>
    <row r="261" spans="1:8" x14ac:dyDescent="0.25">
      <c r="E261" t="str">
        <f>"202107134511"</f>
        <v>202107134511</v>
      </c>
      <c r="F261" t="str">
        <f>"404309.6"</f>
        <v>404309.6</v>
      </c>
      <c r="G261" s="5">
        <v>250</v>
      </c>
      <c r="H261" t="str">
        <f>"404309.6"</f>
        <v>404309.6</v>
      </c>
    </row>
    <row r="262" spans="1:8" x14ac:dyDescent="0.25">
      <c r="E262" t="str">
        <f>"202107134512"</f>
        <v>202107134512</v>
      </c>
      <c r="F262" t="str">
        <f>"21200154/9253593121"</f>
        <v>21200154/9253593121</v>
      </c>
      <c r="G262" s="5">
        <v>250</v>
      </c>
      <c r="H262" t="str">
        <f>"21200154/9253593121"</f>
        <v>21200154/9253593121</v>
      </c>
    </row>
    <row r="263" spans="1:8" x14ac:dyDescent="0.25">
      <c r="E263" t="str">
        <f>"202107134513"</f>
        <v>202107134513</v>
      </c>
      <c r="F263" t="str">
        <f>"JP105122019A"</f>
        <v>JP105122019A</v>
      </c>
      <c r="G263" s="5">
        <v>250</v>
      </c>
      <c r="H263" t="str">
        <f>"JP105122019A"</f>
        <v>JP105122019A</v>
      </c>
    </row>
    <row r="264" spans="1:8" x14ac:dyDescent="0.25">
      <c r="E264" t="str">
        <f>"202107134514"</f>
        <v>202107134514</v>
      </c>
      <c r="F264" t="str">
        <f>"02-0725-6"</f>
        <v>02-0725-6</v>
      </c>
      <c r="G264" s="5">
        <v>250</v>
      </c>
      <c r="H264" t="str">
        <f>"02-0725-6"</f>
        <v>02-0725-6</v>
      </c>
    </row>
    <row r="265" spans="1:8" x14ac:dyDescent="0.25">
      <c r="E265" t="str">
        <f>"202107134515"</f>
        <v>202107134515</v>
      </c>
      <c r="F265" t="str">
        <f>"57-435"</f>
        <v>57-435</v>
      </c>
      <c r="G265" s="5">
        <v>250</v>
      </c>
      <c r="H265" t="str">
        <f>"57-435"</f>
        <v>57-435</v>
      </c>
    </row>
    <row r="266" spans="1:8" x14ac:dyDescent="0.25">
      <c r="E266" t="str">
        <f>"202107154561"</f>
        <v>202107154561</v>
      </c>
      <c r="F266" t="str">
        <f>"57-615"</f>
        <v>57-615</v>
      </c>
      <c r="G266" s="5">
        <v>250</v>
      </c>
      <c r="H266" t="str">
        <f>"57-615"</f>
        <v>57-615</v>
      </c>
    </row>
    <row r="267" spans="1:8" x14ac:dyDescent="0.25">
      <c r="A267" t="s">
        <v>62</v>
      </c>
      <c r="B267">
        <v>136333</v>
      </c>
      <c r="C267" s="5">
        <v>196.56</v>
      </c>
      <c r="D267" s="3">
        <v>44403</v>
      </c>
      <c r="E267" t="str">
        <f>"202107194616"</f>
        <v>202107194616</v>
      </c>
      <c r="F267" t="str">
        <f>"CRIMESTOPPERS JUNE 2021"</f>
        <v>CRIMESTOPPERS JUNE 2021</v>
      </c>
      <c r="G267" s="5">
        <v>196.56</v>
      </c>
      <c r="H267" t="str">
        <f>"CRIMESTOPPERS JUNE 2021"</f>
        <v>CRIMESTOPPERS JUNE 2021</v>
      </c>
    </row>
    <row r="268" spans="1:8" x14ac:dyDescent="0.25">
      <c r="A268" t="s">
        <v>63</v>
      </c>
      <c r="B268">
        <v>136307</v>
      </c>
      <c r="C268" s="5">
        <v>4396.3</v>
      </c>
      <c r="D268" s="3">
        <v>44397</v>
      </c>
      <c r="E268" t="str">
        <f>"202107154577"</f>
        <v>202107154577</v>
      </c>
      <c r="F268" t="str">
        <f>"ACCT#5000057374 / 07052021"</f>
        <v>ACCT#5000057374 / 07052021</v>
      </c>
      <c r="G268" s="5">
        <v>4078.55</v>
      </c>
      <c r="H268" t="str">
        <f>"BLUEBONNET ELECTRIC COOPERATIV"</f>
        <v>BLUEBONNET ELECTRIC COOPERATIV</v>
      </c>
    </row>
    <row r="269" spans="1:8" x14ac:dyDescent="0.25">
      <c r="E269" t="str">
        <f>""</f>
        <v/>
      </c>
      <c r="F269" t="str">
        <f>""</f>
        <v/>
      </c>
      <c r="H269" t="str">
        <f>"BLUEBONNET ELECTRIC COOPERATIV"</f>
        <v>BLUEBONNET ELECTRIC COOPERATIV</v>
      </c>
    </row>
    <row r="270" spans="1:8" x14ac:dyDescent="0.25">
      <c r="E270" t="str">
        <f>""</f>
        <v/>
      </c>
      <c r="F270" t="str">
        <f>""</f>
        <v/>
      </c>
      <c r="H270" t="str">
        <f>"BLUEBONNET ELECTRIC COOPERATIV"</f>
        <v>BLUEBONNET ELECTRIC COOPERATIV</v>
      </c>
    </row>
    <row r="271" spans="1:8" x14ac:dyDescent="0.25">
      <c r="E271" t="str">
        <f>""</f>
        <v/>
      </c>
      <c r="F271" t="str">
        <f>""</f>
        <v/>
      </c>
      <c r="H271" t="str">
        <f>"BLUEBONNET ELECTRIC COOPERATIV"</f>
        <v>BLUEBONNET ELECTRIC COOPERATIV</v>
      </c>
    </row>
    <row r="272" spans="1:8" x14ac:dyDescent="0.25">
      <c r="E272" t="str">
        <f>"202107154579"</f>
        <v>202107154579</v>
      </c>
      <c r="F272" t="str">
        <f>"ACCT#55000090397 / 07012021"</f>
        <v>ACCT#55000090397 / 07012021</v>
      </c>
      <c r="G272" s="5">
        <v>317.75</v>
      </c>
      <c r="H272" t="str">
        <f>"ACCT#55000090397 / 07012021"</f>
        <v>ACCT#55000090397 / 07012021</v>
      </c>
    </row>
    <row r="273" spans="1:8" x14ac:dyDescent="0.25">
      <c r="A273" t="s">
        <v>64</v>
      </c>
      <c r="B273">
        <v>4765</v>
      </c>
      <c r="C273" s="5">
        <v>35932.15</v>
      </c>
      <c r="D273" s="3">
        <v>44390</v>
      </c>
      <c r="E273" t="str">
        <f>"202107074417"</f>
        <v>202107074417</v>
      </c>
      <c r="F273" t="str">
        <f>"HOME VISIT GRANT/MAY"</f>
        <v>HOME VISIT GRANT/MAY</v>
      </c>
      <c r="G273" s="5">
        <v>35932.15</v>
      </c>
      <c r="H273" t="str">
        <f>"HOME VISIT GRANT/MAY"</f>
        <v>HOME VISIT GRANT/MAY</v>
      </c>
    </row>
    <row r="274" spans="1:8" x14ac:dyDescent="0.25">
      <c r="A274" t="s">
        <v>64</v>
      </c>
      <c r="B274">
        <v>4847</v>
      </c>
      <c r="C274" s="5">
        <v>950</v>
      </c>
      <c r="D274" s="3">
        <v>44404</v>
      </c>
      <c r="E274" t="str">
        <f>"25062021"</f>
        <v>25062021</v>
      </c>
      <c r="F274" t="str">
        <f>"INV 25062021"</f>
        <v>INV 25062021</v>
      </c>
      <c r="G274" s="5">
        <v>950</v>
      </c>
      <c r="H274" t="str">
        <f>"INV 25062021"</f>
        <v>INV 25062021</v>
      </c>
    </row>
    <row r="275" spans="1:8" x14ac:dyDescent="0.25">
      <c r="A275" t="s">
        <v>65</v>
      </c>
      <c r="B275">
        <v>136187</v>
      </c>
      <c r="C275" s="5">
        <v>4041.5</v>
      </c>
      <c r="D275" s="3">
        <v>44389</v>
      </c>
      <c r="E275" t="str">
        <f>"17182"</f>
        <v>17182</v>
      </c>
      <c r="F275" t="str">
        <f>"INV 17182"</f>
        <v>INV 17182</v>
      </c>
      <c r="G275" s="5">
        <v>4041.5</v>
      </c>
      <c r="H275" t="str">
        <f>"INV 17182"</f>
        <v>INV 17182</v>
      </c>
    </row>
    <row r="276" spans="1:8" x14ac:dyDescent="0.25">
      <c r="A276" t="s">
        <v>66</v>
      </c>
      <c r="B276">
        <v>136188</v>
      </c>
      <c r="C276" s="5">
        <v>192.1</v>
      </c>
      <c r="D276" s="3">
        <v>44389</v>
      </c>
      <c r="E276" t="str">
        <f>"CT197312"</f>
        <v>CT197312</v>
      </c>
      <c r="F276" t="str">
        <f>"ACCT#B02137/PCT#3"</f>
        <v>ACCT#B02137/PCT#3</v>
      </c>
      <c r="G276" s="5">
        <v>192.1</v>
      </c>
      <c r="H276" t="str">
        <f>"ACCT#B02137/PCT#3"</f>
        <v>ACCT#B02137/PCT#3</v>
      </c>
    </row>
    <row r="277" spans="1:8" x14ac:dyDescent="0.25">
      <c r="A277" t="s">
        <v>67</v>
      </c>
      <c r="B277">
        <v>136334</v>
      </c>
      <c r="C277" s="5">
        <v>10091.68</v>
      </c>
      <c r="D277" s="3">
        <v>44403</v>
      </c>
      <c r="E277" t="str">
        <f>"123800"</f>
        <v>123800</v>
      </c>
      <c r="F277" t="str">
        <f>"ACCT#1268/PCT#3"</f>
        <v>ACCT#1268/PCT#3</v>
      </c>
      <c r="G277" s="5">
        <v>3920.28</v>
      </c>
      <c r="H277" t="str">
        <f>"ACCT#1268/PCT#3"</f>
        <v>ACCT#1268/PCT#3</v>
      </c>
    </row>
    <row r="278" spans="1:8" x14ac:dyDescent="0.25">
      <c r="E278" t="str">
        <f>"124056"</f>
        <v>124056</v>
      </c>
      <c r="F278" t="str">
        <f>"ACCT#1267/PCT#2"</f>
        <v>ACCT#1267/PCT#2</v>
      </c>
      <c r="G278" s="5">
        <v>4781.6000000000004</v>
      </c>
      <c r="H278" t="str">
        <f>"ACCT#1267/PCT#2"</f>
        <v>ACCT#1267/PCT#2</v>
      </c>
    </row>
    <row r="279" spans="1:8" x14ac:dyDescent="0.25">
      <c r="E279" t="str">
        <f>"124204"</f>
        <v>124204</v>
      </c>
      <c r="F279" t="str">
        <f>"ACCT#1297/PCT#2"</f>
        <v>ACCT#1297/PCT#2</v>
      </c>
      <c r="G279" s="5">
        <v>1389.8</v>
      </c>
      <c r="H279" t="str">
        <f>"ACCT#1297/PCT#2"</f>
        <v>ACCT#1297/PCT#2</v>
      </c>
    </row>
    <row r="280" spans="1:8" x14ac:dyDescent="0.25">
      <c r="A280" t="s">
        <v>68</v>
      </c>
      <c r="B280">
        <v>4853</v>
      </c>
      <c r="C280" s="5">
        <v>250</v>
      </c>
      <c r="D280" s="3">
        <v>44404</v>
      </c>
      <c r="E280" t="str">
        <f>"202107154560"</f>
        <v>202107154560</v>
      </c>
      <c r="F280" t="str">
        <f>"4010221-11"</f>
        <v>4010221-11</v>
      </c>
      <c r="G280" s="5">
        <v>250</v>
      </c>
      <c r="H280" t="str">
        <f>"4010221-11"</f>
        <v>4010221-11</v>
      </c>
    </row>
    <row r="281" spans="1:8" x14ac:dyDescent="0.25">
      <c r="A281" t="s">
        <v>69</v>
      </c>
      <c r="B281">
        <v>136189</v>
      </c>
      <c r="C281" s="5">
        <v>30</v>
      </c>
      <c r="D281" s="3">
        <v>44389</v>
      </c>
      <c r="E281" t="str">
        <f>"21-20766"</f>
        <v>21-20766</v>
      </c>
      <c r="F281" t="str">
        <f>"CENTRAL ADOPTION REGISTRY FUND"</f>
        <v>CENTRAL ADOPTION REGISTRY FUND</v>
      </c>
      <c r="G281" s="5">
        <v>15</v>
      </c>
      <c r="H281" t="str">
        <f>"CENTRAL ADOPTION REGISTRY FUND"</f>
        <v>CENTRAL ADOPTION REGISTRY FUND</v>
      </c>
    </row>
    <row r="282" spans="1:8" x14ac:dyDescent="0.25">
      <c r="E282" t="str">
        <f>"423-7926"</f>
        <v>423-7926</v>
      </c>
      <c r="F282" t="str">
        <f>"CENTRAL ADOPTION REGISTRY FUND"</f>
        <v>CENTRAL ADOPTION REGISTRY FUND</v>
      </c>
      <c r="G282" s="5">
        <v>15</v>
      </c>
      <c r="H282" t="str">
        <f>"CENTRAL ADOPTION REGISTRY FUND"</f>
        <v>CENTRAL ADOPTION REGISTRY FUND</v>
      </c>
    </row>
    <row r="283" spans="1:8" x14ac:dyDescent="0.25">
      <c r="A283" t="s">
        <v>69</v>
      </c>
      <c r="B283">
        <v>136335</v>
      </c>
      <c r="C283" s="5">
        <v>30</v>
      </c>
      <c r="D283" s="3">
        <v>44403</v>
      </c>
      <c r="E283" t="str">
        <f>"202107194645"</f>
        <v>202107194645</v>
      </c>
      <c r="F283" t="str">
        <f>"CAR FUND"</f>
        <v>CAR FUND</v>
      </c>
      <c r="G283" s="5">
        <v>15</v>
      </c>
      <c r="H283" t="str">
        <f>"CAR FUND"</f>
        <v>CAR FUND</v>
      </c>
    </row>
    <row r="284" spans="1:8" x14ac:dyDescent="0.25">
      <c r="E284" t="str">
        <f>"423-7949"</f>
        <v>423-7949</v>
      </c>
      <c r="F284" t="str">
        <f>"CAR FUND"</f>
        <v>CAR FUND</v>
      </c>
      <c r="G284" s="5">
        <v>15</v>
      </c>
      <c r="H284" t="str">
        <f>"CAR FUND"</f>
        <v>CAR FUND</v>
      </c>
    </row>
    <row r="285" spans="1:8" x14ac:dyDescent="0.25">
      <c r="A285" t="s">
        <v>70</v>
      </c>
      <c r="B285">
        <v>136190</v>
      </c>
      <c r="C285" s="5">
        <v>411.93</v>
      </c>
      <c r="D285" s="3">
        <v>44389</v>
      </c>
      <c r="E285" t="str">
        <f>"N461546"</f>
        <v>N461546</v>
      </c>
      <c r="F285" t="str">
        <f>"CUST#28062/AG"</f>
        <v>CUST#28062/AG</v>
      </c>
      <c r="G285" s="5">
        <v>411.93</v>
      </c>
      <c r="H285" t="str">
        <f>"CUST#28062/AG"</f>
        <v>CUST#28062/AG</v>
      </c>
    </row>
    <row r="286" spans="1:8" x14ac:dyDescent="0.25">
      <c r="A286" t="s">
        <v>71</v>
      </c>
      <c r="B286">
        <v>136336</v>
      </c>
      <c r="C286" s="5">
        <v>80</v>
      </c>
      <c r="D286" s="3">
        <v>44403</v>
      </c>
      <c r="E286" t="str">
        <f>"13305"</f>
        <v>13305</v>
      </c>
      <c r="F286" t="str">
        <f>"SERVICE"</f>
        <v>SERVICE</v>
      </c>
      <c r="G286" s="5">
        <v>80</v>
      </c>
      <c r="H286" t="str">
        <f>"SERVICE"</f>
        <v>SERVICE</v>
      </c>
    </row>
    <row r="287" spans="1:8" x14ac:dyDescent="0.25">
      <c r="A287" t="s">
        <v>72</v>
      </c>
      <c r="B287">
        <v>136191</v>
      </c>
      <c r="C287" s="5">
        <v>100</v>
      </c>
      <c r="D287" s="3">
        <v>44389</v>
      </c>
      <c r="E287" t="str">
        <f>"13701"</f>
        <v>13701</v>
      </c>
      <c r="F287" t="str">
        <f>"SERVICE"</f>
        <v>SERVICE</v>
      </c>
      <c r="G287" s="5">
        <v>100</v>
      </c>
      <c r="H287" t="str">
        <f>"SERVICE"</f>
        <v>SERVICE</v>
      </c>
    </row>
    <row r="288" spans="1:8" x14ac:dyDescent="0.25">
      <c r="A288" t="s">
        <v>73</v>
      </c>
      <c r="B288">
        <v>136192</v>
      </c>
      <c r="C288" s="5">
        <v>19098</v>
      </c>
      <c r="D288" s="3">
        <v>44389</v>
      </c>
      <c r="E288" t="str">
        <f>"24928"</f>
        <v>24928</v>
      </c>
      <c r="F288" t="str">
        <f>"DocuSign Renewal 21-22"</f>
        <v>DocuSign Renewal 21-22</v>
      </c>
      <c r="G288" s="5">
        <v>19098</v>
      </c>
      <c r="H288" t="str">
        <f>"FY 21/22 8 months"</f>
        <v>FY 21/22 8 months</v>
      </c>
    </row>
    <row r="289" spans="1:8" x14ac:dyDescent="0.25">
      <c r="E289" t="str">
        <f>""</f>
        <v/>
      </c>
      <c r="F289" t="str">
        <f>""</f>
        <v/>
      </c>
      <c r="H289" t="str">
        <f>"FY 20/21 4 months"</f>
        <v>FY 20/21 4 months</v>
      </c>
    </row>
    <row r="290" spans="1:8" x14ac:dyDescent="0.25">
      <c r="A290" t="s">
        <v>74</v>
      </c>
      <c r="B290">
        <v>1169</v>
      </c>
      <c r="C290" s="5">
        <v>4798.43</v>
      </c>
      <c r="D290" s="3">
        <v>44389</v>
      </c>
      <c r="E290" t="str">
        <f>"202107064369"</f>
        <v>202107064369</v>
      </c>
      <c r="F290" t="str">
        <f>"Statement"</f>
        <v>Statement</v>
      </c>
      <c r="G290" s="5">
        <v>4798.43</v>
      </c>
      <c r="H290" t="str">
        <f>"ring"</f>
        <v>ring</v>
      </c>
    </row>
    <row r="291" spans="1:8" x14ac:dyDescent="0.25">
      <c r="E291" t="str">
        <f>""</f>
        <v/>
      </c>
      <c r="F291" t="str">
        <f>""</f>
        <v/>
      </c>
      <c r="H291" t="str">
        <f>"cisco"</f>
        <v>cisco</v>
      </c>
    </row>
    <row r="292" spans="1:8" x14ac:dyDescent="0.25">
      <c r="E292" t="str">
        <f>""</f>
        <v/>
      </c>
      <c r="F292" t="str">
        <f>""</f>
        <v/>
      </c>
      <c r="H292" t="str">
        <f>"google"</f>
        <v>google</v>
      </c>
    </row>
    <row r="293" spans="1:8" x14ac:dyDescent="0.25">
      <c r="E293" t="str">
        <f>""</f>
        <v/>
      </c>
      <c r="F293" t="str">
        <f>""</f>
        <v/>
      </c>
      <c r="H293" t="str">
        <f>"dropbox"</f>
        <v>dropbox</v>
      </c>
    </row>
    <row r="294" spans="1:8" x14ac:dyDescent="0.25">
      <c r="E294" t="str">
        <f>""</f>
        <v/>
      </c>
      <c r="F294" t="str">
        <f>""</f>
        <v/>
      </c>
      <c r="H294" t="str">
        <f>"CPR"</f>
        <v>CPR</v>
      </c>
    </row>
    <row r="295" spans="1:8" x14ac:dyDescent="0.25">
      <c r="E295" t="str">
        <f>""</f>
        <v/>
      </c>
      <c r="F295" t="str">
        <f>""</f>
        <v/>
      </c>
      <c r="H295" t="str">
        <f>"pokejos"</f>
        <v>pokejos</v>
      </c>
    </row>
    <row r="296" spans="1:8" x14ac:dyDescent="0.25">
      <c r="E296" t="str">
        <f>""</f>
        <v/>
      </c>
      <c r="F296" t="str">
        <f>""</f>
        <v/>
      </c>
      <c r="H296" t="str">
        <f>"pokejos"</f>
        <v>pokejos</v>
      </c>
    </row>
    <row r="297" spans="1:8" x14ac:dyDescent="0.25">
      <c r="E297" t="str">
        <f>""</f>
        <v/>
      </c>
      <c r="F297" t="str">
        <f>""</f>
        <v/>
      </c>
      <c r="H297" t="str">
        <f>"casa colombia"</f>
        <v>casa colombia</v>
      </c>
    </row>
    <row r="298" spans="1:8" x14ac:dyDescent="0.25">
      <c r="E298" t="str">
        <f>""</f>
        <v/>
      </c>
      <c r="F298" t="str">
        <f>""</f>
        <v/>
      </c>
      <c r="H298" t="str">
        <f>"kereby lane"</f>
        <v>kereby lane</v>
      </c>
    </row>
    <row r="299" spans="1:8" x14ac:dyDescent="0.25">
      <c r="E299" t="str">
        <f>""</f>
        <v/>
      </c>
      <c r="F299" t="str">
        <f>""</f>
        <v/>
      </c>
      <c r="H299" t="str">
        <f>"crepe crazy"</f>
        <v>crepe crazy</v>
      </c>
    </row>
    <row r="300" spans="1:8" x14ac:dyDescent="0.25">
      <c r="E300" t="str">
        <f>""</f>
        <v/>
      </c>
      <c r="F300" t="str">
        <f>""</f>
        <v/>
      </c>
      <c r="H300" t="str">
        <f>"luby's"</f>
        <v>luby's</v>
      </c>
    </row>
    <row r="301" spans="1:8" x14ac:dyDescent="0.25">
      <c r="E301" t="str">
        <f>""</f>
        <v/>
      </c>
      <c r="F301" t="str">
        <f>""</f>
        <v/>
      </c>
      <c r="H301" t="str">
        <f>"pokejos"</f>
        <v>pokejos</v>
      </c>
    </row>
    <row r="302" spans="1:8" x14ac:dyDescent="0.25">
      <c r="E302" t="str">
        <f>""</f>
        <v/>
      </c>
      <c r="F302" t="str">
        <f>""</f>
        <v/>
      </c>
      <c r="H302" t="str">
        <f>"jason's deli"</f>
        <v>jason's deli</v>
      </c>
    </row>
    <row r="303" spans="1:8" x14ac:dyDescent="0.25">
      <c r="E303" t="str">
        <f>""</f>
        <v/>
      </c>
      <c r="F303" t="str">
        <f>""</f>
        <v/>
      </c>
      <c r="H303" t="str">
        <f>"jason's deli"</f>
        <v>jason's deli</v>
      </c>
    </row>
    <row r="304" spans="1:8" x14ac:dyDescent="0.25">
      <c r="E304" t="str">
        <f>""</f>
        <v/>
      </c>
      <c r="F304" t="str">
        <f>""</f>
        <v/>
      </c>
      <c r="H304" t="str">
        <f>"cabo bob's"</f>
        <v>cabo bob's</v>
      </c>
    </row>
    <row r="305" spans="1:8" x14ac:dyDescent="0.25">
      <c r="E305" t="str">
        <f>""</f>
        <v/>
      </c>
      <c r="F305" t="str">
        <f>""</f>
        <v/>
      </c>
      <c r="H305" t="str">
        <f>"walmart"</f>
        <v>walmart</v>
      </c>
    </row>
    <row r="306" spans="1:8" x14ac:dyDescent="0.25">
      <c r="E306" t="str">
        <f>""</f>
        <v/>
      </c>
      <c r="F306" t="str">
        <f>""</f>
        <v/>
      </c>
      <c r="H306" t="str">
        <f>"sling"</f>
        <v>sling</v>
      </c>
    </row>
    <row r="307" spans="1:8" x14ac:dyDescent="0.25">
      <c r="E307" t="str">
        <f>""</f>
        <v/>
      </c>
      <c r="F307" t="str">
        <f>""</f>
        <v/>
      </c>
      <c r="H307" t="str">
        <f>"clinic hq"</f>
        <v>clinic hq</v>
      </c>
    </row>
    <row r="308" spans="1:8" x14ac:dyDescent="0.25">
      <c r="E308" t="str">
        <f>""</f>
        <v/>
      </c>
      <c r="F308" t="str">
        <f>""</f>
        <v/>
      </c>
      <c r="H308" t="str">
        <f>"rapid express"</f>
        <v>rapid express</v>
      </c>
    </row>
    <row r="309" spans="1:8" x14ac:dyDescent="0.25">
      <c r="A309" t="s">
        <v>74</v>
      </c>
      <c r="B309">
        <v>1170</v>
      </c>
      <c r="C309" s="5">
        <v>2046.02</v>
      </c>
      <c r="D309" s="3">
        <v>44389</v>
      </c>
      <c r="E309" t="str">
        <f>"202107064370"</f>
        <v>202107064370</v>
      </c>
      <c r="F309" t="str">
        <f>"STATEMENT CARD 0574"</f>
        <v>STATEMENT CARD 0574</v>
      </c>
      <c r="G309" s="5">
        <v>1830.14</v>
      </c>
      <c r="H309" t="str">
        <f>"OFFICE DEPOT"</f>
        <v>OFFICE DEPOT</v>
      </c>
    </row>
    <row r="310" spans="1:8" x14ac:dyDescent="0.25">
      <c r="E310" t="str">
        <f>""</f>
        <v/>
      </c>
      <c r="F310" t="str">
        <f>""</f>
        <v/>
      </c>
      <c r="H310" t="str">
        <f>"BEST WESTERN"</f>
        <v>BEST WESTERN</v>
      </c>
    </row>
    <row r="311" spans="1:8" x14ac:dyDescent="0.25">
      <c r="E311" t="str">
        <f>""</f>
        <v/>
      </c>
      <c r="F311" t="str">
        <f>""</f>
        <v/>
      </c>
      <c r="H311" t="str">
        <f>"HOLIDAY INN GALVESTO"</f>
        <v>HOLIDAY INN GALVESTO</v>
      </c>
    </row>
    <row r="312" spans="1:8" x14ac:dyDescent="0.25">
      <c r="E312" t="str">
        <f>""</f>
        <v/>
      </c>
      <c r="F312" t="str">
        <f>""</f>
        <v/>
      </c>
      <c r="H312" t="str">
        <f>"COURTYARD BY MARRIOT"</f>
        <v>COURTYARD BY MARRIOT</v>
      </c>
    </row>
    <row r="313" spans="1:8" x14ac:dyDescent="0.25">
      <c r="E313" t="str">
        <f>""</f>
        <v/>
      </c>
      <c r="F313" t="str">
        <f>""</f>
        <v/>
      </c>
      <c r="H313" t="str">
        <f>"COURTYARD BY MARRIOT"</f>
        <v>COURTYARD BY MARRIOT</v>
      </c>
    </row>
    <row r="314" spans="1:8" x14ac:dyDescent="0.25">
      <c r="E314" t="str">
        <f>""</f>
        <v/>
      </c>
      <c r="F314" t="str">
        <f>""</f>
        <v/>
      </c>
      <c r="H314" t="str">
        <f>"PSI - TEST"</f>
        <v>PSI - TEST</v>
      </c>
    </row>
    <row r="315" spans="1:8" x14ac:dyDescent="0.25">
      <c r="E315" t="str">
        <f>""</f>
        <v/>
      </c>
      <c r="F315" t="str">
        <f>""</f>
        <v/>
      </c>
      <c r="H315" t="str">
        <f>"IONIZATION LABS CTS"</f>
        <v>IONIZATION LABS CTS</v>
      </c>
    </row>
    <row r="316" spans="1:8" x14ac:dyDescent="0.25">
      <c r="E316" t="str">
        <f>""</f>
        <v/>
      </c>
      <c r="F316" t="str">
        <f>""</f>
        <v/>
      </c>
      <c r="H316" t="str">
        <f>"INTEREST"</f>
        <v>INTEREST</v>
      </c>
    </row>
    <row r="317" spans="1:8" x14ac:dyDescent="0.25">
      <c r="E317" t="str">
        <f>""</f>
        <v/>
      </c>
      <c r="F317" t="str">
        <f>""</f>
        <v/>
      </c>
      <c r="H317" t="str">
        <f>"PREVIOUS BALANCE"</f>
        <v>PREVIOUS BALANCE</v>
      </c>
    </row>
    <row r="318" spans="1:8" x14ac:dyDescent="0.25">
      <c r="E318" t="str">
        <f>""</f>
        <v/>
      </c>
      <c r="F318" t="str">
        <f>""</f>
        <v/>
      </c>
      <c r="H318" t="str">
        <f>"ISI COMMERCIAL REFRI"</f>
        <v>ISI COMMERCIAL REFRI</v>
      </c>
    </row>
    <row r="319" spans="1:8" x14ac:dyDescent="0.25">
      <c r="E319" t="str">
        <f>"202107064371"</f>
        <v>202107064371</v>
      </c>
      <c r="F319" t="str">
        <f>"MASTERCARD 0574"</f>
        <v>MASTERCARD 0574</v>
      </c>
      <c r="G319" s="5">
        <v>215.88</v>
      </c>
      <c r="H319" t="str">
        <f>"BRICKHOUSE SECURITY"</f>
        <v>BRICKHOUSE SECURITY</v>
      </c>
    </row>
    <row r="320" spans="1:8" x14ac:dyDescent="0.25">
      <c r="A320" t="s">
        <v>75</v>
      </c>
      <c r="B320">
        <v>136110</v>
      </c>
      <c r="C320" s="5">
        <v>1473.06</v>
      </c>
      <c r="D320" s="3">
        <v>44378</v>
      </c>
      <c r="E320" t="str">
        <f>"202107014248"</f>
        <v>202107014248</v>
      </c>
      <c r="F320" t="str">
        <f>"ACCT#8000081165-5 / 062121"</f>
        <v>ACCT#8000081165-5 / 062121</v>
      </c>
      <c r="G320" s="5">
        <v>1473.06</v>
      </c>
      <c r="H320" t="str">
        <f>"ACCT#8000081165-5 / 062121"</f>
        <v>ACCT#8000081165-5 / 062121</v>
      </c>
    </row>
    <row r="321" spans="1:8" x14ac:dyDescent="0.25">
      <c r="E321" t="str">
        <f>""</f>
        <v/>
      </c>
      <c r="F321" t="str">
        <f>""</f>
        <v/>
      </c>
      <c r="H321" t="str">
        <f>"ACCT#8000081165-5 / 062121"</f>
        <v>ACCT#8000081165-5 / 062121</v>
      </c>
    </row>
    <row r="322" spans="1:8" x14ac:dyDescent="0.25">
      <c r="A322" t="s">
        <v>75</v>
      </c>
      <c r="B322">
        <v>136494</v>
      </c>
      <c r="C322" s="5">
        <v>1473.59</v>
      </c>
      <c r="D322" s="3">
        <v>44406</v>
      </c>
      <c r="E322" t="str">
        <f>"202107284805"</f>
        <v>202107284805</v>
      </c>
      <c r="F322" t="str">
        <f>"ACCT#8000081165-5 / 070121"</f>
        <v>ACCT#8000081165-5 / 070121</v>
      </c>
      <c r="G322" s="5">
        <v>1473.59</v>
      </c>
      <c r="H322" t="str">
        <f>"CENTERPOINT ENERGY"</f>
        <v>CENTERPOINT ENERGY</v>
      </c>
    </row>
    <row r="323" spans="1:8" x14ac:dyDescent="0.25">
      <c r="E323" t="str">
        <f>""</f>
        <v/>
      </c>
      <c r="F323" t="str">
        <f>""</f>
        <v/>
      </c>
      <c r="H323" t="str">
        <f>"CENTERPOINT ENERGY"</f>
        <v>CENTERPOINT ENERGY</v>
      </c>
    </row>
    <row r="324" spans="1:8" x14ac:dyDescent="0.25">
      <c r="A324" t="s">
        <v>76</v>
      </c>
      <c r="B324">
        <v>136337</v>
      </c>
      <c r="C324" s="5">
        <v>27306.98</v>
      </c>
      <c r="D324" s="3">
        <v>44403</v>
      </c>
      <c r="E324" t="str">
        <f>"30143481"</f>
        <v>30143481</v>
      </c>
      <c r="F324" t="str">
        <f t="shared" ref="F324:F342" si="5">"CUST#BASPCT1/PCT#1"</f>
        <v>CUST#BASPCT1/PCT#1</v>
      </c>
      <c r="G324" s="5">
        <v>2138.86</v>
      </c>
      <c r="H324" t="str">
        <f t="shared" ref="H324:H342" si="6">"CUST#BASPCT1/PCT#1"</f>
        <v>CUST#BASPCT1/PCT#1</v>
      </c>
    </row>
    <row r="325" spans="1:8" x14ac:dyDescent="0.25">
      <c r="E325" t="str">
        <f>"30143509"</f>
        <v>30143509</v>
      </c>
      <c r="F325" t="str">
        <f t="shared" si="5"/>
        <v>CUST#BASPCT1/PCT#1</v>
      </c>
      <c r="G325" s="5">
        <v>1411.99</v>
      </c>
      <c r="H325" t="str">
        <f t="shared" si="6"/>
        <v>CUST#BASPCT1/PCT#1</v>
      </c>
    </row>
    <row r="326" spans="1:8" x14ac:dyDescent="0.25">
      <c r="E326" t="str">
        <f>"30143524"</f>
        <v>30143524</v>
      </c>
      <c r="F326" t="str">
        <f t="shared" si="5"/>
        <v>CUST#BASPCT1/PCT#1</v>
      </c>
      <c r="G326" s="5">
        <v>1063.28</v>
      </c>
      <c r="H326" t="str">
        <f t="shared" si="6"/>
        <v>CUST#BASPCT1/PCT#1</v>
      </c>
    </row>
    <row r="327" spans="1:8" x14ac:dyDescent="0.25">
      <c r="E327" t="str">
        <f>"30143552"</f>
        <v>30143552</v>
      </c>
      <c r="F327" t="str">
        <f t="shared" si="5"/>
        <v>CUST#BASPCT1/PCT#1</v>
      </c>
      <c r="G327" s="5">
        <v>1431.84</v>
      </c>
      <c r="H327" t="str">
        <f t="shared" si="6"/>
        <v>CUST#BASPCT1/PCT#1</v>
      </c>
    </row>
    <row r="328" spans="1:8" x14ac:dyDescent="0.25">
      <c r="E328" t="str">
        <f>"30143661"</f>
        <v>30143661</v>
      </c>
      <c r="F328" t="str">
        <f t="shared" si="5"/>
        <v>CUST#BASPCT1/PCT#1</v>
      </c>
      <c r="G328" s="5">
        <v>2143.42</v>
      </c>
      <c r="H328" t="str">
        <f t="shared" si="6"/>
        <v>CUST#BASPCT1/PCT#1</v>
      </c>
    </row>
    <row r="329" spans="1:8" x14ac:dyDescent="0.25">
      <c r="E329" t="str">
        <f>"30143722"</f>
        <v>30143722</v>
      </c>
      <c r="F329" t="str">
        <f t="shared" si="5"/>
        <v>CUST#BASPCT1/PCT#1</v>
      </c>
      <c r="G329" s="5">
        <v>1076.67</v>
      </c>
      <c r="H329" t="str">
        <f t="shared" si="6"/>
        <v>CUST#BASPCT1/PCT#1</v>
      </c>
    </row>
    <row r="330" spans="1:8" x14ac:dyDescent="0.25">
      <c r="E330" t="str">
        <f>"30143748"</f>
        <v>30143748</v>
      </c>
      <c r="F330" t="str">
        <f t="shared" si="5"/>
        <v>CUST#BASPCT1/PCT#1</v>
      </c>
      <c r="G330" s="5">
        <v>1434.52</v>
      </c>
      <c r="H330" t="str">
        <f t="shared" si="6"/>
        <v>CUST#BASPCT1/PCT#1</v>
      </c>
    </row>
    <row r="331" spans="1:8" x14ac:dyDescent="0.25">
      <c r="E331" t="str">
        <f>"30143971"</f>
        <v>30143971</v>
      </c>
      <c r="F331" t="str">
        <f t="shared" si="5"/>
        <v>CUST#BASPCT1/PCT#1</v>
      </c>
      <c r="G331" s="5">
        <v>1091.47</v>
      </c>
      <c r="H331" t="str">
        <f t="shared" si="6"/>
        <v>CUST#BASPCT1/PCT#1</v>
      </c>
    </row>
    <row r="332" spans="1:8" x14ac:dyDescent="0.25">
      <c r="E332" t="str">
        <f>"30143997"</f>
        <v>30143997</v>
      </c>
      <c r="F332" t="str">
        <f t="shared" si="5"/>
        <v>CUST#BASPCT1/PCT#1</v>
      </c>
      <c r="G332" s="5">
        <v>1069.5899999999999</v>
      </c>
      <c r="H332" t="str">
        <f t="shared" si="6"/>
        <v>CUST#BASPCT1/PCT#1</v>
      </c>
    </row>
    <row r="333" spans="1:8" x14ac:dyDescent="0.25">
      <c r="E333" t="str">
        <f>"30144066"</f>
        <v>30144066</v>
      </c>
      <c r="F333" t="str">
        <f t="shared" si="5"/>
        <v>CUST#BASPCT1/PCT#1</v>
      </c>
      <c r="G333" s="5">
        <v>1079.19</v>
      </c>
      <c r="H333" t="str">
        <f t="shared" si="6"/>
        <v>CUST#BASPCT1/PCT#1</v>
      </c>
    </row>
    <row r="334" spans="1:8" x14ac:dyDescent="0.25">
      <c r="E334" t="str">
        <f>"30144087"</f>
        <v>30144087</v>
      </c>
      <c r="F334" t="str">
        <f t="shared" si="5"/>
        <v>CUST#BASPCT1/PCT#1</v>
      </c>
      <c r="G334" s="5">
        <v>2152.87</v>
      </c>
      <c r="H334" t="str">
        <f t="shared" si="6"/>
        <v>CUST#BASPCT1/PCT#1</v>
      </c>
    </row>
    <row r="335" spans="1:8" x14ac:dyDescent="0.25">
      <c r="E335" t="str">
        <f>"30144151"</f>
        <v>30144151</v>
      </c>
      <c r="F335" t="str">
        <f t="shared" si="5"/>
        <v>CUST#BASPCT1/PCT#1</v>
      </c>
      <c r="G335" s="5">
        <v>1061.8699999999999</v>
      </c>
      <c r="H335" t="str">
        <f t="shared" si="6"/>
        <v>CUST#BASPCT1/PCT#1</v>
      </c>
    </row>
    <row r="336" spans="1:8" x14ac:dyDescent="0.25">
      <c r="E336" t="str">
        <f>"30144174"</f>
        <v>30144174</v>
      </c>
      <c r="F336" t="str">
        <f t="shared" si="5"/>
        <v>CUST#BASPCT1/PCT#1</v>
      </c>
      <c r="G336" s="5">
        <v>1096.3599999999999</v>
      </c>
      <c r="H336" t="str">
        <f t="shared" si="6"/>
        <v>CUST#BASPCT1/PCT#1</v>
      </c>
    </row>
    <row r="337" spans="1:8" x14ac:dyDescent="0.25">
      <c r="E337" t="str">
        <f>"30144199"</f>
        <v>30144199</v>
      </c>
      <c r="F337" t="str">
        <f t="shared" si="5"/>
        <v>CUST#BASPCT1/PCT#1</v>
      </c>
      <c r="G337" s="5">
        <v>1108.6400000000001</v>
      </c>
      <c r="H337" t="str">
        <f t="shared" si="6"/>
        <v>CUST#BASPCT1/PCT#1</v>
      </c>
    </row>
    <row r="338" spans="1:8" x14ac:dyDescent="0.25">
      <c r="E338" t="str">
        <f>"30144248"</f>
        <v>30144248</v>
      </c>
      <c r="F338" t="str">
        <f t="shared" si="5"/>
        <v>CUST#BASPCT1/PCT#1</v>
      </c>
      <c r="G338" s="5">
        <v>1086.1199999999999</v>
      </c>
      <c r="H338" t="str">
        <f t="shared" si="6"/>
        <v>CUST#BASPCT1/PCT#1</v>
      </c>
    </row>
    <row r="339" spans="1:8" x14ac:dyDescent="0.25">
      <c r="E339" t="str">
        <f>"30144274"</f>
        <v>30144274</v>
      </c>
      <c r="F339" t="str">
        <f t="shared" si="5"/>
        <v>CUST#BASPCT1/PCT#1</v>
      </c>
      <c r="G339" s="5">
        <v>2176.52</v>
      </c>
      <c r="H339" t="str">
        <f t="shared" si="6"/>
        <v>CUST#BASPCT1/PCT#1</v>
      </c>
    </row>
    <row r="340" spans="1:8" x14ac:dyDescent="0.25">
      <c r="E340" t="str">
        <f>"30144296"</f>
        <v>30144296</v>
      </c>
      <c r="F340" t="str">
        <f t="shared" si="5"/>
        <v>CUST#BASPCT1/PCT#1</v>
      </c>
      <c r="G340" s="5">
        <v>2108.63</v>
      </c>
      <c r="H340" t="str">
        <f t="shared" si="6"/>
        <v>CUST#BASPCT1/PCT#1</v>
      </c>
    </row>
    <row r="341" spans="1:8" x14ac:dyDescent="0.25">
      <c r="E341" t="str">
        <f>"30144788"</f>
        <v>30144788</v>
      </c>
      <c r="F341" t="str">
        <f t="shared" si="5"/>
        <v>CUST#BASPCT1/PCT#1</v>
      </c>
      <c r="G341" s="5">
        <v>1473.58</v>
      </c>
      <c r="H341" t="str">
        <f t="shared" si="6"/>
        <v>CUST#BASPCT1/PCT#1</v>
      </c>
    </row>
    <row r="342" spans="1:8" x14ac:dyDescent="0.25">
      <c r="E342" t="str">
        <f>"30144809"</f>
        <v>30144809</v>
      </c>
      <c r="F342" t="str">
        <f t="shared" si="5"/>
        <v>CUST#BASPCT1/PCT#1</v>
      </c>
      <c r="G342" s="5">
        <v>1101.56</v>
      </c>
      <c r="H342" t="str">
        <f t="shared" si="6"/>
        <v>CUST#BASPCT1/PCT#1</v>
      </c>
    </row>
    <row r="343" spans="1:8" x14ac:dyDescent="0.25">
      <c r="A343" t="s">
        <v>77</v>
      </c>
      <c r="B343">
        <v>136338</v>
      </c>
      <c r="C343" s="5">
        <v>89.77</v>
      </c>
      <c r="D343" s="3">
        <v>44403</v>
      </c>
      <c r="E343" t="str">
        <f>"202107214741"</f>
        <v>202107214741</v>
      </c>
      <c r="F343" t="str">
        <f>"JAIL MEDICAL"</f>
        <v>JAIL MEDICAL</v>
      </c>
      <c r="G343" s="5">
        <v>89.77</v>
      </c>
      <c r="H343" t="str">
        <f>"JAIL MEDICAL"</f>
        <v>JAIL MEDICAL</v>
      </c>
    </row>
    <row r="344" spans="1:8" x14ac:dyDescent="0.25">
      <c r="A344" t="s">
        <v>78</v>
      </c>
      <c r="B344">
        <v>136193</v>
      </c>
      <c r="C344" s="5">
        <v>925</v>
      </c>
      <c r="D344" s="3">
        <v>44389</v>
      </c>
      <c r="E344" t="str">
        <f>"202106294209"</f>
        <v>202106294209</v>
      </c>
      <c r="F344" t="str">
        <f>"CAUSE NO. 19-19994"</f>
        <v>CAUSE NO. 19-19994</v>
      </c>
      <c r="G344" s="5">
        <v>300</v>
      </c>
      <c r="H344" t="str">
        <f>"CAUSE NO. 19-19994"</f>
        <v>CAUSE NO. 19-19994</v>
      </c>
    </row>
    <row r="345" spans="1:8" x14ac:dyDescent="0.25">
      <c r="E345" t="str">
        <f>"202107064272"</f>
        <v>202107064272</v>
      </c>
      <c r="F345" t="str">
        <f>"57-741"</f>
        <v>57-741</v>
      </c>
      <c r="G345" s="5">
        <v>250</v>
      </c>
      <c r="H345" t="str">
        <f>"57-741"</f>
        <v>57-741</v>
      </c>
    </row>
    <row r="346" spans="1:8" x14ac:dyDescent="0.25">
      <c r="E346" t="str">
        <f>"202107064340"</f>
        <v>202107064340</v>
      </c>
      <c r="F346" t="str">
        <f>"57-181 57-671"</f>
        <v>57-181 57-671</v>
      </c>
      <c r="G346" s="5">
        <v>375</v>
      </c>
      <c r="H346" t="str">
        <f>"57-181 57-671"</f>
        <v>57-181 57-671</v>
      </c>
    </row>
    <row r="347" spans="1:8" x14ac:dyDescent="0.25">
      <c r="A347" t="s">
        <v>78</v>
      </c>
      <c r="B347">
        <v>136339</v>
      </c>
      <c r="C347" s="5">
        <v>277.5</v>
      </c>
      <c r="D347" s="3">
        <v>44403</v>
      </c>
      <c r="E347" t="str">
        <f>"202107134527"</f>
        <v>202107134527</v>
      </c>
      <c r="F347" t="str">
        <f>"2020130"</f>
        <v>2020130</v>
      </c>
      <c r="G347" s="5">
        <v>277.5</v>
      </c>
      <c r="H347" t="str">
        <f>"2020130"</f>
        <v>2020130</v>
      </c>
    </row>
    <row r="348" spans="1:8" x14ac:dyDescent="0.25">
      <c r="A348" t="s">
        <v>79</v>
      </c>
      <c r="B348">
        <v>4756</v>
      </c>
      <c r="C348" s="5">
        <v>2542.5</v>
      </c>
      <c r="D348" s="3">
        <v>44390</v>
      </c>
      <c r="E348" t="str">
        <f>"0252994"</f>
        <v>0252994</v>
      </c>
      <c r="F348" t="str">
        <f>"INV 0252994-IN"</f>
        <v>INV 0252994-IN</v>
      </c>
      <c r="G348" s="5">
        <v>2542.5</v>
      </c>
      <c r="H348" t="str">
        <f>"INV 0252994-IN"</f>
        <v>INV 0252994-IN</v>
      </c>
    </row>
    <row r="349" spans="1:8" x14ac:dyDescent="0.25">
      <c r="A349" t="s">
        <v>80</v>
      </c>
      <c r="B349">
        <v>136340</v>
      </c>
      <c r="C349" s="5">
        <v>870</v>
      </c>
      <c r="D349" s="3">
        <v>44403</v>
      </c>
      <c r="E349" t="str">
        <f>"202107204670"</f>
        <v>202107204670</v>
      </c>
      <c r="F349" t="str">
        <f>"STORAGE/JULY 21- JAN 2022"</f>
        <v>STORAGE/JULY 21- JAN 2022</v>
      </c>
      <c r="G349" s="5">
        <v>870</v>
      </c>
      <c r="H349" t="str">
        <f>"STORAGE/JULY 21- JAN 2022"</f>
        <v>STORAGE/JULY 21- JAN 2022</v>
      </c>
    </row>
    <row r="350" spans="1:8" x14ac:dyDescent="0.25">
      <c r="A350" t="s">
        <v>81</v>
      </c>
      <c r="B350">
        <v>136341</v>
      </c>
      <c r="C350" s="5">
        <v>70</v>
      </c>
      <c r="D350" s="3">
        <v>44403</v>
      </c>
      <c r="E350" t="str">
        <f>"13-810"</f>
        <v>13-810</v>
      </c>
      <c r="F350" t="str">
        <f>"RESTITUTION/JOHN SOTO"</f>
        <v>RESTITUTION/JOHN SOTO</v>
      </c>
      <c r="G350" s="5">
        <v>70</v>
      </c>
      <c r="H350" t="str">
        <f>"RESTITUTION/JOHN SOTO"</f>
        <v>RESTITUTION/JOHN SOTO</v>
      </c>
    </row>
    <row r="351" spans="1:8" x14ac:dyDescent="0.25">
      <c r="A351" t="s">
        <v>82</v>
      </c>
      <c r="B351">
        <v>4768</v>
      </c>
      <c r="C351" s="5">
        <v>775</v>
      </c>
      <c r="D351" s="3">
        <v>44390</v>
      </c>
      <c r="E351" t="str">
        <f>"202106294197"</f>
        <v>202106294197</v>
      </c>
      <c r="F351" t="str">
        <f>"20-20258"</f>
        <v>20-20258</v>
      </c>
      <c r="G351" s="5">
        <v>775</v>
      </c>
      <c r="H351" t="str">
        <f>"20-20258"</f>
        <v>20-20258</v>
      </c>
    </row>
    <row r="352" spans="1:8" x14ac:dyDescent="0.25">
      <c r="A352" t="s">
        <v>82</v>
      </c>
      <c r="B352">
        <v>4852</v>
      </c>
      <c r="C352" s="5">
        <v>1500</v>
      </c>
      <c r="D352" s="3">
        <v>44404</v>
      </c>
      <c r="E352" t="str">
        <f>"202107204665"</f>
        <v>202107204665</v>
      </c>
      <c r="F352" t="str">
        <f>"02-0614-3"</f>
        <v>02-0614-3</v>
      </c>
      <c r="G352" s="5">
        <v>250</v>
      </c>
      <c r="H352" t="str">
        <f>"02-0614-3"</f>
        <v>02-0614-3</v>
      </c>
    </row>
    <row r="353" spans="1:8" x14ac:dyDescent="0.25">
      <c r="E353" t="str">
        <f>"202107204677"</f>
        <v>202107204677</v>
      </c>
      <c r="F353" t="str">
        <f>"02-0610-6"</f>
        <v>02-0610-6</v>
      </c>
      <c r="G353" s="5">
        <v>250</v>
      </c>
      <c r="H353" t="str">
        <f>"02-0610-6"</f>
        <v>02-0610-6</v>
      </c>
    </row>
    <row r="354" spans="1:8" x14ac:dyDescent="0.25">
      <c r="E354" t="str">
        <f>"202107204678"</f>
        <v>202107204678</v>
      </c>
      <c r="F354" t="str">
        <f>"405309-6"</f>
        <v>405309-6</v>
      </c>
      <c r="G354" s="5">
        <v>250</v>
      </c>
      <c r="H354" t="str">
        <f>"405309-6"</f>
        <v>405309-6</v>
      </c>
    </row>
    <row r="355" spans="1:8" x14ac:dyDescent="0.25">
      <c r="E355" t="str">
        <f>"202107204679"</f>
        <v>202107204679</v>
      </c>
      <c r="F355" t="str">
        <f>"JP104152015A"</f>
        <v>JP104152015A</v>
      </c>
      <c r="G355" s="5">
        <v>250</v>
      </c>
      <c r="H355" t="str">
        <f>"JP104152015A"</f>
        <v>JP104152015A</v>
      </c>
    </row>
    <row r="356" spans="1:8" x14ac:dyDescent="0.25">
      <c r="E356" t="str">
        <f>"202107204680"</f>
        <v>202107204680</v>
      </c>
      <c r="F356" t="str">
        <f>"20191787"</f>
        <v>20191787</v>
      </c>
      <c r="G356" s="5">
        <v>250</v>
      </c>
      <c r="H356" t="str">
        <f>"20191787"</f>
        <v>20191787</v>
      </c>
    </row>
    <row r="357" spans="1:8" x14ac:dyDescent="0.25">
      <c r="E357" t="str">
        <f>"202107204681"</f>
        <v>202107204681</v>
      </c>
      <c r="F357" t="str">
        <f>"02-0301-2"</f>
        <v>02-0301-2</v>
      </c>
      <c r="G357" s="5">
        <v>250</v>
      </c>
      <c r="H357" t="str">
        <f>"02-0301-2"</f>
        <v>02-0301-2</v>
      </c>
    </row>
    <row r="358" spans="1:8" x14ac:dyDescent="0.25">
      <c r="A358" t="s">
        <v>83</v>
      </c>
      <c r="B358">
        <v>4823</v>
      </c>
      <c r="C358" s="5">
        <v>300</v>
      </c>
      <c r="D358" s="3">
        <v>44404</v>
      </c>
      <c r="E358" t="str">
        <f>"202107144544"</f>
        <v>202107144544</v>
      </c>
      <c r="F358" t="str">
        <f>"REIMBURSE/CHRISTINE FILES"</f>
        <v>REIMBURSE/CHRISTINE FILES</v>
      </c>
      <c r="G358" s="5">
        <v>300</v>
      </c>
      <c r="H358" t="str">
        <f>"REIMBURSE/CHRISTINE FILES"</f>
        <v>REIMBURSE/CHRISTINE FILES</v>
      </c>
    </row>
    <row r="359" spans="1:8" x14ac:dyDescent="0.25">
      <c r="A359" t="s">
        <v>84</v>
      </c>
      <c r="B359">
        <v>136194</v>
      </c>
      <c r="C359" s="5">
        <v>150</v>
      </c>
      <c r="D359" s="3">
        <v>44389</v>
      </c>
      <c r="E359" t="str">
        <f>"9137355674"</f>
        <v>9137355674</v>
      </c>
      <c r="F359" t="str">
        <f>"INV 9137355674"</f>
        <v>INV 9137355674</v>
      </c>
      <c r="G359" s="5">
        <v>100</v>
      </c>
      <c r="H359" t="str">
        <f>"INV 9137355674"</f>
        <v>INV 9137355674</v>
      </c>
    </row>
    <row r="360" spans="1:8" x14ac:dyDescent="0.25">
      <c r="E360" t="str">
        <f>"9137355675"</f>
        <v>9137355675</v>
      </c>
      <c r="F360" t="str">
        <f>"INV 9137355675"</f>
        <v>INV 9137355675</v>
      </c>
      <c r="G360" s="5">
        <v>50</v>
      </c>
      <c r="H360" t="str">
        <f>"INV 9137355675"</f>
        <v>INV 9137355675</v>
      </c>
    </row>
    <row r="361" spans="1:8" x14ac:dyDescent="0.25">
      <c r="A361" t="s">
        <v>84</v>
      </c>
      <c r="B361">
        <v>136342</v>
      </c>
      <c r="C361" s="5">
        <v>29.9</v>
      </c>
      <c r="D361" s="3">
        <v>44403</v>
      </c>
      <c r="E361" t="str">
        <f>"5065810105"</f>
        <v>5065810105</v>
      </c>
      <c r="F361" t="str">
        <f>"CUST#11167190/PCT#1"</f>
        <v>CUST#11167190/PCT#1</v>
      </c>
      <c r="G361" s="5">
        <v>29.9</v>
      </c>
      <c r="H361" t="str">
        <f>"CUST#11167190/PCT#1"</f>
        <v>CUST#11167190/PCT#1</v>
      </c>
    </row>
    <row r="362" spans="1:8" x14ac:dyDescent="0.25">
      <c r="A362" t="s">
        <v>85</v>
      </c>
      <c r="B362">
        <v>136195</v>
      </c>
      <c r="C362" s="5">
        <v>1037.04</v>
      </c>
      <c r="D362" s="3">
        <v>44389</v>
      </c>
      <c r="E362" t="str">
        <f>"202107074397"</f>
        <v>202107074397</v>
      </c>
      <c r="F362" t="str">
        <f>"PAYER#14108367/PCT#2"</f>
        <v>PAYER#14108367/PCT#2</v>
      </c>
      <c r="G362" s="5">
        <v>675.44</v>
      </c>
      <c r="H362" t="str">
        <f>"PAYER#14108367/PCT#2"</f>
        <v>PAYER#14108367/PCT#2</v>
      </c>
    </row>
    <row r="363" spans="1:8" x14ac:dyDescent="0.25">
      <c r="E363" t="str">
        <f>"202107074436"</f>
        <v>202107074436</v>
      </c>
      <c r="F363" t="str">
        <f>"PAYER#14108463/ANIMAL SHELTER"</f>
        <v>PAYER#14108463/ANIMAL SHELTER</v>
      </c>
      <c r="G363" s="5">
        <v>361.6</v>
      </c>
      <c r="H363" t="str">
        <f>"PAYER#14108463/ANIMAL SHELTER"</f>
        <v>PAYER#14108463/ANIMAL SHELTER</v>
      </c>
    </row>
    <row r="364" spans="1:8" x14ac:dyDescent="0.25">
      <c r="A364" t="s">
        <v>85</v>
      </c>
      <c r="B364">
        <v>136196</v>
      </c>
      <c r="C364" s="5">
        <v>342.53</v>
      </c>
      <c r="D364" s="3">
        <v>44389</v>
      </c>
      <c r="E364" t="str">
        <f>"8405190264"</f>
        <v>8405190264</v>
      </c>
      <c r="F364" t="str">
        <f>"PAYER#1077368/PCT#2"</f>
        <v>PAYER#1077368/PCT#2</v>
      </c>
      <c r="G364" s="5">
        <v>52.22</v>
      </c>
      <c r="H364" t="str">
        <f>"PAYER#1077368/PCT#2"</f>
        <v>PAYER#1077368/PCT#2</v>
      </c>
    </row>
    <row r="365" spans="1:8" x14ac:dyDescent="0.25">
      <c r="E365" t="str">
        <f>"8405190264-2"</f>
        <v>8405190264-2</v>
      </c>
      <c r="F365" t="str">
        <f>"PAYER#10377368/PCT#3"</f>
        <v>PAYER#10377368/PCT#3</v>
      </c>
      <c r="G365" s="5">
        <v>290.31</v>
      </c>
      <c r="H365" t="str">
        <f>"PAYER#10377368/PCT#3"</f>
        <v>PAYER#10377368/PCT#3</v>
      </c>
    </row>
    <row r="366" spans="1:8" x14ac:dyDescent="0.25">
      <c r="A366" t="s">
        <v>85</v>
      </c>
      <c r="B366">
        <v>136343</v>
      </c>
      <c r="C366" s="5">
        <v>4921.82</v>
      </c>
      <c r="D366" s="3">
        <v>44403</v>
      </c>
      <c r="E366" t="str">
        <f>"202107194582"</f>
        <v>202107194582</v>
      </c>
      <c r="F366" t="str">
        <f>"PAYER#14108430/PCT#4"</f>
        <v>PAYER#14108430/PCT#4</v>
      </c>
      <c r="G366" s="5">
        <v>1437.08</v>
      </c>
      <c r="H366" t="str">
        <f>"PAYER#14108430/PCT#4"</f>
        <v>PAYER#14108430/PCT#4</v>
      </c>
    </row>
    <row r="367" spans="1:8" x14ac:dyDescent="0.25">
      <c r="E367" t="str">
        <f>"202107194583"</f>
        <v>202107194583</v>
      </c>
      <c r="F367" t="str">
        <f>"PAYER#14108275/GENERAL SVCS"</f>
        <v>PAYER#14108275/GENERAL SVCS</v>
      </c>
      <c r="G367" s="5">
        <v>2402.25</v>
      </c>
      <c r="H367" t="str">
        <f>"PAYER#14108275/GENERAL SVCS"</f>
        <v>PAYER#14108275/GENERAL SVCS</v>
      </c>
    </row>
    <row r="368" spans="1:8" x14ac:dyDescent="0.25">
      <c r="E368" t="str">
        <f>"202107194648"</f>
        <v>202107194648</v>
      </c>
      <c r="F368" t="str">
        <f>"PAYER#14108431/PCT#1"</f>
        <v>PAYER#14108431/PCT#1</v>
      </c>
      <c r="G368" s="5">
        <v>1006.51</v>
      </c>
      <c r="H368" t="str">
        <f>"PAYER#14108431/PCT#1"</f>
        <v>PAYER#14108431/PCT#1</v>
      </c>
    </row>
    <row r="369" spans="1:8" x14ac:dyDescent="0.25">
      <c r="E369" t="str">
        <f>"202107204658"</f>
        <v>202107204658</v>
      </c>
      <c r="F369" t="str">
        <f>"PAYER#14108431/SIGN SHOP"</f>
        <v>PAYER#14108431/SIGN SHOP</v>
      </c>
      <c r="G369" s="5">
        <v>75.98</v>
      </c>
      <c r="H369" t="str">
        <f>"PAYER#14108431/SIGN SHOP"</f>
        <v>PAYER#14108431/SIGN SHOP</v>
      </c>
    </row>
    <row r="370" spans="1:8" x14ac:dyDescent="0.25">
      <c r="A370" t="s">
        <v>86</v>
      </c>
      <c r="B370">
        <v>1200</v>
      </c>
      <c r="C370" s="5">
        <v>14546.51</v>
      </c>
      <c r="D370" s="3">
        <v>44397</v>
      </c>
      <c r="E370" t="str">
        <f>"202107204676"</f>
        <v>202107204676</v>
      </c>
      <c r="F370" t="str">
        <f>"ACCT#72-5613 07/03/2021"</f>
        <v>ACCT#72-5613 07/03/2021</v>
      </c>
      <c r="G370" s="5">
        <v>-2.11</v>
      </c>
      <c r="H370" t="str">
        <f>"ACCT#72-5613 07/03/2021"</f>
        <v>ACCT#72-5613 07/03/2021</v>
      </c>
    </row>
    <row r="371" spans="1:8" x14ac:dyDescent="0.25">
      <c r="E371" t="str">
        <f>"202107204674"</f>
        <v>202107204674</v>
      </c>
      <c r="F371" t="str">
        <f>"ACCT#72-5613 07/03/2021"</f>
        <v>ACCT#72-5613 07/03/2021</v>
      </c>
      <c r="G371" s="5">
        <v>14548.62</v>
      </c>
      <c r="H371" t="str">
        <f>"ACCT#72-5613 07/03/2021"</f>
        <v>ACCT#72-5613 07/03/2021</v>
      </c>
    </row>
    <row r="372" spans="1:8" x14ac:dyDescent="0.25">
      <c r="A372" t="s">
        <v>87</v>
      </c>
      <c r="B372">
        <v>136160</v>
      </c>
      <c r="C372" s="5">
        <v>57080.7</v>
      </c>
      <c r="D372" s="3">
        <v>44386</v>
      </c>
      <c r="E372" t="str">
        <f>"202107084458"</f>
        <v>202107084458</v>
      </c>
      <c r="F372" t="str">
        <f>"ACCT#02-2083-04 / 06292021"</f>
        <v>ACCT#02-2083-04 / 06292021</v>
      </c>
      <c r="G372" s="5">
        <v>7425.74</v>
      </c>
      <c r="H372" t="str">
        <f>"CITY OF BASTROP"</f>
        <v>CITY OF BASTROP</v>
      </c>
    </row>
    <row r="373" spans="1:8" x14ac:dyDescent="0.25">
      <c r="E373" t="str">
        <f>"202107084459"</f>
        <v>202107084459</v>
      </c>
      <c r="F373" t="str">
        <f>"COUNTY DEV CENTER / 06292021"</f>
        <v>COUNTY DEV CENTER / 06292021</v>
      </c>
      <c r="G373" s="5">
        <v>2201.5300000000002</v>
      </c>
      <c r="H373" t="str">
        <f>"CITY OF BASTROP"</f>
        <v>CITY OF BASTROP</v>
      </c>
    </row>
    <row r="374" spans="1:8" x14ac:dyDescent="0.25">
      <c r="E374" t="str">
        <f>"202107084460"</f>
        <v>202107084460</v>
      </c>
      <c r="F374" t="str">
        <f>"COUNTY LAW CENTER / 06292021"</f>
        <v>COUNTY LAW CENTER / 06292021</v>
      </c>
      <c r="G374" s="5">
        <v>31043.14</v>
      </c>
      <c r="H374" t="str">
        <f>"CITY OF BASTROP"</f>
        <v>CITY OF BASTROP</v>
      </c>
    </row>
    <row r="375" spans="1:8" x14ac:dyDescent="0.25">
      <c r="E375" t="str">
        <f>"202107084461"</f>
        <v>202107084461</v>
      </c>
      <c r="F375" t="str">
        <f>"BASTROP COURT HOUSE / 06292021"</f>
        <v>BASTROP COURT HOUSE / 06292021</v>
      </c>
      <c r="G375" s="5">
        <v>16410.29</v>
      </c>
      <c r="H375" t="str">
        <f>"CITY OF BASTROP"</f>
        <v>CITY OF BASTROP</v>
      </c>
    </row>
    <row r="376" spans="1:8" x14ac:dyDescent="0.25">
      <c r="A376" t="s">
        <v>87</v>
      </c>
      <c r="B376">
        <v>136344</v>
      </c>
      <c r="C376" s="5">
        <v>750</v>
      </c>
      <c r="D376" s="3">
        <v>44403</v>
      </c>
      <c r="E376" t="str">
        <f>"202107144546"</f>
        <v>202107144546</v>
      </c>
      <c r="F376" t="str">
        <f>"RENTAL-PARKING LOT"</f>
        <v>RENTAL-PARKING LOT</v>
      </c>
      <c r="G376" s="5">
        <v>750</v>
      </c>
      <c r="H376" t="str">
        <f>"RENTAL-PARKING LOT"</f>
        <v>RENTAL-PARKING LOT</v>
      </c>
    </row>
    <row r="377" spans="1:8" x14ac:dyDescent="0.25">
      <c r="A377" t="s">
        <v>88</v>
      </c>
      <c r="B377">
        <v>136111</v>
      </c>
      <c r="C377" s="5">
        <v>3833.21</v>
      </c>
      <c r="D377" s="3">
        <v>44378</v>
      </c>
      <c r="E377" t="str">
        <f>"202107014249"</f>
        <v>202107014249</v>
      </c>
      <c r="F377" t="str">
        <f>"ACCT#007-0000388-000/06282021"</f>
        <v>ACCT#007-0000388-000/06282021</v>
      </c>
      <c r="G377" s="5">
        <v>701.6</v>
      </c>
      <c r="H377" t="str">
        <f t="shared" ref="H377:H382" si="7">"CITY OF SMITHVILLE"</f>
        <v>CITY OF SMITHVILLE</v>
      </c>
    </row>
    <row r="378" spans="1:8" x14ac:dyDescent="0.25">
      <c r="E378" t="str">
        <f>"202107014250"</f>
        <v>202107014250</v>
      </c>
      <c r="F378" t="str">
        <f>"ACCT#007-0000389-000/06282021"</f>
        <v>ACCT#007-0000389-000/06282021</v>
      </c>
      <c r="G378" s="5">
        <v>63.97</v>
      </c>
      <c r="H378" t="str">
        <f t="shared" si="7"/>
        <v>CITY OF SMITHVILLE</v>
      </c>
    </row>
    <row r="379" spans="1:8" x14ac:dyDescent="0.25">
      <c r="E379" t="str">
        <f>"202107014251"</f>
        <v>202107014251</v>
      </c>
      <c r="F379" t="str">
        <f>"ACCT#044-0001240-000/06282021"</f>
        <v>ACCT#044-0001240-000/06282021</v>
      </c>
      <c r="G379" s="5">
        <v>468.57</v>
      </c>
      <c r="H379" t="str">
        <f t="shared" si="7"/>
        <v>CITY OF SMITHVILLE</v>
      </c>
    </row>
    <row r="380" spans="1:8" x14ac:dyDescent="0.25">
      <c r="E380" t="str">
        <f>"202107014252"</f>
        <v>202107014252</v>
      </c>
      <c r="F380" t="str">
        <f>"ACCT#044-0001250-000/06282021"</f>
        <v>ACCT#044-0001250-000/06282021</v>
      </c>
      <c r="G380" s="5">
        <v>133.38999999999999</v>
      </c>
      <c r="H380" t="str">
        <f t="shared" si="7"/>
        <v>CITY OF SMITHVILLE</v>
      </c>
    </row>
    <row r="381" spans="1:8" x14ac:dyDescent="0.25">
      <c r="E381" t="str">
        <f>"202107014253"</f>
        <v>202107014253</v>
      </c>
      <c r="F381" t="str">
        <f>"ACCT#044-0001252-000/06282021"</f>
        <v>ACCT#044-0001252-000/06282021</v>
      </c>
      <c r="G381" s="5">
        <v>2262.5300000000002</v>
      </c>
      <c r="H381" t="str">
        <f t="shared" si="7"/>
        <v>CITY OF SMITHVILLE</v>
      </c>
    </row>
    <row r="382" spans="1:8" x14ac:dyDescent="0.25">
      <c r="E382" t="str">
        <f>"202107014254"</f>
        <v>202107014254</v>
      </c>
      <c r="F382" t="str">
        <f>"ACCT#044-0001253-000/06282021"</f>
        <v>ACCT#044-0001253-000/06282021</v>
      </c>
      <c r="G382" s="5">
        <v>203.15</v>
      </c>
      <c r="H382" t="str">
        <f t="shared" si="7"/>
        <v>CITY OF SMITHVILLE</v>
      </c>
    </row>
    <row r="383" spans="1:8" x14ac:dyDescent="0.25">
      <c r="A383" t="s">
        <v>89</v>
      </c>
      <c r="B383">
        <v>4711</v>
      </c>
      <c r="C383" s="5">
        <v>184.5</v>
      </c>
      <c r="D383" s="3">
        <v>44390</v>
      </c>
      <c r="E383" t="str">
        <f>"PMA-0077321"</f>
        <v>PMA-0077321</v>
      </c>
      <c r="F383" t="str">
        <f>"CUST#0020272/IT"</f>
        <v>CUST#0020272/IT</v>
      </c>
      <c r="G383" s="5">
        <v>184.5</v>
      </c>
      <c r="H383" t="str">
        <f>"CUST#0020272/IT"</f>
        <v>CUST#0020272/IT</v>
      </c>
    </row>
    <row r="384" spans="1:8" x14ac:dyDescent="0.25">
      <c r="A384" t="s">
        <v>90</v>
      </c>
      <c r="B384">
        <v>4744</v>
      </c>
      <c r="C384" s="5">
        <v>441.6</v>
      </c>
      <c r="D384" s="3">
        <v>44390</v>
      </c>
      <c r="E384" t="str">
        <f>"202107014230"</f>
        <v>202107014230</v>
      </c>
      <c r="F384" t="str">
        <f>"INDIGENT HEALTH"</f>
        <v>INDIGENT HEALTH</v>
      </c>
      <c r="G384" s="5">
        <v>435.07</v>
      </c>
      <c r="H384" t="str">
        <f>"INDIGENT HEALTH"</f>
        <v>INDIGENT HEALTH</v>
      </c>
    </row>
    <row r="385" spans="1:8" x14ac:dyDescent="0.25">
      <c r="E385" t="str">
        <f>"202107074380"</f>
        <v>202107074380</v>
      </c>
      <c r="F385" t="str">
        <f>"JAIL MEDICAL"</f>
        <v>JAIL MEDICAL</v>
      </c>
      <c r="G385" s="5">
        <v>6.53</v>
      </c>
      <c r="H385" t="str">
        <f>"JAIL MEDICAL"</f>
        <v>JAIL MEDICAL</v>
      </c>
    </row>
    <row r="386" spans="1:8" x14ac:dyDescent="0.25">
      <c r="A386" t="s">
        <v>90</v>
      </c>
      <c r="B386">
        <v>4828</v>
      </c>
      <c r="C386" s="5">
        <v>753.27</v>
      </c>
      <c r="D386" s="3">
        <v>44404</v>
      </c>
      <c r="E386" t="str">
        <f>"1278-202106"</f>
        <v>1278-202106</v>
      </c>
      <c r="F386" t="str">
        <f>"INV 1278-202106-0"</f>
        <v>INV 1278-202106-0</v>
      </c>
      <c r="G386" s="5">
        <v>407.38</v>
      </c>
      <c r="H386" t="str">
        <f>"INV 1278-202106-0"</f>
        <v>INV 1278-202106-0</v>
      </c>
    </row>
    <row r="387" spans="1:8" x14ac:dyDescent="0.25">
      <c r="E387" t="str">
        <f>"202107204693"</f>
        <v>202107204693</v>
      </c>
      <c r="F387" t="str">
        <f>"INDIGENT HEALTH"</f>
        <v>INDIGENT HEALTH</v>
      </c>
      <c r="G387" s="5">
        <v>345.89</v>
      </c>
      <c r="H387" t="str">
        <f>"INDIGENT HEALTH"</f>
        <v>INDIGENT HEALTH</v>
      </c>
    </row>
    <row r="388" spans="1:8" x14ac:dyDescent="0.25">
      <c r="E388" t="str">
        <f>""</f>
        <v/>
      </c>
      <c r="F388" t="str">
        <f>""</f>
        <v/>
      </c>
      <c r="H388" t="str">
        <f>"INDIGENT HEALTH"</f>
        <v>INDIGENT HEALTH</v>
      </c>
    </row>
    <row r="389" spans="1:8" x14ac:dyDescent="0.25">
      <c r="A389" t="s">
        <v>91</v>
      </c>
      <c r="B389">
        <v>4714</v>
      </c>
      <c r="C389" s="5">
        <v>234.8</v>
      </c>
      <c r="D389" s="3">
        <v>44390</v>
      </c>
      <c r="E389" t="str">
        <f>"12457117470"</f>
        <v>12457117470</v>
      </c>
      <c r="F389" t="str">
        <f>"INV 12457117470"</f>
        <v>INV 12457117470</v>
      </c>
      <c r="G389" s="5">
        <v>234.8</v>
      </c>
      <c r="H389" t="str">
        <f>"INV 12457117470"</f>
        <v>INV 12457117470</v>
      </c>
    </row>
    <row r="390" spans="1:8" x14ac:dyDescent="0.25">
      <c r="A390" t="s">
        <v>92</v>
      </c>
      <c r="B390">
        <v>136345</v>
      </c>
      <c r="C390" s="5">
        <v>50.4</v>
      </c>
      <c r="D390" s="3">
        <v>44403</v>
      </c>
      <c r="E390" t="str">
        <f>"202107144543"</f>
        <v>202107144543</v>
      </c>
      <c r="F390" t="str">
        <f>"REIMBURSE/CONNIE RABEL"</f>
        <v>REIMBURSE/CONNIE RABEL</v>
      </c>
      <c r="G390" s="5">
        <v>50.4</v>
      </c>
      <c r="H390" t="str">
        <f>"REIMBURSE/CONNIE RABEL"</f>
        <v>REIMBURSE/CONNIE RABEL</v>
      </c>
    </row>
    <row r="391" spans="1:8" x14ac:dyDescent="0.25">
      <c r="A391" t="s">
        <v>93</v>
      </c>
      <c r="B391">
        <v>136346</v>
      </c>
      <c r="C391" s="5">
        <v>65</v>
      </c>
      <c r="D391" s="3">
        <v>44403</v>
      </c>
      <c r="E391" t="str">
        <f>"13-651"</f>
        <v>13-651</v>
      </c>
      <c r="F391" t="str">
        <f>"RESTITUTION/ KATHY PURCELL"</f>
        <v>RESTITUTION/ KATHY PURCELL</v>
      </c>
      <c r="G391" s="5">
        <v>65</v>
      </c>
      <c r="H391" t="str">
        <f>"RESTITUTION/ KATHY PURCELL"</f>
        <v>RESTITUTION/ KATHY PURCELL</v>
      </c>
    </row>
    <row r="392" spans="1:8" x14ac:dyDescent="0.25">
      <c r="A392" t="s">
        <v>94</v>
      </c>
      <c r="B392">
        <v>136347</v>
      </c>
      <c r="C392" s="5">
        <v>7985.24</v>
      </c>
      <c r="D392" s="3">
        <v>44403</v>
      </c>
      <c r="E392" t="str">
        <f>"23123600"</f>
        <v>23123600</v>
      </c>
      <c r="F392" t="str">
        <f>"ACCT#434304/PCT#4"</f>
        <v>ACCT#434304/PCT#4</v>
      </c>
      <c r="G392" s="5">
        <v>5807.96</v>
      </c>
      <c r="H392" t="str">
        <f>"ACCT#434304/PCT#4"</f>
        <v>ACCT#434304/PCT#4</v>
      </c>
    </row>
    <row r="393" spans="1:8" x14ac:dyDescent="0.25">
      <c r="E393" t="str">
        <f>"23146515"</f>
        <v>23146515</v>
      </c>
      <c r="F393" t="str">
        <f>"ACCT#434304/PCT#4"</f>
        <v>ACCT#434304/PCT#4</v>
      </c>
      <c r="G393" s="5">
        <v>1658.88</v>
      </c>
      <c r="H393" t="str">
        <f>"ACCT#434304/PCT#4"</f>
        <v>ACCT#434304/PCT#4</v>
      </c>
    </row>
    <row r="394" spans="1:8" x14ac:dyDescent="0.25">
      <c r="E394" t="str">
        <f>"23201070"</f>
        <v>23201070</v>
      </c>
      <c r="F394" t="str">
        <f>"ACCT#434304/PCT#4"</f>
        <v>ACCT#434304/PCT#4</v>
      </c>
      <c r="G394" s="5">
        <v>518.4</v>
      </c>
      <c r="H394" t="str">
        <f>"ACCT#434304/PCT#4"</f>
        <v>ACCT#434304/PCT#4</v>
      </c>
    </row>
    <row r="395" spans="1:8" x14ac:dyDescent="0.25">
      <c r="A395" t="s">
        <v>95</v>
      </c>
      <c r="B395">
        <v>4720</v>
      </c>
      <c r="C395" s="5">
        <v>8715</v>
      </c>
      <c r="D395" s="3">
        <v>44390</v>
      </c>
      <c r="E395" t="str">
        <f>"20975"</f>
        <v>20975</v>
      </c>
      <c r="F395" t="str">
        <f>"DAMAGED FIBER/ANIMAL SHELTER"</f>
        <v>DAMAGED FIBER/ANIMAL SHELTER</v>
      </c>
      <c r="G395" s="5">
        <v>2105</v>
      </c>
      <c r="H395" t="str">
        <f>"DAMAGED FIBER/ANIMAL SHELTER"</f>
        <v>DAMAGED FIBER/ANIMAL SHELTER</v>
      </c>
    </row>
    <row r="396" spans="1:8" x14ac:dyDescent="0.25">
      <c r="E396" t="str">
        <f>"21032"</f>
        <v>21032</v>
      </c>
      <c r="F396" t="str">
        <f>"ELGIN/SMITHVILLE ANNEX"</f>
        <v>ELGIN/SMITHVILLE ANNEX</v>
      </c>
      <c r="G396" s="5">
        <v>4390</v>
      </c>
      <c r="H396" t="str">
        <f>"ELGIN/SMITHVILLE ANNEX"</f>
        <v>ELGIN/SMITHVILLE ANNEX</v>
      </c>
    </row>
    <row r="397" spans="1:8" x14ac:dyDescent="0.25">
      <c r="E397" t="str">
        <f>"21033"</f>
        <v>21033</v>
      </c>
      <c r="F397" t="str">
        <f>"INV 21033"</f>
        <v>INV 21033</v>
      </c>
      <c r="G397" s="5">
        <v>2220</v>
      </c>
      <c r="H397" t="str">
        <f>"INV 21033"</f>
        <v>INV 21033</v>
      </c>
    </row>
    <row r="398" spans="1:8" x14ac:dyDescent="0.25">
      <c r="A398" t="s">
        <v>96</v>
      </c>
      <c r="B398">
        <v>4743</v>
      </c>
      <c r="C398" s="5">
        <v>825.6</v>
      </c>
      <c r="D398" s="3">
        <v>44390</v>
      </c>
      <c r="E398" t="str">
        <f>"IG00804"</f>
        <v>IG00804</v>
      </c>
      <c r="F398" t="str">
        <f>"ACCT#063/PCT#2"</f>
        <v>ACCT#063/PCT#2</v>
      </c>
      <c r="G398" s="5">
        <v>825.6</v>
      </c>
      <c r="H398" t="str">
        <f>"ACCT#063/PCT#2"</f>
        <v>ACCT#063/PCT#2</v>
      </c>
    </row>
    <row r="399" spans="1:8" x14ac:dyDescent="0.25">
      <c r="A399" t="s">
        <v>97</v>
      </c>
      <c r="B399">
        <v>136348</v>
      </c>
      <c r="C399" s="5">
        <v>150</v>
      </c>
      <c r="D399" s="3">
        <v>44403</v>
      </c>
      <c r="E399" t="str">
        <f>"13305"</f>
        <v>13305</v>
      </c>
      <c r="F399" t="str">
        <f>"SERVICE"</f>
        <v>SERVICE</v>
      </c>
      <c r="G399" s="5">
        <v>150</v>
      </c>
      <c r="H399" t="str">
        <f>"SERVICE"</f>
        <v>SERVICE</v>
      </c>
    </row>
    <row r="400" spans="1:8" x14ac:dyDescent="0.25">
      <c r="A400" t="s">
        <v>98</v>
      </c>
      <c r="B400">
        <v>136349</v>
      </c>
      <c r="C400" s="5">
        <v>1805</v>
      </c>
      <c r="D400" s="3">
        <v>44403</v>
      </c>
      <c r="E400" t="str">
        <f>"44868"</f>
        <v>44868</v>
      </c>
      <c r="F400" t="str">
        <f>"INV 44868"</f>
        <v>INV 44868</v>
      </c>
      <c r="G400" s="5">
        <v>1805</v>
      </c>
      <c r="H400" t="str">
        <f>"INV 44868"</f>
        <v>INV 44868</v>
      </c>
    </row>
    <row r="401" spans="1:8" x14ac:dyDescent="0.25">
      <c r="A401" t="s">
        <v>99</v>
      </c>
      <c r="B401">
        <v>136197</v>
      </c>
      <c r="C401" s="5">
        <v>1853.22</v>
      </c>
      <c r="D401" s="3">
        <v>44389</v>
      </c>
      <c r="E401" t="str">
        <f>"UV14616"</f>
        <v>UV14616</v>
      </c>
      <c r="F401" t="str">
        <f>"ACCT#68930/ANIMAL SHELTER"</f>
        <v>ACCT#68930/ANIMAL SHELTER</v>
      </c>
      <c r="G401" s="5">
        <v>811.33</v>
      </c>
      <c r="H401" t="str">
        <f t="shared" ref="H401:H409" si="8">"ACCT#68930/ANIMAL SHELTER"</f>
        <v>ACCT#68930/ANIMAL SHELTER</v>
      </c>
    </row>
    <row r="402" spans="1:8" x14ac:dyDescent="0.25">
      <c r="E402" t="str">
        <f>""</f>
        <v/>
      </c>
      <c r="F402" t="str">
        <f>""</f>
        <v/>
      </c>
      <c r="H402" t="str">
        <f t="shared" si="8"/>
        <v>ACCT#68930/ANIMAL SHELTER</v>
      </c>
    </row>
    <row r="403" spans="1:8" x14ac:dyDescent="0.25">
      <c r="E403" t="str">
        <f>"UV17887"</f>
        <v>UV17887</v>
      </c>
      <c r="F403" t="str">
        <f>"ACCT#68930/ANIMAL SHELTER"</f>
        <v>ACCT#68930/ANIMAL SHELTER</v>
      </c>
      <c r="G403" s="5">
        <v>165.9</v>
      </c>
      <c r="H403" t="str">
        <f t="shared" si="8"/>
        <v>ACCT#68930/ANIMAL SHELTER</v>
      </c>
    </row>
    <row r="404" spans="1:8" x14ac:dyDescent="0.25">
      <c r="E404" t="str">
        <f>"UV62786"</f>
        <v>UV62786</v>
      </c>
      <c r="F404" t="str">
        <f>"ACCT#68930/ANIMAL SHELTER"</f>
        <v>ACCT#68930/ANIMAL SHELTER</v>
      </c>
      <c r="G404" s="5">
        <v>7.18</v>
      </c>
      <c r="H404" t="str">
        <f t="shared" si="8"/>
        <v>ACCT#68930/ANIMAL SHELTER</v>
      </c>
    </row>
    <row r="405" spans="1:8" x14ac:dyDescent="0.25">
      <c r="E405" t="str">
        <f>"UV64958"</f>
        <v>UV64958</v>
      </c>
      <c r="F405" t="str">
        <f>"ACCT#68930/ANIMAL SHELTER"</f>
        <v>ACCT#68930/ANIMAL SHELTER</v>
      </c>
      <c r="G405" s="5">
        <v>107.54</v>
      </c>
      <c r="H405" t="str">
        <f t="shared" si="8"/>
        <v>ACCT#68930/ANIMAL SHELTER</v>
      </c>
    </row>
    <row r="406" spans="1:8" x14ac:dyDescent="0.25">
      <c r="E406" t="str">
        <f>""</f>
        <v/>
      </c>
      <c r="F406" t="str">
        <f>""</f>
        <v/>
      </c>
      <c r="H406" t="str">
        <f t="shared" si="8"/>
        <v>ACCT#68930/ANIMAL SHELTER</v>
      </c>
    </row>
    <row r="407" spans="1:8" x14ac:dyDescent="0.25">
      <c r="E407" t="str">
        <f>"UW09523"</f>
        <v>UW09523</v>
      </c>
      <c r="F407" t="str">
        <f>"ACCT#68930/ANIMAL SHELTER"</f>
        <v>ACCT#68930/ANIMAL SHELTER</v>
      </c>
      <c r="G407" s="5">
        <v>432.66</v>
      </c>
      <c r="H407" t="str">
        <f t="shared" si="8"/>
        <v>ACCT#68930/ANIMAL SHELTER</v>
      </c>
    </row>
    <row r="408" spans="1:8" x14ac:dyDescent="0.25">
      <c r="E408" t="str">
        <f>"UW09533"</f>
        <v>UW09533</v>
      </c>
      <c r="F408" t="str">
        <f>"ACCT#68930/ANIMAL SHELTER"</f>
        <v>ACCT#68930/ANIMAL SHELTER</v>
      </c>
      <c r="G408" s="5">
        <v>193.22</v>
      </c>
      <c r="H408" t="str">
        <f t="shared" si="8"/>
        <v>ACCT#68930/ANIMAL SHELTER</v>
      </c>
    </row>
    <row r="409" spans="1:8" x14ac:dyDescent="0.25">
      <c r="E409" t="str">
        <f>"UW18953"</f>
        <v>UW18953</v>
      </c>
      <c r="F409" t="str">
        <f>"ACCT#68930/ANIMAL SHELTER"</f>
        <v>ACCT#68930/ANIMAL SHELTER</v>
      </c>
      <c r="G409" s="5">
        <v>135.38999999999999</v>
      </c>
      <c r="H409" t="str">
        <f t="shared" si="8"/>
        <v>ACCT#68930/ANIMAL SHELTER</v>
      </c>
    </row>
    <row r="410" spans="1:8" x14ac:dyDescent="0.25">
      <c r="A410" t="s">
        <v>99</v>
      </c>
      <c r="B410">
        <v>136350</v>
      </c>
      <c r="C410" s="5">
        <v>3505.81</v>
      </c>
      <c r="D410" s="3">
        <v>44403</v>
      </c>
      <c r="E410" t="str">
        <f>"UW75244"</f>
        <v>UW75244</v>
      </c>
      <c r="F410" t="str">
        <f>"ACCT#68930-000/ANIMAL SHELTER"</f>
        <v>ACCT#68930-000/ANIMAL SHELTER</v>
      </c>
      <c r="G410" s="5">
        <v>551.29</v>
      </c>
      <c r="H410" t="str">
        <f t="shared" ref="H410:H417" si="9">"ACCT#68930-000/ANIMAL SHELTER"</f>
        <v>ACCT#68930-000/ANIMAL SHELTER</v>
      </c>
    </row>
    <row r="411" spans="1:8" x14ac:dyDescent="0.25">
      <c r="E411" t="str">
        <f>"UY16084"</f>
        <v>UY16084</v>
      </c>
      <c r="F411" t="str">
        <f>"ACCT#68930-000/ANIMAL SHELTER"</f>
        <v>ACCT#68930-000/ANIMAL SHELTER</v>
      </c>
      <c r="G411" s="5">
        <v>525</v>
      </c>
      <c r="H411" t="str">
        <f t="shared" si="9"/>
        <v>ACCT#68930-000/ANIMAL SHELTER</v>
      </c>
    </row>
    <row r="412" spans="1:8" x14ac:dyDescent="0.25">
      <c r="E412" t="str">
        <f>"UY25343"</f>
        <v>UY25343</v>
      </c>
      <c r="F412" t="str">
        <f>"ACCT#68930-000/ANIMAL SHELTER"</f>
        <v>ACCT#68930-000/ANIMAL SHELTER</v>
      </c>
      <c r="G412" s="5">
        <v>129.71</v>
      </c>
      <c r="H412" t="str">
        <f t="shared" si="9"/>
        <v>ACCT#68930-000/ANIMAL SHELTER</v>
      </c>
    </row>
    <row r="413" spans="1:8" x14ac:dyDescent="0.25">
      <c r="E413" t="str">
        <f>""</f>
        <v/>
      </c>
      <c r="F413" t="str">
        <f>""</f>
        <v/>
      </c>
      <c r="H413" t="str">
        <f t="shared" si="9"/>
        <v>ACCT#68930-000/ANIMAL SHELTER</v>
      </c>
    </row>
    <row r="414" spans="1:8" x14ac:dyDescent="0.25">
      <c r="E414" t="str">
        <f>"UY43791"</f>
        <v>UY43791</v>
      </c>
      <c r="F414" t="str">
        <f>"ACCT#68930-000/ANIMAL SHELTER"</f>
        <v>ACCT#68930-000/ANIMAL SHELTER</v>
      </c>
      <c r="G414" s="5">
        <v>1550</v>
      </c>
      <c r="H414" t="str">
        <f t="shared" si="9"/>
        <v>ACCT#68930-000/ANIMAL SHELTER</v>
      </c>
    </row>
    <row r="415" spans="1:8" x14ac:dyDescent="0.25">
      <c r="E415" t="str">
        <f>"UY59220"</f>
        <v>UY59220</v>
      </c>
      <c r="F415" t="str">
        <f>"ACCT#68930-000/ANIMAL SHELTER"</f>
        <v>ACCT#68930-000/ANIMAL SHELTER</v>
      </c>
      <c r="G415" s="5">
        <v>6.27</v>
      </c>
      <c r="H415" t="str">
        <f t="shared" si="9"/>
        <v>ACCT#68930-000/ANIMAL SHELTER</v>
      </c>
    </row>
    <row r="416" spans="1:8" x14ac:dyDescent="0.25">
      <c r="E416" t="str">
        <f>"UY60196"</f>
        <v>UY60196</v>
      </c>
      <c r="F416" t="str">
        <f>"ACCT#68930-000/ANIMAL SHELTER"</f>
        <v>ACCT#68930-000/ANIMAL SHELTER</v>
      </c>
      <c r="G416" s="5">
        <v>157.66</v>
      </c>
      <c r="H416" t="str">
        <f t="shared" si="9"/>
        <v>ACCT#68930-000/ANIMAL SHELTER</v>
      </c>
    </row>
    <row r="417" spans="1:8" x14ac:dyDescent="0.25">
      <c r="E417" t="str">
        <f>"UY98928"</f>
        <v>UY98928</v>
      </c>
      <c r="F417" t="str">
        <f>"ACCT#68930-000/ANIMAL SHELTER"</f>
        <v>ACCT#68930-000/ANIMAL SHELTER</v>
      </c>
      <c r="G417" s="5">
        <v>1.5</v>
      </c>
      <c r="H417" t="str">
        <f t="shared" si="9"/>
        <v>ACCT#68930-000/ANIMAL SHELTER</v>
      </c>
    </row>
    <row r="418" spans="1:8" x14ac:dyDescent="0.25">
      <c r="E418" t="str">
        <f>"UY99250"</f>
        <v>UY99250</v>
      </c>
      <c r="F418" t="str">
        <f>"ACCT#0082446/ANIMAL SHELTER"</f>
        <v>ACCT#0082446/ANIMAL SHELTER</v>
      </c>
      <c r="G418" s="5">
        <v>60.24</v>
      </c>
      <c r="H418" t="str">
        <f>"ACCT#0082446/ANIMAL SHELTER"</f>
        <v>ACCT#0082446/ANIMAL SHELTER</v>
      </c>
    </row>
    <row r="419" spans="1:8" x14ac:dyDescent="0.25">
      <c r="E419" t="str">
        <f>"UY99312"</f>
        <v>UY99312</v>
      </c>
      <c r="F419" t="str">
        <f>"ACCT#0082446/ANIMAL SHELTER"</f>
        <v>ACCT#0082446/ANIMAL SHELTER</v>
      </c>
      <c r="G419" s="5">
        <v>98</v>
      </c>
      <c r="H419" t="str">
        <f>"ACCT#0082446/ANIMAL SHELTER"</f>
        <v>ACCT#0082446/ANIMAL SHELTER</v>
      </c>
    </row>
    <row r="420" spans="1:8" x14ac:dyDescent="0.25">
      <c r="E420" t="str">
        <f>"UY99546"</f>
        <v>UY99546</v>
      </c>
      <c r="F420" t="str">
        <f>"ACCT#0082446/ANIMAL SHELTER"</f>
        <v>ACCT#0082446/ANIMAL SHELTER</v>
      </c>
      <c r="G420" s="5">
        <v>426.14</v>
      </c>
      <c r="H420" t="str">
        <f>"ACCT#0082446/ANIMAL SHELTER"</f>
        <v>ACCT#0082446/ANIMAL SHELTER</v>
      </c>
    </row>
    <row r="421" spans="1:8" x14ac:dyDescent="0.25">
      <c r="E421" t="str">
        <f>""</f>
        <v/>
      </c>
      <c r="F421" t="str">
        <f>""</f>
        <v/>
      </c>
      <c r="H421" t="str">
        <f>"ACCT#0082446/ANIMAL SHELTER"</f>
        <v>ACCT#0082446/ANIMAL SHELTER</v>
      </c>
    </row>
    <row r="422" spans="1:8" x14ac:dyDescent="0.25">
      <c r="A422" t="s">
        <v>100</v>
      </c>
      <c r="B422">
        <v>136351</v>
      </c>
      <c r="C422" s="5">
        <v>25</v>
      </c>
      <c r="D422" s="3">
        <v>44403</v>
      </c>
      <c r="E422" t="str">
        <f>"13-163 6-28-21"</f>
        <v>13-163 6-28-21</v>
      </c>
      <c r="F422" t="str">
        <f>"RESTITUTION/MARCUS MANZANA"</f>
        <v>RESTITUTION/MARCUS MANZANA</v>
      </c>
      <c r="G422" s="5">
        <v>25</v>
      </c>
      <c r="H422" t="str">
        <f>"RESTITUTION/MARCUS MANZANA"</f>
        <v>RESTITUTION/MARCUS MANZANA</v>
      </c>
    </row>
    <row r="423" spans="1:8" x14ac:dyDescent="0.25">
      <c r="A423" t="s">
        <v>101</v>
      </c>
      <c r="B423">
        <v>136198</v>
      </c>
      <c r="C423" s="5">
        <v>273.37</v>
      </c>
      <c r="D423" s="3">
        <v>44389</v>
      </c>
      <c r="E423" t="str">
        <f>"105591"</f>
        <v>105591</v>
      </c>
      <c r="F423" t="str">
        <f>"ANIMAL SHELTER/CROSSROADS"</f>
        <v>ANIMAL SHELTER/CROSSROADS</v>
      </c>
      <c r="G423" s="5">
        <v>192.37</v>
      </c>
      <c r="H423" t="str">
        <f>"ANIMAL SHELTER/FARBER INC"</f>
        <v>ANIMAL SHELTER/FARBER INC</v>
      </c>
    </row>
    <row r="424" spans="1:8" x14ac:dyDescent="0.25">
      <c r="E424" t="str">
        <f>"106379"</f>
        <v>106379</v>
      </c>
      <c r="F424" t="str">
        <f>"ANIMAL SHELTER/CROSSROADS"</f>
        <v>ANIMAL SHELTER/CROSSROADS</v>
      </c>
      <c r="G424" s="5">
        <v>81</v>
      </c>
      <c r="H424" t="str">
        <f>"ANIMAL SHELTER/CROSSROADS"</f>
        <v>ANIMAL SHELTER/CROSSROADS</v>
      </c>
    </row>
    <row r="425" spans="1:8" x14ac:dyDescent="0.25">
      <c r="A425" t="s">
        <v>102</v>
      </c>
      <c r="B425">
        <v>136199</v>
      </c>
      <c r="C425" s="5">
        <v>750</v>
      </c>
      <c r="D425" s="3">
        <v>44389</v>
      </c>
      <c r="E425" t="str">
        <f>"202107074434"</f>
        <v>202107074434</v>
      </c>
      <c r="F425" t="str">
        <f>"REIMBURSE/CROWN CASTLE"</f>
        <v>REIMBURSE/CROWN CASTLE</v>
      </c>
      <c r="G425" s="5">
        <v>750</v>
      </c>
      <c r="H425" t="str">
        <f>"REIMBURSE/CROWN CASTLE"</f>
        <v>REIMBURSE/CROWN CASTLE</v>
      </c>
    </row>
    <row r="426" spans="1:8" x14ac:dyDescent="0.25">
      <c r="A426" t="s">
        <v>103</v>
      </c>
      <c r="B426">
        <v>136352</v>
      </c>
      <c r="C426" s="5">
        <v>755.58</v>
      </c>
      <c r="D426" s="3">
        <v>44403</v>
      </c>
      <c r="E426" t="str">
        <f>"B399109"</f>
        <v>B399109</v>
      </c>
      <c r="F426" t="str">
        <f>"Barricade Support"</f>
        <v>Barricade Support</v>
      </c>
      <c r="G426" s="5">
        <v>755.58</v>
      </c>
      <c r="H426" t="str">
        <f>"RSPBAPA200"</f>
        <v>RSPBAPA200</v>
      </c>
    </row>
    <row r="427" spans="1:8" x14ac:dyDescent="0.25">
      <c r="E427" t="str">
        <f>""</f>
        <v/>
      </c>
      <c r="F427" t="str">
        <f>""</f>
        <v/>
      </c>
      <c r="H427" t="str">
        <f>"Q1KFR"</f>
        <v>Q1KFR</v>
      </c>
    </row>
    <row r="428" spans="1:8" x14ac:dyDescent="0.25">
      <c r="A428" t="s">
        <v>104</v>
      </c>
      <c r="B428">
        <v>4825</v>
      </c>
      <c r="C428" s="5">
        <v>2975</v>
      </c>
      <c r="D428" s="3">
        <v>44404</v>
      </c>
      <c r="E428" t="str">
        <f>"202107154548"</f>
        <v>202107154548</v>
      </c>
      <c r="F428" t="str">
        <f>"56-906 56-907"</f>
        <v>56-906 56-907</v>
      </c>
      <c r="G428" s="5">
        <v>375</v>
      </c>
      <c r="H428" t="str">
        <f>"56-906 56-907"</f>
        <v>56-906 56-907</v>
      </c>
    </row>
    <row r="429" spans="1:8" x14ac:dyDescent="0.25">
      <c r="E429" t="str">
        <f>"202107154549"</f>
        <v>202107154549</v>
      </c>
      <c r="F429" t="str">
        <f>"BC 20210322"</f>
        <v>BC 20210322</v>
      </c>
      <c r="G429" s="5">
        <v>250</v>
      </c>
      <c r="H429" t="str">
        <f>"BC 20210322"</f>
        <v>BC 20210322</v>
      </c>
    </row>
    <row r="430" spans="1:8" x14ac:dyDescent="0.25">
      <c r="E430" t="str">
        <f>"202107154550"</f>
        <v>202107154550</v>
      </c>
      <c r="F430" t="str">
        <f>"57-577"</f>
        <v>57-577</v>
      </c>
      <c r="G430" s="5">
        <v>250</v>
      </c>
      <c r="H430" t="str">
        <f>"57-577"</f>
        <v>57-577</v>
      </c>
    </row>
    <row r="431" spans="1:8" x14ac:dyDescent="0.25">
      <c r="E431" t="str">
        <f>"202107194630"</f>
        <v>202107194630</v>
      </c>
      <c r="F431" t="str">
        <f>"16728"</f>
        <v>16728</v>
      </c>
      <c r="G431" s="5">
        <v>500</v>
      </c>
      <c r="H431" t="str">
        <f>"16728"</f>
        <v>16728</v>
      </c>
    </row>
    <row r="432" spans="1:8" x14ac:dyDescent="0.25">
      <c r="E432" t="str">
        <f>"202107194631"</f>
        <v>202107194631</v>
      </c>
      <c r="F432" t="str">
        <f>"3118202B"</f>
        <v>3118202B</v>
      </c>
      <c r="G432" s="5">
        <v>400</v>
      </c>
      <c r="H432" t="str">
        <f>"3118202B"</f>
        <v>3118202B</v>
      </c>
    </row>
    <row r="433" spans="1:8" x14ac:dyDescent="0.25">
      <c r="E433" t="str">
        <f>"202107194632"</f>
        <v>202107194632</v>
      </c>
      <c r="F433" t="str">
        <f>"17-369"</f>
        <v>17-369</v>
      </c>
      <c r="G433" s="5">
        <v>400</v>
      </c>
      <c r="H433" t="str">
        <f>"17-369"</f>
        <v>17-369</v>
      </c>
    </row>
    <row r="434" spans="1:8" x14ac:dyDescent="0.25">
      <c r="E434" t="str">
        <f>"202107194633"</f>
        <v>202107194633</v>
      </c>
      <c r="F434" t="str">
        <f>"101292021A"</f>
        <v>101292021A</v>
      </c>
      <c r="G434" s="5">
        <v>400</v>
      </c>
      <c r="H434" t="str">
        <f>"101292021A"</f>
        <v>101292021A</v>
      </c>
    </row>
    <row r="435" spans="1:8" x14ac:dyDescent="0.25">
      <c r="E435" t="str">
        <f>"202107194634"</f>
        <v>202107194634</v>
      </c>
      <c r="F435" t="str">
        <f>"4110820-13"</f>
        <v>4110820-13</v>
      </c>
      <c r="G435" s="5">
        <v>400</v>
      </c>
      <c r="H435" t="str">
        <f>"4110820-13"</f>
        <v>4110820-13</v>
      </c>
    </row>
    <row r="436" spans="1:8" x14ac:dyDescent="0.25">
      <c r="A436" t="s">
        <v>105</v>
      </c>
      <c r="B436">
        <v>4844</v>
      </c>
      <c r="C436" s="5">
        <v>1783.2</v>
      </c>
      <c r="D436" s="3">
        <v>44404</v>
      </c>
      <c r="E436" t="str">
        <f>"1237418"</f>
        <v>1237418</v>
      </c>
      <c r="F436" t="str">
        <f>"INV 1237418"</f>
        <v>INV 1237418</v>
      </c>
      <c r="G436" s="5">
        <v>903.6</v>
      </c>
      <c r="H436" t="str">
        <f>"INV 1237418"</f>
        <v>INV 1237418</v>
      </c>
    </row>
    <row r="437" spans="1:8" x14ac:dyDescent="0.25">
      <c r="E437" t="str">
        <f>"1239108"</f>
        <v>1239108</v>
      </c>
      <c r="F437" t="str">
        <f>"INV 1239108"</f>
        <v>INV 1239108</v>
      </c>
      <c r="G437" s="5">
        <v>879.6</v>
      </c>
      <c r="H437" t="str">
        <f>"INV 1239108"</f>
        <v>INV 1239108</v>
      </c>
    </row>
    <row r="438" spans="1:8" x14ac:dyDescent="0.25">
      <c r="A438" t="s">
        <v>106</v>
      </c>
      <c r="B438">
        <v>4827</v>
      </c>
      <c r="C438" s="5">
        <v>100</v>
      </c>
      <c r="D438" s="3">
        <v>44404</v>
      </c>
      <c r="E438" t="str">
        <f>"202107144539"</f>
        <v>202107144539</v>
      </c>
      <c r="F438" t="str">
        <f>"JUNE 2021"</f>
        <v>JUNE 2021</v>
      </c>
      <c r="G438" s="5">
        <v>100</v>
      </c>
      <c r="H438" t="str">
        <f>"JUNE 2021"</f>
        <v>JUNE 2021</v>
      </c>
    </row>
    <row r="439" spans="1:8" x14ac:dyDescent="0.25">
      <c r="A439" t="s">
        <v>107</v>
      </c>
      <c r="B439">
        <v>136353</v>
      </c>
      <c r="C439" s="5">
        <v>1006.03</v>
      </c>
      <c r="D439" s="3">
        <v>44403</v>
      </c>
      <c r="E439" t="str">
        <f>"202107204695"</f>
        <v>202107204695</v>
      </c>
      <c r="F439" t="str">
        <f>"INDIGENT HEALTH"</f>
        <v>INDIGENT HEALTH</v>
      </c>
      <c r="G439" s="5">
        <v>1006.03</v>
      </c>
      <c r="H439" t="str">
        <f>"INDIGENT HEALTH"</f>
        <v>INDIGENT HEALTH</v>
      </c>
    </row>
    <row r="440" spans="1:8" x14ac:dyDescent="0.25">
      <c r="A440" t="s">
        <v>108</v>
      </c>
      <c r="B440">
        <v>4717</v>
      </c>
      <c r="C440" s="5">
        <v>1172.5</v>
      </c>
      <c r="D440" s="3">
        <v>44390</v>
      </c>
      <c r="E440" t="str">
        <f>"202107074390"</f>
        <v>202107074390</v>
      </c>
      <c r="F440" t="str">
        <f>"21-20594"</f>
        <v>21-20594</v>
      </c>
      <c r="G440" s="5">
        <v>120</v>
      </c>
      <c r="H440" t="str">
        <f>"21-20594"</f>
        <v>21-20594</v>
      </c>
    </row>
    <row r="441" spans="1:8" x14ac:dyDescent="0.25">
      <c r="E441" t="str">
        <f>"202107074391"</f>
        <v>202107074391</v>
      </c>
      <c r="F441" t="str">
        <f>"21-20562"</f>
        <v>21-20562</v>
      </c>
      <c r="G441" s="5">
        <v>225</v>
      </c>
      <c r="H441" t="str">
        <f>"21-20562"</f>
        <v>21-20562</v>
      </c>
    </row>
    <row r="442" spans="1:8" x14ac:dyDescent="0.25">
      <c r="E442" t="str">
        <f>"202107074392"</f>
        <v>202107074392</v>
      </c>
      <c r="F442" t="str">
        <f>"20-20426"</f>
        <v>20-20426</v>
      </c>
      <c r="G442" s="5">
        <v>67.5</v>
      </c>
      <c r="H442" t="str">
        <f>"20-20426"</f>
        <v>20-20426</v>
      </c>
    </row>
    <row r="443" spans="1:8" x14ac:dyDescent="0.25">
      <c r="E443" t="str">
        <f>"202107074393"</f>
        <v>202107074393</v>
      </c>
      <c r="F443" t="str">
        <f>"20-20394"</f>
        <v>20-20394</v>
      </c>
      <c r="G443" s="5">
        <v>315</v>
      </c>
      <c r="H443" t="str">
        <f>"20-20394"</f>
        <v>20-20394</v>
      </c>
    </row>
    <row r="444" spans="1:8" x14ac:dyDescent="0.25">
      <c r="E444" t="str">
        <f>"202107074394"</f>
        <v>202107074394</v>
      </c>
      <c r="F444" t="str">
        <f>"20-20056"</f>
        <v>20-20056</v>
      </c>
      <c r="G444" s="5">
        <v>212.5</v>
      </c>
      <c r="H444" t="str">
        <f>"20-20056"</f>
        <v>20-20056</v>
      </c>
    </row>
    <row r="445" spans="1:8" x14ac:dyDescent="0.25">
      <c r="E445" t="str">
        <f>"202107074395"</f>
        <v>202107074395</v>
      </c>
      <c r="F445" t="str">
        <f>"20-20030"</f>
        <v>20-20030</v>
      </c>
      <c r="G445" s="5">
        <v>157.5</v>
      </c>
      <c r="H445" t="str">
        <f>"20-20030"</f>
        <v>20-20030</v>
      </c>
    </row>
    <row r="446" spans="1:8" x14ac:dyDescent="0.25">
      <c r="E446" t="str">
        <f>"202107074396"</f>
        <v>202107074396</v>
      </c>
      <c r="F446" t="str">
        <f>"19-19931"</f>
        <v>19-19931</v>
      </c>
      <c r="G446" s="5">
        <v>75</v>
      </c>
      <c r="H446" t="str">
        <f>"19-19931"</f>
        <v>19-19931</v>
      </c>
    </row>
    <row r="447" spans="1:8" x14ac:dyDescent="0.25">
      <c r="A447" t="s">
        <v>109</v>
      </c>
      <c r="B447">
        <v>136200</v>
      </c>
      <c r="C447" s="5">
        <v>1436.99</v>
      </c>
      <c r="D447" s="3">
        <v>44389</v>
      </c>
      <c r="E447" t="str">
        <f>"16246"</f>
        <v>16246</v>
      </c>
      <c r="F447" t="str">
        <f>"ACCT#3BASTROPCNTY"</f>
        <v>ACCT#3BASTROPCNTY</v>
      </c>
      <c r="G447" s="5">
        <v>1362.09</v>
      </c>
      <c r="H447" t="str">
        <f>"ACCT#3BASTROPCNTY"</f>
        <v>ACCT#3BASTROPCNTY</v>
      </c>
    </row>
    <row r="448" spans="1:8" x14ac:dyDescent="0.25">
      <c r="E448" t="str">
        <f>"16267"</f>
        <v>16267</v>
      </c>
      <c r="F448" t="str">
        <f>"ACCT#3BASTROPCNTY"</f>
        <v>ACCT#3BASTROPCNTY</v>
      </c>
      <c r="G448" s="5">
        <v>74.900000000000006</v>
      </c>
      <c r="H448" t="str">
        <f>"ACCT#3BASTROPCNTY"</f>
        <v>ACCT#3BASTROPCNTY</v>
      </c>
    </row>
    <row r="449" spans="1:8" x14ac:dyDescent="0.25">
      <c r="A449" t="s">
        <v>110</v>
      </c>
      <c r="B449">
        <v>136201</v>
      </c>
      <c r="C449" s="5">
        <v>1209.98</v>
      </c>
      <c r="D449" s="3">
        <v>44389</v>
      </c>
      <c r="E449" t="str">
        <f>"2236400"</f>
        <v>2236400</v>
      </c>
      <c r="F449" t="str">
        <f>"INV 2236400"</f>
        <v>INV 2236400</v>
      </c>
      <c r="G449" s="5">
        <v>1209.98</v>
      </c>
      <c r="H449" t="str">
        <f>"INV 2236400"</f>
        <v>INV 2236400</v>
      </c>
    </row>
    <row r="450" spans="1:8" x14ac:dyDescent="0.25">
      <c r="E450" t="str">
        <f>""</f>
        <v/>
      </c>
      <c r="F450" t="str">
        <f>""</f>
        <v/>
      </c>
      <c r="H450" t="str">
        <f>"INV 40216297"</f>
        <v>INV 40216297</v>
      </c>
    </row>
    <row r="451" spans="1:8" x14ac:dyDescent="0.25">
      <c r="A451" t="s">
        <v>110</v>
      </c>
      <c r="B451">
        <v>136354</v>
      </c>
      <c r="C451" s="5">
        <v>1114.1300000000001</v>
      </c>
      <c r="D451" s="3">
        <v>44403</v>
      </c>
      <c r="E451" t="str">
        <f>"2245347"</f>
        <v>2245347</v>
      </c>
      <c r="F451" t="str">
        <f>"INV 2245347"</f>
        <v>INV 2245347</v>
      </c>
      <c r="G451" s="5">
        <v>1114.1300000000001</v>
      </c>
      <c r="H451" t="str">
        <f>"INV 2245347"</f>
        <v>INV 2245347</v>
      </c>
    </row>
    <row r="452" spans="1:8" x14ac:dyDescent="0.25">
      <c r="E452" t="str">
        <f>""</f>
        <v/>
      </c>
      <c r="F452" t="str">
        <f>""</f>
        <v/>
      </c>
      <c r="H452" t="str">
        <f>"INV 2249744"</f>
        <v>INV 2249744</v>
      </c>
    </row>
    <row r="453" spans="1:8" x14ac:dyDescent="0.25">
      <c r="A453" t="s">
        <v>111</v>
      </c>
      <c r="B453">
        <v>136202</v>
      </c>
      <c r="C453" s="5">
        <v>1009.8</v>
      </c>
      <c r="D453" s="3">
        <v>44389</v>
      </c>
      <c r="E453" t="str">
        <f>"24214"</f>
        <v>24214</v>
      </c>
      <c r="F453" t="str">
        <f>"Laptop Batteries &amp; parts"</f>
        <v>Laptop Batteries &amp; parts</v>
      </c>
      <c r="G453" s="5">
        <v>482.91</v>
      </c>
      <c r="H453" t="str">
        <f>"Battery"</f>
        <v>Battery</v>
      </c>
    </row>
    <row r="454" spans="1:8" x14ac:dyDescent="0.25">
      <c r="E454" t="str">
        <f>""</f>
        <v/>
      </c>
      <c r="F454" t="str">
        <f>""</f>
        <v/>
      </c>
      <c r="H454" t="str">
        <f>"Adapter"</f>
        <v>Adapter</v>
      </c>
    </row>
    <row r="455" spans="1:8" x14ac:dyDescent="0.25">
      <c r="E455" t="str">
        <f>""</f>
        <v/>
      </c>
      <c r="F455" t="str">
        <f>""</f>
        <v/>
      </c>
      <c r="H455" t="str">
        <f>"DGPM"</f>
        <v>DGPM</v>
      </c>
    </row>
    <row r="456" spans="1:8" x14ac:dyDescent="0.25">
      <c r="E456" t="str">
        <f>"24805"</f>
        <v>24805</v>
      </c>
      <c r="F456" t="str">
        <f>"Part for Bryan Goertz"</f>
        <v>Part for Bryan Goertz</v>
      </c>
      <c r="G456" s="5">
        <v>174.99</v>
      </c>
      <c r="H456" t="str">
        <f>"MDM WRLES DW5820 KIT"</f>
        <v>MDM WRLES DW5820 KIT</v>
      </c>
    </row>
    <row r="457" spans="1:8" x14ac:dyDescent="0.25">
      <c r="E457" t="str">
        <f>"25024"</f>
        <v>25024</v>
      </c>
      <c r="F457" t="str">
        <f>"DELL"</f>
        <v>DELL</v>
      </c>
      <c r="G457" s="5">
        <v>351.9</v>
      </c>
      <c r="H457" t="str">
        <f>"SSD"</f>
        <v>SSD</v>
      </c>
    </row>
    <row r="458" spans="1:8" x14ac:dyDescent="0.25">
      <c r="E458" t="str">
        <f>""</f>
        <v/>
      </c>
      <c r="F458" t="str">
        <f>""</f>
        <v/>
      </c>
      <c r="H458" t="str">
        <f>"Premier Discount"</f>
        <v>Premier Discount</v>
      </c>
    </row>
    <row r="459" spans="1:8" x14ac:dyDescent="0.25">
      <c r="A459" t="s">
        <v>111</v>
      </c>
      <c r="B459">
        <v>136355</v>
      </c>
      <c r="C459" s="5">
        <v>633.29999999999995</v>
      </c>
      <c r="D459" s="3">
        <v>44403</v>
      </c>
      <c r="E459" t="str">
        <f>"24659"</f>
        <v>24659</v>
      </c>
      <c r="F459" t="str">
        <f>"Docking Stations IT"</f>
        <v>Docking Stations IT</v>
      </c>
      <c r="G459" s="5">
        <v>633.29999999999995</v>
      </c>
      <c r="H459" t="str">
        <f>"Docking Stations"</f>
        <v>Docking Stations</v>
      </c>
    </row>
    <row r="460" spans="1:8" x14ac:dyDescent="0.25">
      <c r="E460" t="str">
        <f>""</f>
        <v/>
      </c>
      <c r="F460" t="str">
        <f>""</f>
        <v/>
      </c>
      <c r="H460" t="str">
        <f>"Premier Discount"</f>
        <v>Premier Discount</v>
      </c>
    </row>
    <row r="461" spans="1:8" x14ac:dyDescent="0.25">
      <c r="A461" t="s">
        <v>112</v>
      </c>
      <c r="B461">
        <v>136203</v>
      </c>
      <c r="C461" s="5">
        <v>675</v>
      </c>
      <c r="D461" s="3">
        <v>44389</v>
      </c>
      <c r="E461" t="str">
        <f>"617"</f>
        <v>617</v>
      </c>
      <c r="F461" t="str">
        <f>"INV 617"</f>
        <v>INV 617</v>
      </c>
      <c r="G461" s="5">
        <v>675</v>
      </c>
      <c r="H461" t="str">
        <f>"INV 617"</f>
        <v>INV 617</v>
      </c>
    </row>
    <row r="462" spans="1:8" x14ac:dyDescent="0.25">
      <c r="A462" t="s">
        <v>113</v>
      </c>
      <c r="B462">
        <v>4745</v>
      </c>
      <c r="C462" s="5">
        <v>2922.5</v>
      </c>
      <c r="D462" s="3">
        <v>44390</v>
      </c>
      <c r="E462" t="str">
        <f>"BATX017387"</f>
        <v>BATX017387</v>
      </c>
      <c r="F462" t="str">
        <f>"INV BATX017387"</f>
        <v>INV BATX017387</v>
      </c>
      <c r="G462" s="5">
        <v>2922.5</v>
      </c>
      <c r="H462" t="str">
        <f>"INV BATX017387"</f>
        <v>INV BATX017387</v>
      </c>
    </row>
    <row r="463" spans="1:8" x14ac:dyDescent="0.25">
      <c r="A463" t="s">
        <v>114</v>
      </c>
      <c r="B463">
        <v>136204</v>
      </c>
      <c r="C463" s="5">
        <v>285</v>
      </c>
      <c r="D463" s="3">
        <v>44389</v>
      </c>
      <c r="E463" t="str">
        <f>"202107014225"</f>
        <v>202107014225</v>
      </c>
      <c r="F463" t="str">
        <f>"INTERPRETATION SVCS"</f>
        <v>INTERPRETATION SVCS</v>
      </c>
      <c r="G463" s="5">
        <v>285</v>
      </c>
      <c r="H463" t="str">
        <f>"INTERPRETATION SVCS"</f>
        <v>INTERPRETATION SVCS</v>
      </c>
    </row>
    <row r="464" spans="1:8" x14ac:dyDescent="0.25">
      <c r="A464" t="s">
        <v>115</v>
      </c>
      <c r="B464">
        <v>136356</v>
      </c>
      <c r="C464" s="5">
        <v>20059.82</v>
      </c>
      <c r="D464" s="3">
        <v>44403</v>
      </c>
      <c r="E464" t="str">
        <f>"21061107N"</f>
        <v>21061107N</v>
      </c>
      <c r="F464" t="str">
        <f>"CUST#PKE5000"</f>
        <v>CUST#PKE5000</v>
      </c>
      <c r="G464" s="5">
        <v>20059.82</v>
      </c>
      <c r="H464" t="str">
        <f>"CUST#PKE5000"</f>
        <v>CUST#PKE5000</v>
      </c>
    </row>
    <row r="465" spans="1:8" x14ac:dyDescent="0.25">
      <c r="E465" t="str">
        <f>""</f>
        <v/>
      </c>
      <c r="F465" t="str">
        <f>""</f>
        <v/>
      </c>
      <c r="H465" t="str">
        <f>"CUST#PKE5000"</f>
        <v>CUST#PKE5000</v>
      </c>
    </row>
    <row r="466" spans="1:8" x14ac:dyDescent="0.25">
      <c r="A466" t="s">
        <v>116</v>
      </c>
      <c r="B466">
        <v>136357</v>
      </c>
      <c r="C466" s="5">
        <v>2370.9499999999998</v>
      </c>
      <c r="D466" s="3">
        <v>44403</v>
      </c>
      <c r="E466" t="str">
        <f>"28090"</f>
        <v>28090</v>
      </c>
      <c r="F466" t="str">
        <f t="shared" ref="F466:F471" si="10">"BARN DAMAGE/PCT#3"</f>
        <v>BARN DAMAGE/PCT#3</v>
      </c>
      <c r="G466" s="5">
        <v>327</v>
      </c>
      <c r="H466" t="str">
        <f t="shared" ref="H466:H471" si="11">"BARN DAMAGE/PCT#3"</f>
        <v>BARN DAMAGE/PCT#3</v>
      </c>
    </row>
    <row r="467" spans="1:8" x14ac:dyDescent="0.25">
      <c r="E467" t="str">
        <f>"31132"</f>
        <v>31132</v>
      </c>
      <c r="F467" t="str">
        <f t="shared" si="10"/>
        <v>BARN DAMAGE/PCT#3</v>
      </c>
      <c r="G467" s="5">
        <v>1017</v>
      </c>
      <c r="H467" t="str">
        <f t="shared" si="11"/>
        <v>BARN DAMAGE/PCT#3</v>
      </c>
    </row>
    <row r="468" spans="1:8" x14ac:dyDescent="0.25">
      <c r="E468" t="str">
        <f>"31330"</f>
        <v>31330</v>
      </c>
      <c r="F468" t="str">
        <f t="shared" si="10"/>
        <v>BARN DAMAGE/PCT#3</v>
      </c>
      <c r="G468" s="5">
        <v>172.45</v>
      </c>
      <c r="H468" t="str">
        <f t="shared" si="11"/>
        <v>BARN DAMAGE/PCT#3</v>
      </c>
    </row>
    <row r="469" spans="1:8" x14ac:dyDescent="0.25">
      <c r="E469" t="str">
        <f>"31521"</f>
        <v>31521</v>
      </c>
      <c r="F469" t="str">
        <f t="shared" si="10"/>
        <v>BARN DAMAGE/PCT#3</v>
      </c>
      <c r="G469" s="5">
        <v>733.1</v>
      </c>
      <c r="H469" t="str">
        <f t="shared" si="11"/>
        <v>BARN DAMAGE/PCT#3</v>
      </c>
    </row>
    <row r="470" spans="1:8" x14ac:dyDescent="0.25">
      <c r="E470" t="str">
        <f>"31522"</f>
        <v>31522</v>
      </c>
      <c r="F470" t="str">
        <f t="shared" si="10"/>
        <v>BARN DAMAGE/PCT#3</v>
      </c>
      <c r="G470" s="5">
        <v>103.9</v>
      </c>
      <c r="H470" t="str">
        <f t="shared" si="11"/>
        <v>BARN DAMAGE/PCT#3</v>
      </c>
    </row>
    <row r="471" spans="1:8" x14ac:dyDescent="0.25">
      <c r="E471" t="str">
        <f>"31610"</f>
        <v>31610</v>
      </c>
      <c r="F471" t="str">
        <f t="shared" si="10"/>
        <v>BARN DAMAGE/PCT#3</v>
      </c>
      <c r="G471" s="5">
        <v>17.5</v>
      </c>
      <c r="H471" t="str">
        <f t="shared" si="11"/>
        <v>BARN DAMAGE/PCT#3</v>
      </c>
    </row>
    <row r="472" spans="1:8" x14ac:dyDescent="0.25">
      <c r="A472" t="s">
        <v>117</v>
      </c>
      <c r="B472">
        <v>136205</v>
      </c>
      <c r="C472" s="5">
        <v>689.25</v>
      </c>
      <c r="D472" s="3">
        <v>44389</v>
      </c>
      <c r="E472" t="str">
        <f>"2916551"</f>
        <v>2916551</v>
      </c>
      <c r="F472" t="str">
        <f>"ACCT#27917/DEVLPMNT SVCS"</f>
        <v>ACCT#27917/DEVLPMNT SVCS</v>
      </c>
      <c r="G472" s="5">
        <v>689.25</v>
      </c>
      <c r="H472" t="str">
        <f>"ACCT#27917/DEVLPMNT SVCS"</f>
        <v>ACCT#27917/DEVLPMNT SVCS</v>
      </c>
    </row>
    <row r="473" spans="1:8" x14ac:dyDescent="0.25">
      <c r="A473" t="s">
        <v>117</v>
      </c>
      <c r="B473">
        <v>136358</v>
      </c>
      <c r="C473" s="5">
        <v>76.75</v>
      </c>
      <c r="D473" s="3">
        <v>44403</v>
      </c>
      <c r="E473" t="str">
        <f>"202107214727"</f>
        <v>202107214727</v>
      </c>
      <c r="F473" t="str">
        <f>"ACCT#27917/PCT#1"</f>
        <v>ACCT#27917/PCT#1</v>
      </c>
      <c r="G473" s="5">
        <v>76.75</v>
      </c>
      <c r="H473" t="str">
        <f>"ACCT#27917/PCT#1"</f>
        <v>ACCT#27917/PCT#1</v>
      </c>
    </row>
    <row r="474" spans="1:8" x14ac:dyDescent="0.25">
      <c r="A474" t="s">
        <v>118</v>
      </c>
      <c r="B474">
        <v>136305</v>
      </c>
      <c r="C474" s="5">
        <v>375</v>
      </c>
      <c r="D474" s="3">
        <v>44391</v>
      </c>
      <c r="E474" t="str">
        <f>"202107144538"</f>
        <v>202107144538</v>
      </c>
      <c r="F474" t="str">
        <f>"TCAAA CONF 2021-ASHLEY RADDE"</f>
        <v>TCAAA CONF 2021-ASHLEY RADDE</v>
      </c>
      <c r="G474" s="5">
        <v>375</v>
      </c>
      <c r="H474" t="str">
        <f>"TCAAA CONF 2021-ASHLEY RADDE"</f>
        <v>TCAAA CONF 2021-ASHLEY RADDE</v>
      </c>
    </row>
    <row r="475" spans="1:8" x14ac:dyDescent="0.25">
      <c r="A475" t="s">
        <v>119</v>
      </c>
      <c r="B475">
        <v>136310</v>
      </c>
      <c r="C475" s="5">
        <v>749.4</v>
      </c>
      <c r="D475" s="3">
        <v>44399</v>
      </c>
      <c r="E475" t="str">
        <f>"202107214744"</f>
        <v>202107214744</v>
      </c>
      <c r="F475" t="str">
        <f>"ACCT#405900029213 / 0801-0831"</f>
        <v>ACCT#405900029213 / 0801-0831</v>
      </c>
      <c r="G475" s="5">
        <v>374.7</v>
      </c>
      <c r="H475" t="str">
        <f>"DONNIE STARK"</f>
        <v>DONNIE STARK</v>
      </c>
    </row>
    <row r="476" spans="1:8" x14ac:dyDescent="0.25">
      <c r="E476" t="str">
        <f>"202107214745"</f>
        <v>202107214745</v>
      </c>
      <c r="F476" t="str">
        <f>"ACCT#405900029225 / 0801-0831"</f>
        <v>ACCT#405900029225 / 0801-0831</v>
      </c>
      <c r="G476" s="5">
        <v>187.35</v>
      </c>
      <c r="H476" t="str">
        <f>"ACCT#405900029225 / 0801-0831"</f>
        <v>ACCT#405900029225 / 0801-0831</v>
      </c>
    </row>
    <row r="477" spans="1:8" x14ac:dyDescent="0.25">
      <c r="E477" t="str">
        <f>"202107214746"</f>
        <v>202107214746</v>
      </c>
      <c r="F477" t="str">
        <f>"ACCT#405900028789 / 0801-0831"</f>
        <v>ACCT#405900028789 / 0801-0831</v>
      </c>
      <c r="G477" s="5">
        <v>187.35</v>
      </c>
      <c r="H477" t="str">
        <f>"DONNIE STARK"</f>
        <v>DONNIE STARK</v>
      </c>
    </row>
    <row r="478" spans="1:8" x14ac:dyDescent="0.25">
      <c r="A478" t="s">
        <v>120</v>
      </c>
      <c r="B478">
        <v>136206</v>
      </c>
      <c r="C478" s="5">
        <v>408.5</v>
      </c>
      <c r="D478" s="3">
        <v>44389</v>
      </c>
      <c r="E478" t="str">
        <f>"SMINV280236"</f>
        <v>SMINV280236</v>
      </c>
      <c r="F478" t="str">
        <f>"BILL ID#DCS004779/OEM"</f>
        <v>BILL ID#DCS004779/OEM</v>
      </c>
      <c r="G478" s="5">
        <v>408.5</v>
      </c>
      <c r="H478" t="str">
        <f>"BILL ID#DCS004779/OEM"</f>
        <v>BILL ID#DCS004779/OEM</v>
      </c>
    </row>
    <row r="479" spans="1:8" x14ac:dyDescent="0.25">
      <c r="A479" t="s">
        <v>121</v>
      </c>
      <c r="B479">
        <v>136359</v>
      </c>
      <c r="C479" s="5">
        <v>25</v>
      </c>
      <c r="D479" s="3">
        <v>44403</v>
      </c>
      <c r="E479" t="str">
        <f>"13-163 6-28-21"</f>
        <v>13-163 6-28-21</v>
      </c>
      <c r="F479" t="str">
        <f>"RESTITUTION/MARCUS MANZANA"</f>
        <v>RESTITUTION/MARCUS MANZANA</v>
      </c>
      <c r="G479" s="5">
        <v>25</v>
      </c>
      <c r="H479" t="str">
        <f>"RESTITUTION/MARCUS MANZANA"</f>
        <v>RESTITUTION/MARCUS MANZANA</v>
      </c>
    </row>
    <row r="480" spans="1:8" x14ac:dyDescent="0.25">
      <c r="A480" t="s">
        <v>122</v>
      </c>
      <c r="B480">
        <v>4816</v>
      </c>
      <c r="C480" s="5">
        <v>2806.41</v>
      </c>
      <c r="D480" s="3">
        <v>44404</v>
      </c>
      <c r="E480" t="str">
        <f>"29994B"</f>
        <v>29994B</v>
      </c>
      <c r="F480" t="str">
        <f>"INV 29994B"</f>
        <v>INV 29994B</v>
      </c>
      <c r="G480" s="5">
        <v>2806.41</v>
      </c>
      <c r="H480" t="str">
        <f>"INV 29994B"</f>
        <v>INV 29994B</v>
      </c>
    </row>
    <row r="481" spans="1:8" x14ac:dyDescent="0.25">
      <c r="A481" t="s">
        <v>123</v>
      </c>
      <c r="B481">
        <v>4769</v>
      </c>
      <c r="C481" s="5">
        <v>3625</v>
      </c>
      <c r="D481" s="3">
        <v>44390</v>
      </c>
      <c r="E481" t="str">
        <f>"202106294179"</f>
        <v>202106294179</v>
      </c>
      <c r="F481" t="str">
        <f>"17039"</f>
        <v>17039</v>
      </c>
      <c r="G481" s="5">
        <v>1650</v>
      </c>
      <c r="H481" t="str">
        <f>"17039"</f>
        <v>17039</v>
      </c>
    </row>
    <row r="482" spans="1:8" x14ac:dyDescent="0.25">
      <c r="E482" t="str">
        <f>"202106294183"</f>
        <v>202106294183</v>
      </c>
      <c r="F482" t="str">
        <f>"423-7082"</f>
        <v>423-7082</v>
      </c>
      <c r="G482" s="5">
        <v>525</v>
      </c>
      <c r="H482" t="str">
        <f>"423-7082"</f>
        <v>423-7082</v>
      </c>
    </row>
    <row r="483" spans="1:8" x14ac:dyDescent="0.25">
      <c r="E483" t="str">
        <f>"202106294184"</f>
        <v>202106294184</v>
      </c>
      <c r="F483" t="str">
        <f>"20-20258"</f>
        <v>20-20258</v>
      </c>
      <c r="G483" s="5">
        <v>512.5</v>
      </c>
      <c r="H483" t="str">
        <f>"20-20258"</f>
        <v>20-20258</v>
      </c>
    </row>
    <row r="484" spans="1:8" x14ac:dyDescent="0.25">
      <c r="E484" t="str">
        <f>"202106294185"</f>
        <v>202106294185</v>
      </c>
      <c r="F484" t="str">
        <f>"20-20509"</f>
        <v>20-20509</v>
      </c>
      <c r="G484" s="5">
        <v>287.5</v>
      </c>
      <c r="H484" t="str">
        <f>"20-20509"</f>
        <v>20-20509</v>
      </c>
    </row>
    <row r="485" spans="1:8" x14ac:dyDescent="0.25">
      <c r="E485" t="str">
        <f>"202106294192"</f>
        <v>202106294192</v>
      </c>
      <c r="F485" t="str">
        <f>"57883"</f>
        <v>57883</v>
      </c>
      <c r="G485" s="5">
        <v>150</v>
      </c>
      <c r="H485" t="str">
        <f>"57883"</f>
        <v>57883</v>
      </c>
    </row>
    <row r="486" spans="1:8" x14ac:dyDescent="0.25">
      <c r="E486" t="str">
        <f>"202107064277"</f>
        <v>202107064277</v>
      </c>
      <c r="F486" t="str">
        <f>"20-20060"</f>
        <v>20-20060</v>
      </c>
      <c r="G486" s="5">
        <v>250</v>
      </c>
      <c r="H486" t="str">
        <f>"20-20060"</f>
        <v>20-20060</v>
      </c>
    </row>
    <row r="487" spans="1:8" x14ac:dyDescent="0.25">
      <c r="E487" t="str">
        <f>"202107064339"</f>
        <v>202107064339</v>
      </c>
      <c r="F487" t="str">
        <f>"20-20403"</f>
        <v>20-20403</v>
      </c>
      <c r="G487" s="5">
        <v>250</v>
      </c>
      <c r="H487" t="str">
        <f>"20-20403"</f>
        <v>20-20403</v>
      </c>
    </row>
    <row r="488" spans="1:8" x14ac:dyDescent="0.25">
      <c r="A488" t="s">
        <v>123</v>
      </c>
      <c r="B488">
        <v>4854</v>
      </c>
      <c r="C488" s="5">
        <v>4512.5</v>
      </c>
      <c r="D488" s="3">
        <v>44404</v>
      </c>
      <c r="E488" t="str">
        <f>"202107134529"</f>
        <v>202107134529</v>
      </c>
      <c r="F488" t="str">
        <f>"02-0304-2"</f>
        <v>02-0304-2</v>
      </c>
      <c r="G488" s="5">
        <v>400</v>
      </c>
      <c r="H488" t="str">
        <f>"02-0304-2"</f>
        <v>02-0304-2</v>
      </c>
    </row>
    <row r="489" spans="1:8" x14ac:dyDescent="0.25">
      <c r="E489" t="str">
        <f>"202107154553"</f>
        <v>202107154553</v>
      </c>
      <c r="F489" t="str">
        <f>"20-20509"</f>
        <v>20-20509</v>
      </c>
      <c r="G489" s="5">
        <v>187.5</v>
      </c>
      <c r="H489" t="str">
        <f>"20-20509"</f>
        <v>20-20509</v>
      </c>
    </row>
    <row r="490" spans="1:8" x14ac:dyDescent="0.25">
      <c r="E490" t="str">
        <f>"202107154554"</f>
        <v>202107154554</v>
      </c>
      <c r="F490" t="str">
        <f>"20-20403"</f>
        <v>20-20403</v>
      </c>
      <c r="G490" s="5">
        <v>375</v>
      </c>
      <c r="H490" t="str">
        <f>"20-20403"</f>
        <v>20-20403</v>
      </c>
    </row>
    <row r="491" spans="1:8" x14ac:dyDescent="0.25">
      <c r="E491" t="str">
        <f>"202107154567"</f>
        <v>202107154567</v>
      </c>
      <c r="F491" t="str">
        <f>"1847-335"</f>
        <v>1847-335</v>
      </c>
      <c r="G491" s="5">
        <v>100</v>
      </c>
      <c r="H491" t="str">
        <f>"1847-335"</f>
        <v>1847-335</v>
      </c>
    </row>
    <row r="492" spans="1:8" x14ac:dyDescent="0.25">
      <c r="E492" t="str">
        <f>"202107154568"</f>
        <v>202107154568</v>
      </c>
      <c r="F492" t="str">
        <f>"DCPC-21-049"</f>
        <v>DCPC-21-049</v>
      </c>
      <c r="G492" s="5">
        <v>100</v>
      </c>
      <c r="H492" t="str">
        <f>"DCPC-21-049"</f>
        <v>DCPC-21-049</v>
      </c>
    </row>
    <row r="493" spans="1:8" x14ac:dyDescent="0.25">
      <c r="E493" t="str">
        <f>"202107154569"</f>
        <v>202107154569</v>
      </c>
      <c r="F493" t="str">
        <f>"423-7947 1843-21"</f>
        <v>423-7947 1843-21</v>
      </c>
      <c r="G493" s="5">
        <v>200</v>
      </c>
      <c r="H493" t="str">
        <f>"423-7947 1843-21"</f>
        <v>423-7947 1843-21</v>
      </c>
    </row>
    <row r="494" spans="1:8" x14ac:dyDescent="0.25">
      <c r="E494" t="str">
        <f>"202107154570"</f>
        <v>202107154570</v>
      </c>
      <c r="F494" t="str">
        <f>"16984"</f>
        <v>16984</v>
      </c>
      <c r="G494" s="5">
        <v>600</v>
      </c>
      <c r="H494" t="str">
        <f>"16984"</f>
        <v>16984</v>
      </c>
    </row>
    <row r="495" spans="1:8" x14ac:dyDescent="0.25">
      <c r="E495" t="str">
        <f>"202107194629"</f>
        <v>202107194629</v>
      </c>
      <c r="F495" t="str">
        <f>"JP105192021A"</f>
        <v>JP105192021A</v>
      </c>
      <c r="G495" s="5">
        <v>250</v>
      </c>
      <c r="H495" t="str">
        <f>"JP105192021A"</f>
        <v>JP105192021A</v>
      </c>
    </row>
    <row r="496" spans="1:8" x14ac:dyDescent="0.25">
      <c r="E496" t="str">
        <f>"202107194636"</f>
        <v>202107194636</v>
      </c>
      <c r="F496" t="str">
        <f>"17184"</f>
        <v>17184</v>
      </c>
      <c r="G496" s="5">
        <v>400</v>
      </c>
      <c r="H496" t="str">
        <f>"17184"</f>
        <v>17184</v>
      </c>
    </row>
    <row r="497" spans="1:8" x14ac:dyDescent="0.25">
      <c r="E497" t="str">
        <f>"202107194637"</f>
        <v>202107194637</v>
      </c>
      <c r="F497" t="str">
        <f>"17420"</f>
        <v>17420</v>
      </c>
      <c r="G497" s="5">
        <v>1000</v>
      </c>
      <c r="H497" t="str">
        <f>"17420"</f>
        <v>17420</v>
      </c>
    </row>
    <row r="498" spans="1:8" x14ac:dyDescent="0.25">
      <c r="E498" t="str">
        <f>"202107204652"</f>
        <v>202107204652</v>
      </c>
      <c r="F498" t="str">
        <f>"JP 105192021A"</f>
        <v>JP 105192021A</v>
      </c>
      <c r="G498" s="5">
        <v>250</v>
      </c>
      <c r="H498" t="str">
        <f>"JP 105192021A"</f>
        <v>JP 105192021A</v>
      </c>
    </row>
    <row r="499" spans="1:8" x14ac:dyDescent="0.25">
      <c r="E499" t="str">
        <f>"202107204653"</f>
        <v>202107204653</v>
      </c>
      <c r="F499" t="str">
        <f>"21-20789/21-20790/21-20791"</f>
        <v>21-20789/21-20790/21-20791</v>
      </c>
      <c r="G499" s="5">
        <v>300</v>
      </c>
      <c r="H499" t="str">
        <f>"21-20789/21-20790/21-20791"</f>
        <v>21-20789/21-20790/21-20791</v>
      </c>
    </row>
    <row r="500" spans="1:8" x14ac:dyDescent="0.25">
      <c r="E500" t="str">
        <f>"202107204654"</f>
        <v>202107204654</v>
      </c>
      <c r="F500" t="str">
        <f>"21-20792"</f>
        <v>21-20792</v>
      </c>
      <c r="G500" s="5">
        <v>100</v>
      </c>
      <c r="H500" t="str">
        <f>"21-20792"</f>
        <v>21-20792</v>
      </c>
    </row>
    <row r="501" spans="1:8" x14ac:dyDescent="0.25">
      <c r="E501" t="str">
        <f>"202107204655"</f>
        <v>202107204655</v>
      </c>
      <c r="F501" t="str">
        <f>"4012121-2"</f>
        <v>4012121-2</v>
      </c>
      <c r="G501" s="5">
        <v>250</v>
      </c>
      <c r="H501" t="str">
        <f>"4012121-2"</f>
        <v>4012121-2</v>
      </c>
    </row>
    <row r="502" spans="1:8" x14ac:dyDescent="0.25">
      <c r="A502" t="s">
        <v>124</v>
      </c>
      <c r="B502">
        <v>4746</v>
      </c>
      <c r="C502" s="5">
        <v>2372.85</v>
      </c>
      <c r="D502" s="3">
        <v>44390</v>
      </c>
      <c r="E502" t="str">
        <f>"6262251776"</f>
        <v>6262251776</v>
      </c>
      <c r="F502" t="str">
        <f>"INV 6262251776  626226304"</f>
        <v>INV 6262251776  626226304</v>
      </c>
      <c r="G502" s="5">
        <v>2372.85</v>
      </c>
      <c r="H502" t="str">
        <f>"INV 6262251776"</f>
        <v>INV 6262251776</v>
      </c>
    </row>
    <row r="503" spans="1:8" x14ac:dyDescent="0.25">
      <c r="E503" t="str">
        <f>""</f>
        <v/>
      </c>
      <c r="F503" t="str">
        <f>""</f>
        <v/>
      </c>
      <c r="H503" t="str">
        <f>"INV 6262263043"</f>
        <v>INV 6262263043</v>
      </c>
    </row>
    <row r="504" spans="1:8" x14ac:dyDescent="0.25">
      <c r="A504" t="s">
        <v>124</v>
      </c>
      <c r="B504">
        <v>4829</v>
      </c>
      <c r="C504" s="5">
        <v>984.56</v>
      </c>
      <c r="D504" s="3">
        <v>44404</v>
      </c>
      <c r="E504" t="str">
        <f>"6262319766"</f>
        <v>6262319766</v>
      </c>
      <c r="F504" t="str">
        <f>"INV 6262319766"</f>
        <v>INV 6262319766</v>
      </c>
      <c r="G504" s="5">
        <v>984.56</v>
      </c>
      <c r="H504" t="str">
        <f>"INV 6262319766"</f>
        <v>INV 6262319766</v>
      </c>
    </row>
    <row r="505" spans="1:8" x14ac:dyDescent="0.25">
      <c r="A505" t="s">
        <v>125</v>
      </c>
      <c r="B505">
        <v>136360</v>
      </c>
      <c r="C505" s="5">
        <v>24648.75</v>
      </c>
      <c r="D505" s="3">
        <v>44403</v>
      </c>
      <c r="E505" t="str">
        <f>"CD2005521"</f>
        <v>CD2005521</v>
      </c>
      <c r="F505" t="str">
        <f>"CUST#30344/ELECTIONS"</f>
        <v>CUST#30344/ELECTIONS</v>
      </c>
      <c r="G505" s="5">
        <v>24648.75</v>
      </c>
      <c r="H505" t="str">
        <f>"CUST#30344/ELECTIONS"</f>
        <v>CUST#30344/ELECTIONS</v>
      </c>
    </row>
    <row r="506" spans="1:8" x14ac:dyDescent="0.25">
      <c r="A506" t="s">
        <v>126</v>
      </c>
      <c r="B506">
        <v>136161</v>
      </c>
      <c r="C506" s="5">
        <v>1222.0899999999999</v>
      </c>
      <c r="D506" s="3">
        <v>44386</v>
      </c>
      <c r="E506" t="str">
        <f>"202107084451"</f>
        <v>202107084451</v>
      </c>
      <c r="F506" t="str">
        <f>"ACCT#007-0008410-022/06302021"</f>
        <v>ACCT#007-0008410-022/06302021</v>
      </c>
      <c r="G506" s="5">
        <v>230.79</v>
      </c>
      <c r="H506" t="str">
        <f>"ACCT#007-0008410-022/06302021"</f>
        <v>ACCT#007-0008410-022/06302021</v>
      </c>
    </row>
    <row r="507" spans="1:8" x14ac:dyDescent="0.25">
      <c r="E507" t="str">
        <f>"202107084452"</f>
        <v>202107084452</v>
      </c>
      <c r="F507" t="str">
        <f>"ACCT#007-0011501-000/06302021"</f>
        <v>ACCT#007-0011501-000/06302021</v>
      </c>
      <c r="G507" s="5">
        <v>40.840000000000003</v>
      </c>
      <c r="H507" t="str">
        <f>"CITY OF ELGIN UTILITIES"</f>
        <v>CITY OF ELGIN UTILITIES</v>
      </c>
    </row>
    <row r="508" spans="1:8" x14ac:dyDescent="0.25">
      <c r="E508" t="str">
        <f>"202107084453"</f>
        <v>202107084453</v>
      </c>
      <c r="F508" t="str">
        <f>"ACCT#007-001510-000/06302021"</f>
        <v>ACCT#007-001510-000/06302021</v>
      </c>
      <c r="G508" s="5">
        <v>245.49</v>
      </c>
      <c r="H508" t="str">
        <f>"ACCT#007-001510-000/06302021"</f>
        <v>ACCT#007-001510-000/06302021</v>
      </c>
    </row>
    <row r="509" spans="1:8" x14ac:dyDescent="0.25">
      <c r="E509" t="str">
        <f>"202107084454"</f>
        <v>202107084454</v>
      </c>
      <c r="F509" t="str">
        <f>"ACCT#007-0011530-000/06302021"</f>
        <v>ACCT#007-0011530-000/06302021</v>
      </c>
      <c r="G509" s="5">
        <v>99.65</v>
      </c>
      <c r="H509" t="str">
        <f>"CITY OF ELGIN UTILITIES"</f>
        <v>CITY OF ELGIN UTILITIES</v>
      </c>
    </row>
    <row r="510" spans="1:8" x14ac:dyDescent="0.25">
      <c r="E510" t="str">
        <f>"202107084455"</f>
        <v>202107084455</v>
      </c>
      <c r="F510" t="str">
        <f>"ACCT#007-0011534-001/06302021"</f>
        <v>ACCT#007-0011534-001/06302021</v>
      </c>
      <c r="G510" s="5">
        <v>172.7</v>
      </c>
      <c r="H510" t="str">
        <f>"CITY OF ELGIN UTILITIES"</f>
        <v>CITY OF ELGIN UTILITIES</v>
      </c>
    </row>
    <row r="511" spans="1:8" x14ac:dyDescent="0.25">
      <c r="E511" t="str">
        <f>"202107084456"</f>
        <v>202107084456</v>
      </c>
      <c r="F511" t="str">
        <f>"ACCT#007-0011535-000/06302021"</f>
        <v>ACCT#007-0011535-000/06302021</v>
      </c>
      <c r="G511" s="5">
        <v>297.83</v>
      </c>
      <c r="H511" t="str">
        <f>"CITY OF ELGIN UTILITIES"</f>
        <v>CITY OF ELGIN UTILITIES</v>
      </c>
    </row>
    <row r="512" spans="1:8" x14ac:dyDescent="0.25">
      <c r="E512" t="str">
        <f>"202107084457"</f>
        <v>202107084457</v>
      </c>
      <c r="F512" t="str">
        <f>"ACCT#007-0011544-001/06302021"</f>
        <v>ACCT#007-0011544-001/06302021</v>
      </c>
      <c r="G512" s="5">
        <v>134.79</v>
      </c>
      <c r="H512" t="str">
        <f>"CITY OF ELGIN UTILITIES"</f>
        <v>CITY OF ELGIN UTILITIES</v>
      </c>
    </row>
    <row r="513" spans="1:8" x14ac:dyDescent="0.25">
      <c r="A513" t="s">
        <v>127</v>
      </c>
      <c r="B513">
        <v>136361</v>
      </c>
      <c r="C513" s="5">
        <v>76.27</v>
      </c>
      <c r="D513" s="3">
        <v>44403</v>
      </c>
      <c r="E513" t="str">
        <f>"202107194619"</f>
        <v>202107194619</v>
      </c>
      <c r="F513" t="str">
        <f>"REIMBURSE/ELLEN OWENS"</f>
        <v>REIMBURSE/ELLEN OWENS</v>
      </c>
      <c r="G513" s="5">
        <v>76.27</v>
      </c>
      <c r="H513" t="str">
        <f>"REIMBURSE/ELLEN OWENS"</f>
        <v>REIMBURSE/ELLEN OWENS</v>
      </c>
    </row>
    <row r="514" spans="1:8" x14ac:dyDescent="0.25">
      <c r="A514" t="s">
        <v>128</v>
      </c>
      <c r="B514">
        <v>136207</v>
      </c>
      <c r="C514" s="5">
        <v>5554.24</v>
      </c>
      <c r="D514" s="3">
        <v>44389</v>
      </c>
      <c r="E514" t="str">
        <f>"9402496889"</f>
        <v>9402496889</v>
      </c>
      <c r="F514" t="str">
        <f>"ACCT#912923/PCT#4"</f>
        <v>ACCT#912923/PCT#4</v>
      </c>
      <c r="G514" s="5">
        <v>5554.24</v>
      </c>
      <c r="H514" t="str">
        <f>"ACCT#912923/PCT#4"</f>
        <v>ACCT#912923/PCT#4</v>
      </c>
    </row>
    <row r="515" spans="1:8" x14ac:dyDescent="0.25">
      <c r="A515" t="s">
        <v>128</v>
      </c>
      <c r="B515">
        <v>136362</v>
      </c>
      <c r="C515" s="5">
        <v>61539.45</v>
      </c>
      <c r="D515" s="3">
        <v>44403</v>
      </c>
      <c r="E515" t="str">
        <f>"9402506160"</f>
        <v>9402506160</v>
      </c>
      <c r="F515" t="str">
        <f>"ACCT#912897/PCT#3"</f>
        <v>ACCT#912897/PCT#3</v>
      </c>
      <c r="G515" s="5">
        <v>15590.4</v>
      </c>
      <c r="H515" t="str">
        <f>"ACCT#912897/PCT#3"</f>
        <v>ACCT#912897/PCT#3</v>
      </c>
    </row>
    <row r="516" spans="1:8" x14ac:dyDescent="0.25">
      <c r="E516" t="str">
        <f>"9402507084"</f>
        <v>9402507084</v>
      </c>
      <c r="F516" t="str">
        <f>"ACCT#912897/PCT#3"</f>
        <v>ACCT#912897/PCT#3</v>
      </c>
      <c r="G516" s="5">
        <v>15145.83</v>
      </c>
      <c r="H516" t="str">
        <f>"ACCT#912897/PCT#3"</f>
        <v>ACCT#912897/PCT#3</v>
      </c>
    </row>
    <row r="517" spans="1:8" x14ac:dyDescent="0.25">
      <c r="E517" t="str">
        <f>"9402507890"</f>
        <v>9402507890</v>
      </c>
      <c r="F517" t="str">
        <f>"ACCT#912897/PCT#3"</f>
        <v>ACCT#912897/PCT#3</v>
      </c>
      <c r="G517" s="5">
        <v>15151.92</v>
      </c>
      <c r="H517" t="str">
        <f>"ACCT#912897/PCT#3"</f>
        <v>ACCT#912897/PCT#3</v>
      </c>
    </row>
    <row r="518" spans="1:8" x14ac:dyDescent="0.25">
      <c r="E518" t="str">
        <f>"9402507892"</f>
        <v>9402507892</v>
      </c>
      <c r="F518" t="str">
        <f>"ACCT#912897/PCT#3"</f>
        <v>ACCT#912897/PCT#3</v>
      </c>
      <c r="G518" s="5">
        <v>15651.3</v>
      </c>
      <c r="H518" t="str">
        <f>"ACCT#912897/PCT#3"</f>
        <v>ACCT#912897/PCT#3</v>
      </c>
    </row>
    <row r="519" spans="1:8" x14ac:dyDescent="0.25">
      <c r="A519" t="s">
        <v>129</v>
      </c>
      <c r="B519">
        <v>136363</v>
      </c>
      <c r="C519" s="5">
        <v>35.840000000000003</v>
      </c>
      <c r="D519" s="3">
        <v>44403</v>
      </c>
      <c r="E519" t="str">
        <f>"202107214735"</f>
        <v>202107214735</v>
      </c>
      <c r="F519" t="str">
        <f>"REIMBURSE/ERIN NICKEL"</f>
        <v>REIMBURSE/ERIN NICKEL</v>
      </c>
      <c r="G519" s="5">
        <v>35.840000000000003</v>
      </c>
      <c r="H519" t="str">
        <f>"REIMBURSE/ERIN NICKEL"</f>
        <v>REIMBURSE/ERIN NICKEL</v>
      </c>
    </row>
    <row r="520" spans="1:8" x14ac:dyDescent="0.25">
      <c r="A520" t="s">
        <v>130</v>
      </c>
      <c r="B520">
        <v>4763</v>
      </c>
      <c r="C520" s="5">
        <v>74.37</v>
      </c>
      <c r="D520" s="3">
        <v>44390</v>
      </c>
      <c r="E520" t="str">
        <f>"3433759"</f>
        <v>3433759</v>
      </c>
      <c r="F520" t="str">
        <f>"ACCT#00405/PCT#2"</f>
        <v>ACCT#00405/PCT#2</v>
      </c>
      <c r="G520" s="5">
        <v>74.37</v>
      </c>
      <c r="H520" t="str">
        <f>"ACCT#00405/PCT#2"</f>
        <v>ACCT#00405/PCT#2</v>
      </c>
    </row>
    <row r="521" spans="1:8" x14ac:dyDescent="0.25">
      <c r="A521" t="s">
        <v>131</v>
      </c>
      <c r="B521">
        <v>4740</v>
      </c>
      <c r="C521" s="5">
        <v>4577</v>
      </c>
      <c r="D521" s="3">
        <v>44390</v>
      </c>
      <c r="E521" t="str">
        <f>"202106294205"</f>
        <v>202106294205</v>
      </c>
      <c r="F521" t="str">
        <f>"TRANSPORTATION IMPROVEMENTS"</f>
        <v>TRANSPORTATION IMPROVEMENTS</v>
      </c>
      <c r="G521" s="5">
        <v>4577</v>
      </c>
      <c r="H521" t="str">
        <f>"TRANSPORTATION IMPROVEMENTS"</f>
        <v>TRANSPORTATION IMPROVEMENTS</v>
      </c>
    </row>
    <row r="522" spans="1:8" x14ac:dyDescent="0.25">
      <c r="A522" t="s">
        <v>132</v>
      </c>
      <c r="B522">
        <v>4830</v>
      </c>
      <c r="C522" s="5">
        <v>7317.84</v>
      </c>
      <c r="D522" s="3">
        <v>44404</v>
      </c>
      <c r="E522" t="str">
        <f>"202107134531"</f>
        <v>202107134531</v>
      </c>
      <c r="F522" t="str">
        <f>"MAY 2021"</f>
        <v>MAY 2021</v>
      </c>
      <c r="G522" s="5">
        <v>7317.84</v>
      </c>
      <c r="H522" t="str">
        <f>"MAY 2021"</f>
        <v>MAY 2021</v>
      </c>
    </row>
    <row r="523" spans="1:8" x14ac:dyDescent="0.25">
      <c r="A523" t="s">
        <v>133</v>
      </c>
      <c r="B523">
        <v>136208</v>
      </c>
      <c r="C523" s="5">
        <v>380.24</v>
      </c>
      <c r="D523" s="3">
        <v>44389</v>
      </c>
      <c r="E523" t="str">
        <f>"202107014231"</f>
        <v>202107014231</v>
      </c>
      <c r="F523" t="str">
        <f>"INDIGENT HEALTH"</f>
        <v>INDIGENT HEALTH</v>
      </c>
      <c r="G523" s="5">
        <v>380.24</v>
      </c>
      <c r="H523" t="str">
        <f>"INDIGENT HEALTH"</f>
        <v>INDIGENT HEALTH</v>
      </c>
    </row>
    <row r="524" spans="1:8" x14ac:dyDescent="0.25">
      <c r="A524" t="s">
        <v>134</v>
      </c>
      <c r="B524">
        <v>4704</v>
      </c>
      <c r="C524" s="5">
        <v>403.37</v>
      </c>
      <c r="D524" s="3">
        <v>44390</v>
      </c>
      <c r="E524" t="str">
        <f>"202107014232"</f>
        <v>202107014232</v>
      </c>
      <c r="F524" t="str">
        <f>"INDIGENT HEALTH"</f>
        <v>INDIGENT HEALTH</v>
      </c>
      <c r="G524" s="5">
        <v>403.37</v>
      </c>
      <c r="H524" t="str">
        <f>"INDIGENT HEALTH"</f>
        <v>INDIGENT HEALTH</v>
      </c>
    </row>
    <row r="525" spans="1:8" x14ac:dyDescent="0.25">
      <c r="E525" t="str">
        <f>""</f>
        <v/>
      </c>
      <c r="F525" t="str">
        <f>""</f>
        <v/>
      </c>
      <c r="H525" t="str">
        <f>"INDIGENT HEALTH"</f>
        <v>INDIGENT HEALTH</v>
      </c>
    </row>
    <row r="526" spans="1:8" x14ac:dyDescent="0.25">
      <c r="A526" t="s">
        <v>134</v>
      </c>
      <c r="B526">
        <v>4782</v>
      </c>
      <c r="C526" s="5">
        <v>173.17</v>
      </c>
      <c r="D526" s="3">
        <v>44404</v>
      </c>
      <c r="E526" t="str">
        <f>"202107204694"</f>
        <v>202107204694</v>
      </c>
      <c r="F526" t="str">
        <f>"INDIGENT HEALTH"</f>
        <v>INDIGENT HEALTH</v>
      </c>
      <c r="G526" s="5">
        <v>173.17</v>
      </c>
      <c r="H526" t="str">
        <f>"INDIGENT HEALTH"</f>
        <v>INDIGENT HEALTH</v>
      </c>
    </row>
    <row r="527" spans="1:8" x14ac:dyDescent="0.25">
      <c r="A527" t="s">
        <v>135</v>
      </c>
      <c r="B527">
        <v>136364</v>
      </c>
      <c r="C527" s="5">
        <v>53.86</v>
      </c>
      <c r="D527" s="3">
        <v>44403</v>
      </c>
      <c r="E527" t="str">
        <f>"7-422-22564"</f>
        <v>7-422-22564</v>
      </c>
      <c r="F527" t="str">
        <f>"INV 7-422-22564"</f>
        <v>INV 7-422-22564</v>
      </c>
      <c r="G527" s="5">
        <v>42.43</v>
      </c>
      <c r="H527" t="str">
        <f>"INV 7-422-22564"</f>
        <v>INV 7-422-22564</v>
      </c>
    </row>
    <row r="528" spans="1:8" x14ac:dyDescent="0.25">
      <c r="E528" t="str">
        <f>"7-428-72959"</f>
        <v>7-428-72959</v>
      </c>
      <c r="F528" t="str">
        <f>"INV 7-428-72959"</f>
        <v>INV 7-428-72959</v>
      </c>
      <c r="G528" s="5">
        <v>11.43</v>
      </c>
      <c r="H528" t="str">
        <f>"INV 7-428-72959"</f>
        <v>INV 7-428-72959</v>
      </c>
    </row>
    <row r="529" spans="1:8" x14ac:dyDescent="0.25">
      <c r="A529" t="s">
        <v>136</v>
      </c>
      <c r="B529">
        <v>136365</v>
      </c>
      <c r="C529" s="5">
        <v>151.9</v>
      </c>
      <c r="D529" s="3">
        <v>44403</v>
      </c>
      <c r="E529" t="str">
        <f>"9491340"</f>
        <v>9491340</v>
      </c>
      <c r="F529" t="str">
        <f>"CUST#306066/GENERAL SVCS"</f>
        <v>CUST#306066/GENERAL SVCS</v>
      </c>
      <c r="G529" s="5">
        <v>103.75</v>
      </c>
      <c r="H529" t="str">
        <f>"CUST#306066/GENERAL SVCS"</f>
        <v>CUST#306066/GENERAL SVCS</v>
      </c>
    </row>
    <row r="530" spans="1:8" x14ac:dyDescent="0.25">
      <c r="E530" t="str">
        <f>"9493472"</f>
        <v>9493472</v>
      </c>
      <c r="F530" t="str">
        <f>"CUST#306066/GENERAL SVCS"</f>
        <v>CUST#306066/GENERAL SVCS</v>
      </c>
      <c r="G530" s="5">
        <v>48.15</v>
      </c>
      <c r="H530" t="str">
        <f>"CUST#306066/GENERAL SVCS"</f>
        <v>CUST#306066/GENERAL SVCS</v>
      </c>
    </row>
    <row r="531" spans="1:8" x14ac:dyDescent="0.25">
      <c r="A531" t="s">
        <v>137</v>
      </c>
      <c r="B531">
        <v>136366</v>
      </c>
      <c r="C531" s="5">
        <v>10</v>
      </c>
      <c r="D531" s="3">
        <v>44403</v>
      </c>
      <c r="E531" t="str">
        <f>"13-130"</f>
        <v>13-130</v>
      </c>
      <c r="F531" t="str">
        <f>"RESTITUTION/RAMON SALINAS"</f>
        <v>RESTITUTION/RAMON SALINAS</v>
      </c>
      <c r="G531" s="5">
        <v>10</v>
      </c>
      <c r="H531" t="str">
        <f>"RESTITUTION/RAMON SALINAS"</f>
        <v>RESTITUTION/RAMON SALINAS</v>
      </c>
    </row>
    <row r="532" spans="1:8" x14ac:dyDescent="0.25">
      <c r="A532" t="s">
        <v>138</v>
      </c>
      <c r="B532">
        <v>136367</v>
      </c>
      <c r="C532" s="5">
        <v>420</v>
      </c>
      <c r="D532" s="3">
        <v>44403</v>
      </c>
      <c r="E532" t="str">
        <f>"202107204688"</f>
        <v>202107204688</v>
      </c>
      <c r="F532" t="str">
        <f>"ACCT#FM12291/ANIMAL SHELTER"</f>
        <v>ACCT#FM12291/ANIMAL SHELTER</v>
      </c>
      <c r="G532" s="5">
        <v>420</v>
      </c>
      <c r="H532" t="str">
        <f>"ACCT#FM12291/ANIMAL SHELTER"</f>
        <v>ACCT#FM12291/ANIMAL SHELTER</v>
      </c>
    </row>
    <row r="533" spans="1:8" x14ac:dyDescent="0.25">
      <c r="A533" t="s">
        <v>139</v>
      </c>
      <c r="B533">
        <v>4831</v>
      </c>
      <c r="C533" s="5">
        <v>600</v>
      </c>
      <c r="D533" s="3">
        <v>44404</v>
      </c>
      <c r="E533" t="str">
        <f>"202107154562"</f>
        <v>202107154562</v>
      </c>
      <c r="F533" t="str">
        <f>"305062021C"</f>
        <v>305062021C</v>
      </c>
      <c r="G533" s="5">
        <v>250</v>
      </c>
      <c r="H533" t="str">
        <f>"305062021C"</f>
        <v>305062021C</v>
      </c>
    </row>
    <row r="534" spans="1:8" x14ac:dyDescent="0.25">
      <c r="E534" t="str">
        <f>"202107194628"</f>
        <v>202107194628</v>
      </c>
      <c r="F534" t="str">
        <f>"21-20798"</f>
        <v>21-20798</v>
      </c>
      <c r="G534" s="5">
        <v>100</v>
      </c>
      <c r="H534" t="str">
        <f>"21-20798"</f>
        <v>21-20798</v>
      </c>
    </row>
    <row r="535" spans="1:8" x14ac:dyDescent="0.25">
      <c r="E535" t="str">
        <f>"202107204682"</f>
        <v>202107204682</v>
      </c>
      <c r="F535" t="str">
        <f>"02-0413-7"</f>
        <v>02-0413-7</v>
      </c>
      <c r="G535" s="5">
        <v>250</v>
      </c>
      <c r="H535" t="str">
        <f>"02-0413-7"</f>
        <v>02-0413-7</v>
      </c>
    </row>
    <row r="536" spans="1:8" x14ac:dyDescent="0.25">
      <c r="A536" t="s">
        <v>140</v>
      </c>
      <c r="B536">
        <v>136368</v>
      </c>
      <c r="C536" s="5">
        <v>160</v>
      </c>
      <c r="D536" s="3">
        <v>44403</v>
      </c>
      <c r="E536" t="str">
        <f>"13255"</f>
        <v>13255</v>
      </c>
      <c r="F536" t="str">
        <f>"SERVICE"</f>
        <v>SERVICE</v>
      </c>
      <c r="G536" s="5">
        <v>80</v>
      </c>
      <c r="H536" t="str">
        <f>"SERVICE"</f>
        <v>SERVICE</v>
      </c>
    </row>
    <row r="537" spans="1:8" x14ac:dyDescent="0.25">
      <c r="E537" t="str">
        <f>"13305"</f>
        <v>13305</v>
      </c>
      <c r="F537" t="str">
        <f>"SERVICE"</f>
        <v>SERVICE</v>
      </c>
      <c r="G537" s="5">
        <v>80</v>
      </c>
      <c r="H537" t="str">
        <f>"SERVICE"</f>
        <v>SERVICE</v>
      </c>
    </row>
    <row r="538" spans="1:8" x14ac:dyDescent="0.25">
      <c r="A538" t="s">
        <v>141</v>
      </c>
      <c r="B538">
        <v>4821</v>
      </c>
      <c r="C538" s="5">
        <v>1079.6500000000001</v>
      </c>
      <c r="D538" s="3">
        <v>44404</v>
      </c>
      <c r="E538" t="str">
        <f>"202107204671"</f>
        <v>202107204671</v>
      </c>
      <c r="F538" t="str">
        <f>"REIMBURSE/FRANCES HUNTER"</f>
        <v>REIMBURSE/FRANCES HUNTER</v>
      </c>
      <c r="G538" s="5">
        <v>1079.6500000000001</v>
      </c>
      <c r="H538" t="str">
        <f>"REIMBURSE/FRANCES HUNTER"</f>
        <v>REIMBURSE/FRANCES HUNTER</v>
      </c>
    </row>
    <row r="539" spans="1:8" x14ac:dyDescent="0.25">
      <c r="A539" t="s">
        <v>142</v>
      </c>
      <c r="B539">
        <v>136369</v>
      </c>
      <c r="C539" s="5">
        <v>45</v>
      </c>
      <c r="D539" s="3">
        <v>44403</v>
      </c>
      <c r="E539" t="str">
        <f>"202107204716"</f>
        <v>202107204716</v>
      </c>
      <c r="F539" t="str">
        <f>"PER DIEM"</f>
        <v>PER DIEM</v>
      </c>
      <c r="G539" s="5">
        <v>45</v>
      </c>
      <c r="H539" t="str">
        <f>"PER DIEM"</f>
        <v>PER DIEM</v>
      </c>
    </row>
    <row r="540" spans="1:8" x14ac:dyDescent="0.25">
      <c r="A540" t="s">
        <v>143</v>
      </c>
      <c r="B540">
        <v>136370</v>
      </c>
      <c r="C540" s="5">
        <v>135</v>
      </c>
      <c r="D540" s="3">
        <v>44403</v>
      </c>
      <c r="E540" t="str">
        <f>"14-108/ 2-7-21"</f>
        <v>14-108/ 2-7-21</v>
      </c>
      <c r="F540" t="str">
        <f>"RESTITUTION/LANCE SADECKY"</f>
        <v>RESTITUTION/LANCE SADECKY</v>
      </c>
      <c r="G540" s="5">
        <v>135</v>
      </c>
      <c r="H540" t="str">
        <f>"RESTITUTION/LANCE SADECKY"</f>
        <v>RESTITUTION/LANCE SADECKY</v>
      </c>
    </row>
    <row r="541" spans="1:8" x14ac:dyDescent="0.25">
      <c r="A541" t="s">
        <v>144</v>
      </c>
      <c r="B541">
        <v>136371</v>
      </c>
      <c r="C541" s="5">
        <v>80</v>
      </c>
      <c r="D541" s="3">
        <v>44403</v>
      </c>
      <c r="E541" t="str">
        <f>"13136"</f>
        <v>13136</v>
      </c>
      <c r="F541" t="str">
        <f>"SERVICE"</f>
        <v>SERVICE</v>
      </c>
      <c r="G541" s="5">
        <v>80</v>
      </c>
      <c r="H541" t="str">
        <f>"SERVICE"</f>
        <v>SERVICE</v>
      </c>
    </row>
    <row r="542" spans="1:8" x14ac:dyDescent="0.25">
      <c r="A542" t="s">
        <v>145</v>
      </c>
      <c r="B542">
        <v>4747</v>
      </c>
      <c r="C542" s="5">
        <v>301.25</v>
      </c>
      <c r="D542" s="3">
        <v>44390</v>
      </c>
      <c r="E542" t="str">
        <f>"114634"</f>
        <v>114634</v>
      </c>
      <c r="F542" t="str">
        <f>"INV GC 114634"</f>
        <v>INV GC 114634</v>
      </c>
      <c r="G542" s="5">
        <v>301.25</v>
      </c>
      <c r="H542" t="str">
        <f>"INV GC 114634"</f>
        <v>INV GC 114634</v>
      </c>
    </row>
    <row r="543" spans="1:8" x14ac:dyDescent="0.25">
      <c r="A543" t="s">
        <v>145</v>
      </c>
      <c r="B543">
        <v>4832</v>
      </c>
      <c r="C543" s="5">
        <v>619.95000000000005</v>
      </c>
      <c r="D543" s="3">
        <v>44404</v>
      </c>
      <c r="E543" t="str">
        <f>"114733"</f>
        <v>114733</v>
      </c>
      <c r="F543" t="str">
        <f>"INV GC 114733"</f>
        <v>INV GC 114733</v>
      </c>
      <c r="G543" s="5">
        <v>40.96</v>
      </c>
      <c r="H543" t="str">
        <f>"INV GC 114733"</f>
        <v>INV GC 114733</v>
      </c>
    </row>
    <row r="544" spans="1:8" x14ac:dyDescent="0.25">
      <c r="E544" t="str">
        <f>"114754"</f>
        <v>114754</v>
      </c>
      <c r="F544" t="str">
        <f>"INV GC 114754"</f>
        <v>INV GC 114754</v>
      </c>
      <c r="G544" s="5">
        <v>48.77</v>
      </c>
      <c r="H544" t="str">
        <f>"INV GC 114754"</f>
        <v>INV GC 114754</v>
      </c>
    </row>
    <row r="545" spans="1:8" x14ac:dyDescent="0.25">
      <c r="E545" t="str">
        <f>"114771"</f>
        <v>114771</v>
      </c>
      <c r="F545" t="str">
        <f>"INV GC 114771"</f>
        <v>INV GC 114771</v>
      </c>
      <c r="G545" s="5">
        <v>530.22</v>
      </c>
      <c r="H545" t="str">
        <f>"INV GC 114771"</f>
        <v>INV GC 114771</v>
      </c>
    </row>
    <row r="546" spans="1:8" x14ac:dyDescent="0.25">
      <c r="A546" t="s">
        <v>146</v>
      </c>
      <c r="B546">
        <v>136372</v>
      </c>
      <c r="C546" s="5">
        <v>75</v>
      </c>
      <c r="D546" s="3">
        <v>44403</v>
      </c>
      <c r="E546" t="str">
        <f>"13255"</f>
        <v>13255</v>
      </c>
      <c r="F546" t="str">
        <f>"SERVICE"</f>
        <v>SERVICE</v>
      </c>
      <c r="G546" s="5">
        <v>75</v>
      </c>
      <c r="H546" t="str">
        <f>"SERVICE"</f>
        <v>SERVICE</v>
      </c>
    </row>
    <row r="547" spans="1:8" x14ac:dyDescent="0.25">
      <c r="A547" t="s">
        <v>147</v>
      </c>
      <c r="B547">
        <v>136209</v>
      </c>
      <c r="C547" s="5">
        <v>347.29</v>
      </c>
      <c r="D547" s="3">
        <v>44389</v>
      </c>
      <c r="E547" t="str">
        <f>"N72236"</f>
        <v>N72236</v>
      </c>
      <c r="F547" t="str">
        <f>"UNIFORMS/DEVELOPMENT SVCS"</f>
        <v>UNIFORMS/DEVELOPMENT SVCS</v>
      </c>
      <c r="G547" s="5">
        <v>205.45</v>
      </c>
      <c r="H547" t="str">
        <f>"UNIFORMS/DEVELOPMENT SVCS"</f>
        <v>UNIFORMS/DEVELOPMENT SVCS</v>
      </c>
    </row>
    <row r="548" spans="1:8" x14ac:dyDescent="0.25">
      <c r="E548" t="str">
        <f>"N72293"</f>
        <v>N72293</v>
      </c>
      <c r="F548" t="str">
        <f>"INV N72293"</f>
        <v>INV N72293</v>
      </c>
      <c r="G548" s="5">
        <v>141.84</v>
      </c>
      <c r="H548" t="str">
        <f>"INV N72293"</f>
        <v>INV N72293</v>
      </c>
    </row>
    <row r="549" spans="1:8" x14ac:dyDescent="0.25">
      <c r="A549" t="s">
        <v>148</v>
      </c>
      <c r="B549">
        <v>136210</v>
      </c>
      <c r="C549" s="5">
        <v>425</v>
      </c>
      <c r="D549" s="3">
        <v>44389</v>
      </c>
      <c r="E549" t="str">
        <f>"1140"</f>
        <v>1140</v>
      </c>
      <c r="F549" t="str">
        <f>"TRANSPORT/J. SLAUGHTER"</f>
        <v>TRANSPORT/J. SLAUGHTER</v>
      </c>
      <c r="G549" s="5">
        <v>425</v>
      </c>
      <c r="H549" t="str">
        <f>"TRANSPORT/J. SLAUGHTER"</f>
        <v>TRANSPORT/J. SLAUGHTER</v>
      </c>
    </row>
    <row r="550" spans="1:8" x14ac:dyDescent="0.25">
      <c r="A550" t="s">
        <v>149</v>
      </c>
      <c r="B550">
        <v>136211</v>
      </c>
      <c r="C550" s="5">
        <v>130</v>
      </c>
      <c r="D550" s="3">
        <v>44389</v>
      </c>
      <c r="E550" t="str">
        <f>"1288"</f>
        <v>1288</v>
      </c>
      <c r="F550" t="str">
        <f>"CHARGEBACK/CAMILLE LARREY"</f>
        <v>CHARGEBACK/CAMILLE LARREY</v>
      </c>
      <c r="G550" s="5">
        <v>130</v>
      </c>
      <c r="H550" t="str">
        <f>"CHARGEBACK/CAMILLE LARREY"</f>
        <v>CHARGEBACK/CAMILLE LARREY</v>
      </c>
    </row>
    <row r="551" spans="1:8" x14ac:dyDescent="0.25">
      <c r="A551" t="s">
        <v>150</v>
      </c>
      <c r="B551">
        <v>136212</v>
      </c>
      <c r="C551" s="5">
        <v>57.96</v>
      </c>
      <c r="D551" s="3">
        <v>44389</v>
      </c>
      <c r="E551" t="str">
        <f>"9950860115"</f>
        <v>9950860115</v>
      </c>
      <c r="F551" t="str">
        <f>"ACCT#814780730"</f>
        <v>ACCT#814780730</v>
      </c>
      <c r="G551" s="5">
        <v>57.96</v>
      </c>
      <c r="H551" t="str">
        <f>"ACCT#814780730"</f>
        <v>ACCT#814780730</v>
      </c>
    </row>
    <row r="552" spans="1:8" x14ac:dyDescent="0.25">
      <c r="A552" t="s">
        <v>150</v>
      </c>
      <c r="B552">
        <v>136373</v>
      </c>
      <c r="C552" s="5">
        <v>170</v>
      </c>
      <c r="D552" s="3">
        <v>44403</v>
      </c>
      <c r="E552" t="str">
        <f>"9954539467"</f>
        <v>9954539467</v>
      </c>
      <c r="F552" t="str">
        <f>"INV 9954539467"</f>
        <v>INV 9954539467</v>
      </c>
      <c r="G552" s="5">
        <v>170</v>
      </c>
      <c r="H552" t="str">
        <f>"INV 9954539467"</f>
        <v>INV 9954539467</v>
      </c>
    </row>
    <row r="553" spans="1:8" x14ac:dyDescent="0.25">
      <c r="A553" t="s">
        <v>151</v>
      </c>
      <c r="B553">
        <v>136374</v>
      </c>
      <c r="C553" s="5">
        <v>366.08</v>
      </c>
      <c r="D553" s="3">
        <v>44403</v>
      </c>
      <c r="E553" t="str">
        <f>"202107194635"</f>
        <v>202107194635</v>
      </c>
      <c r="F553" t="str">
        <f>"INTERPRETING SVCS"</f>
        <v>INTERPRETING SVCS</v>
      </c>
      <c r="G553" s="5">
        <v>366.08</v>
      </c>
      <c r="H553" t="str">
        <f>"INTERPRETING SVCS"</f>
        <v>INTERPRETING SVCS</v>
      </c>
    </row>
    <row r="554" spans="1:8" x14ac:dyDescent="0.25">
      <c r="A554" t="s">
        <v>152</v>
      </c>
      <c r="B554">
        <v>4785</v>
      </c>
      <c r="C554" s="5">
        <v>5240</v>
      </c>
      <c r="D554" s="3">
        <v>44404</v>
      </c>
      <c r="E554" t="str">
        <f>"463762"</f>
        <v>463762</v>
      </c>
      <c r="F554" t="str">
        <f>"CLIENT#3366-005"</f>
        <v>CLIENT#3366-005</v>
      </c>
      <c r="G554" s="5">
        <v>5240</v>
      </c>
      <c r="H554" t="str">
        <f>"CLIENT#3366-005"</f>
        <v>CLIENT#3366-005</v>
      </c>
    </row>
    <row r="555" spans="1:8" x14ac:dyDescent="0.25">
      <c r="A555" t="s">
        <v>153</v>
      </c>
      <c r="B555">
        <v>4748</v>
      </c>
      <c r="C555" s="5">
        <v>4002.67</v>
      </c>
      <c r="D555" s="3">
        <v>44390</v>
      </c>
      <c r="E555" t="str">
        <f>"0843060"</f>
        <v>0843060</v>
      </c>
      <c r="F555" t="str">
        <f>"INV 0843060/0850550"</f>
        <v>INV 0843060/0850550</v>
      </c>
      <c r="G555" s="5">
        <v>606.4</v>
      </c>
      <c r="H555" t="str">
        <f>"INV 0843060"</f>
        <v>INV 0843060</v>
      </c>
    </row>
    <row r="556" spans="1:8" x14ac:dyDescent="0.25">
      <c r="E556" t="str">
        <f>""</f>
        <v/>
      </c>
      <c r="F556" t="str">
        <f>""</f>
        <v/>
      </c>
      <c r="H556" t="str">
        <f>"INV 0850550"</f>
        <v>INV 0850550</v>
      </c>
    </row>
    <row r="557" spans="1:8" x14ac:dyDescent="0.25">
      <c r="E557" t="str">
        <f>"0844971"</f>
        <v>0844971</v>
      </c>
      <c r="F557" t="str">
        <f>"INV 0844971/0850864"</f>
        <v>INV 0844971/0850864</v>
      </c>
      <c r="G557" s="5">
        <v>493.91</v>
      </c>
      <c r="H557" t="str">
        <f>"INV 0844971"</f>
        <v>INV 0844971</v>
      </c>
    </row>
    <row r="558" spans="1:8" x14ac:dyDescent="0.25">
      <c r="E558" t="str">
        <f>""</f>
        <v/>
      </c>
      <c r="F558" t="str">
        <f>""</f>
        <v/>
      </c>
      <c r="H558" t="str">
        <f>"INV 0850864"</f>
        <v>INV 0850864</v>
      </c>
    </row>
    <row r="559" spans="1:8" x14ac:dyDescent="0.25">
      <c r="E559" t="str">
        <f>"0849584"</f>
        <v>0849584</v>
      </c>
      <c r="F559" t="str">
        <f>"INV 0849584"</f>
        <v>INV 0849584</v>
      </c>
      <c r="G559" s="5">
        <v>499.9</v>
      </c>
      <c r="H559" t="str">
        <f>"INV 0849584"</f>
        <v>INV 0849584</v>
      </c>
    </row>
    <row r="560" spans="1:8" x14ac:dyDescent="0.25">
      <c r="E560" t="str">
        <f>"0850368"</f>
        <v>0850368</v>
      </c>
      <c r="F560" t="str">
        <f>"INV 0850368"</f>
        <v>INV 0850368</v>
      </c>
      <c r="G560" s="5">
        <v>160</v>
      </c>
      <c r="H560" t="str">
        <f>"INV 0850368"</f>
        <v>INV 0850368</v>
      </c>
    </row>
    <row r="561" spans="1:8" x14ac:dyDescent="0.25">
      <c r="E561" t="str">
        <f>"0850546"</f>
        <v>0850546</v>
      </c>
      <c r="F561" t="str">
        <f>"INV 0850546"</f>
        <v>INV 0850546</v>
      </c>
      <c r="G561" s="5">
        <v>626.4</v>
      </c>
      <c r="H561" t="str">
        <f>"INV 0850546"</f>
        <v>INV 0850546</v>
      </c>
    </row>
    <row r="562" spans="1:8" x14ac:dyDescent="0.25">
      <c r="E562" t="str">
        <f>"0851230"</f>
        <v>0851230</v>
      </c>
      <c r="F562" t="str">
        <f>"INV 0851230"</f>
        <v>INV 0851230</v>
      </c>
      <c r="G562" s="5">
        <v>860</v>
      </c>
      <c r="H562" t="str">
        <f>"INV 0851230"</f>
        <v>INV 0851230</v>
      </c>
    </row>
    <row r="563" spans="1:8" x14ac:dyDescent="0.25">
      <c r="E563" t="str">
        <f>""</f>
        <v/>
      </c>
      <c r="F563" t="str">
        <f>""</f>
        <v/>
      </c>
      <c r="H563" t="str">
        <f>"INV 0851230"</f>
        <v>INV 0851230</v>
      </c>
    </row>
    <row r="564" spans="1:8" x14ac:dyDescent="0.25">
      <c r="E564" t="str">
        <f>"INV0833414"</f>
        <v>INV0833414</v>
      </c>
      <c r="F564" t="str">
        <f>"INV0833414  INV0838233  I"</f>
        <v>INV0833414  INV0838233  I</v>
      </c>
      <c r="G564" s="5">
        <v>731.31</v>
      </c>
      <c r="H564" t="str">
        <f>"INV0833414"</f>
        <v>INV0833414</v>
      </c>
    </row>
    <row r="565" spans="1:8" x14ac:dyDescent="0.25">
      <c r="E565" t="str">
        <f>""</f>
        <v/>
      </c>
      <c r="F565" t="str">
        <f>""</f>
        <v/>
      </c>
      <c r="H565" t="str">
        <f>"INV0838233"</f>
        <v>INV0838233</v>
      </c>
    </row>
    <row r="566" spans="1:8" x14ac:dyDescent="0.25">
      <c r="E566" t="str">
        <f>""</f>
        <v/>
      </c>
      <c r="F566" t="str">
        <f>""</f>
        <v/>
      </c>
      <c r="H566" t="str">
        <f>"INV0848960"</f>
        <v>INV0848960</v>
      </c>
    </row>
    <row r="567" spans="1:8" x14ac:dyDescent="0.25">
      <c r="E567" t="str">
        <f>"INV0848985"</f>
        <v>INV0848985</v>
      </c>
      <c r="F567" t="str">
        <f>"INV0848985"</f>
        <v>INV0848985</v>
      </c>
      <c r="G567" s="5">
        <v>24.75</v>
      </c>
      <c r="H567" t="str">
        <f>"INV0848985"</f>
        <v>INV0848985</v>
      </c>
    </row>
    <row r="568" spans="1:8" x14ac:dyDescent="0.25">
      <c r="A568" t="s">
        <v>153</v>
      </c>
      <c r="B568">
        <v>4833</v>
      </c>
      <c r="C568" s="5">
        <v>9217.8700000000008</v>
      </c>
      <c r="D568" s="3">
        <v>44404</v>
      </c>
      <c r="E568" t="str">
        <f>"0836501"</f>
        <v>0836501</v>
      </c>
      <c r="F568" t="str">
        <f>"INV0836501  INV0852862"</f>
        <v>INV0836501  INV0852862</v>
      </c>
      <c r="G568" s="5">
        <v>115.47</v>
      </c>
      <c r="H568" t="str">
        <f>"INV0836501"</f>
        <v>INV0836501</v>
      </c>
    </row>
    <row r="569" spans="1:8" x14ac:dyDescent="0.25">
      <c r="E569" t="str">
        <f>""</f>
        <v/>
      </c>
      <c r="F569" t="str">
        <f>""</f>
        <v/>
      </c>
      <c r="H569" t="str">
        <f>"INV0852862"</f>
        <v>INV0852862</v>
      </c>
    </row>
    <row r="570" spans="1:8" x14ac:dyDescent="0.25">
      <c r="E570" t="str">
        <f>"0851414"</f>
        <v>0851414</v>
      </c>
      <c r="F570" t="str">
        <f>"INV0851414"</f>
        <v>INV0851414</v>
      </c>
      <c r="G570" s="5">
        <v>192.45</v>
      </c>
      <c r="H570" t="str">
        <f>"INV0851414"</f>
        <v>INV0851414</v>
      </c>
    </row>
    <row r="571" spans="1:8" x14ac:dyDescent="0.25">
      <c r="E571" t="str">
        <f>"0851585"</f>
        <v>0851585</v>
      </c>
      <c r="F571" t="str">
        <f>"INV 0851585"</f>
        <v>INV 0851585</v>
      </c>
      <c r="G571" s="5">
        <v>860</v>
      </c>
      <c r="H571" t="str">
        <f>"INV 0851585"</f>
        <v>INV 0851585</v>
      </c>
    </row>
    <row r="572" spans="1:8" x14ac:dyDescent="0.25">
      <c r="E572" t="str">
        <f>""</f>
        <v/>
      </c>
      <c r="F572" t="str">
        <f>""</f>
        <v/>
      </c>
      <c r="H572" t="str">
        <f>"INV 0851585"</f>
        <v>INV 0851585</v>
      </c>
    </row>
    <row r="573" spans="1:8" x14ac:dyDescent="0.25">
      <c r="E573" t="str">
        <f>"0853277"</f>
        <v>0853277</v>
      </c>
      <c r="F573" t="str">
        <f>"INV 0853277"</f>
        <v>INV 0853277</v>
      </c>
      <c r="G573" s="5">
        <v>69.989999999999995</v>
      </c>
      <c r="H573" t="str">
        <f>"INV 0853277"</f>
        <v>INV 0853277</v>
      </c>
    </row>
    <row r="574" spans="1:8" x14ac:dyDescent="0.25">
      <c r="E574" t="str">
        <f>"0853282"</f>
        <v>0853282</v>
      </c>
      <c r="F574" t="str">
        <f>"INV 0853282"</f>
        <v>INV 0853282</v>
      </c>
      <c r="G574" s="5">
        <v>99.98</v>
      </c>
      <c r="H574" t="str">
        <f>"INV 0853282"</f>
        <v>INV 0853282</v>
      </c>
    </row>
    <row r="575" spans="1:8" x14ac:dyDescent="0.25">
      <c r="E575" t="str">
        <f>"0853285"</f>
        <v>0853285</v>
      </c>
      <c r="F575" t="str">
        <f>"INV 0853285"</f>
        <v>INV 0853285</v>
      </c>
      <c r="G575" s="5">
        <v>139.97999999999999</v>
      </c>
      <c r="H575" t="str">
        <f>"INV 0853285"</f>
        <v>INV 0853285</v>
      </c>
    </row>
    <row r="576" spans="1:8" x14ac:dyDescent="0.25">
      <c r="E576" t="str">
        <f>"21*27910"</f>
        <v>21*27910</v>
      </c>
      <c r="F576" t="str">
        <f>"INV 0849154"</f>
        <v>INV 0849154</v>
      </c>
      <c r="G576" s="5">
        <v>7740</v>
      </c>
      <c r="H576" t="str">
        <f>"INV 0849154"</f>
        <v>INV 0849154</v>
      </c>
    </row>
    <row r="577" spans="1:8" x14ac:dyDescent="0.25">
      <c r="E577" t="str">
        <f>""</f>
        <v/>
      </c>
      <c r="F577" t="str">
        <f>""</f>
        <v/>
      </c>
      <c r="H577" t="str">
        <f>"INV 0849154"</f>
        <v>INV 0849154</v>
      </c>
    </row>
    <row r="578" spans="1:8" x14ac:dyDescent="0.25">
      <c r="A578" t="s">
        <v>154</v>
      </c>
      <c r="B578">
        <v>4815</v>
      </c>
      <c r="C578" s="5">
        <v>2030.39</v>
      </c>
      <c r="D578" s="3">
        <v>44404</v>
      </c>
      <c r="E578" t="str">
        <f>"25117"</f>
        <v>25117</v>
      </c>
      <c r="F578" t="str">
        <f>"DS-DELL Docking Station"</f>
        <v>DS-DELL Docking Station</v>
      </c>
      <c r="G578" s="5">
        <v>686.67</v>
      </c>
      <c r="H578" t="str">
        <f>"DS-DELL Docking Station"</f>
        <v>DS-DELL Docking Station</v>
      </c>
    </row>
    <row r="579" spans="1:8" x14ac:dyDescent="0.25">
      <c r="E579" t="str">
        <f>"25151"</f>
        <v>25151</v>
      </c>
      <c r="F579" t="str">
        <f>"DS-DELL -411-3"</f>
        <v>DS-DELL -411-3</v>
      </c>
      <c r="G579" s="5">
        <v>1343.72</v>
      </c>
      <c r="H579" t="str">
        <f>"DS-DELL -411-3"</f>
        <v>DS-DELL -411-3</v>
      </c>
    </row>
    <row r="580" spans="1:8" x14ac:dyDescent="0.25">
      <c r="A580" t="s">
        <v>155</v>
      </c>
      <c r="B580">
        <v>4764</v>
      </c>
      <c r="C580" s="5">
        <v>274.95</v>
      </c>
      <c r="D580" s="3">
        <v>44390</v>
      </c>
      <c r="E580" t="str">
        <f>"2064471"</f>
        <v>2064471</v>
      </c>
      <c r="F580" t="str">
        <f>"INV 2064471"</f>
        <v>INV 2064471</v>
      </c>
      <c r="G580" s="5">
        <v>274.95</v>
      </c>
      <c r="H580" t="str">
        <f>"INV 2064471"</f>
        <v>INV 2064471</v>
      </c>
    </row>
    <row r="581" spans="1:8" x14ac:dyDescent="0.25">
      <c r="A581" t="s">
        <v>156</v>
      </c>
      <c r="B581">
        <v>136375</v>
      </c>
      <c r="C581" s="5">
        <v>161.25</v>
      </c>
      <c r="D581" s="3">
        <v>44403</v>
      </c>
      <c r="E581" t="str">
        <f>"1139689"</f>
        <v>1139689</v>
      </c>
      <c r="F581" t="str">
        <f>"ACCT#60128/PCT#4"</f>
        <v>ACCT#60128/PCT#4</v>
      </c>
      <c r="G581" s="5">
        <v>161.25</v>
      </c>
      <c r="H581" t="str">
        <f>"ACCT#60128/PCT#4"</f>
        <v>ACCT#60128/PCT#4</v>
      </c>
    </row>
    <row r="582" spans="1:8" x14ac:dyDescent="0.25">
      <c r="A582" t="s">
        <v>157</v>
      </c>
      <c r="B582">
        <v>136213</v>
      </c>
      <c r="C582" s="5">
        <v>1577</v>
      </c>
      <c r="D582" s="3">
        <v>44389</v>
      </c>
      <c r="E582" t="str">
        <f>"18886"</f>
        <v>18886</v>
      </c>
      <c r="F582" t="str">
        <f>"AIR INLET/GENERAL SVCS"</f>
        <v>AIR INLET/GENERAL SVCS</v>
      </c>
      <c r="G582" s="5">
        <v>1577</v>
      </c>
      <c r="H582" t="str">
        <f>"AIR INLET/GENERAL SVCS"</f>
        <v>AIR INLET/GENERAL SVCS</v>
      </c>
    </row>
    <row r="583" spans="1:8" x14ac:dyDescent="0.25">
      <c r="A583" t="s">
        <v>158</v>
      </c>
      <c r="B583">
        <v>4761</v>
      </c>
      <c r="C583" s="5">
        <v>14075.5</v>
      </c>
      <c r="D583" s="3">
        <v>44390</v>
      </c>
      <c r="E583" t="str">
        <f>"10052282"</f>
        <v>10052282</v>
      </c>
      <c r="F583" t="str">
        <f>"PROJECT#032285/TAHITIAN VILLAG"</f>
        <v>PROJECT#032285/TAHITIAN VILLAG</v>
      </c>
      <c r="G583" s="5">
        <v>478</v>
      </c>
      <c r="H583" t="str">
        <f>"PROJECT#032285/TAHITIAN VILLAG"</f>
        <v>PROJECT#032285/TAHITIAN VILLAG</v>
      </c>
    </row>
    <row r="584" spans="1:8" x14ac:dyDescent="0.25">
      <c r="E584" t="str">
        <f>"10052283"</f>
        <v>10052283</v>
      </c>
      <c r="F584" t="str">
        <f>"PROJECT#033387.008/JC MADDIOSN"</f>
        <v>PROJECT#033387.008/JC MADDIOSN</v>
      </c>
      <c r="G584" s="5">
        <v>8279.2999999999993</v>
      </c>
      <c r="H584" t="str">
        <f>"PROJECT#033387.008/JC MADDIOSN"</f>
        <v>PROJECT#033387.008/JC MADDIOSN</v>
      </c>
    </row>
    <row r="585" spans="1:8" x14ac:dyDescent="0.25">
      <c r="E585" t="str">
        <f>"10054110-1"</f>
        <v>10054110-1</v>
      </c>
      <c r="F585" t="str">
        <f>"PROJECT#032285/TAHITIAN VILLAG"</f>
        <v>PROJECT#032285/TAHITIAN VILLAG</v>
      </c>
      <c r="G585" s="5">
        <v>825</v>
      </c>
      <c r="H585" t="str">
        <f>"PROJECT#032285/TAHITIAN VILLAG"</f>
        <v>PROJECT#032285/TAHITIAN VILLAG</v>
      </c>
    </row>
    <row r="586" spans="1:8" x14ac:dyDescent="0.25">
      <c r="E586" t="str">
        <f>"10054111"</f>
        <v>10054111</v>
      </c>
      <c r="F586" t="str">
        <f>"PROJECT#033387.008/JC MADDISON"</f>
        <v>PROJECT#033387.008/JC MADDISON</v>
      </c>
      <c r="G586" s="5">
        <v>4493.2</v>
      </c>
      <c r="H586" t="str">
        <f>"PROJECT#033387.008/JC MADDISON"</f>
        <v>PROJECT#033387.008/JC MADDISON</v>
      </c>
    </row>
    <row r="587" spans="1:8" x14ac:dyDescent="0.25">
      <c r="A587" t="s">
        <v>159</v>
      </c>
      <c r="B587">
        <v>136376</v>
      </c>
      <c r="C587" s="5">
        <v>1050</v>
      </c>
      <c r="D587" s="3">
        <v>44403</v>
      </c>
      <c r="E587" t="str">
        <f>"12383 4-5-2021"</f>
        <v>12383 4-5-2021</v>
      </c>
      <c r="F587" t="str">
        <f t="shared" ref="F587:F592" si="12">"SERVICE"</f>
        <v>SERVICE</v>
      </c>
      <c r="G587" s="5">
        <v>525</v>
      </c>
      <c r="H587" t="str">
        <f t="shared" ref="H587:H592" si="13">"SERVICE"</f>
        <v>SERVICE</v>
      </c>
    </row>
    <row r="588" spans="1:8" x14ac:dyDescent="0.25">
      <c r="E588" t="str">
        <f>"12926"</f>
        <v>12926</v>
      </c>
      <c r="F588" t="str">
        <f t="shared" si="12"/>
        <v>SERVICE</v>
      </c>
      <c r="G588" s="5">
        <v>375</v>
      </c>
      <c r="H588" t="str">
        <f t="shared" si="13"/>
        <v>SERVICE</v>
      </c>
    </row>
    <row r="589" spans="1:8" x14ac:dyDescent="0.25">
      <c r="E589" t="str">
        <f>"13102"</f>
        <v>13102</v>
      </c>
      <c r="F589" t="str">
        <f t="shared" si="12"/>
        <v>SERVICE</v>
      </c>
      <c r="G589" s="5">
        <v>75</v>
      </c>
      <c r="H589" t="str">
        <f t="shared" si="13"/>
        <v>SERVICE</v>
      </c>
    </row>
    <row r="590" spans="1:8" x14ac:dyDescent="0.25">
      <c r="E590" t="str">
        <f>"13255"</f>
        <v>13255</v>
      </c>
      <c r="F590" t="str">
        <f t="shared" si="12"/>
        <v>SERVICE</v>
      </c>
      <c r="G590" s="5">
        <v>75</v>
      </c>
      <c r="H590" t="str">
        <f t="shared" si="13"/>
        <v>SERVICE</v>
      </c>
    </row>
    <row r="591" spans="1:8" x14ac:dyDescent="0.25">
      <c r="A591" t="s">
        <v>160</v>
      </c>
      <c r="B591">
        <v>136377</v>
      </c>
      <c r="C591" s="5">
        <v>75</v>
      </c>
      <c r="D591" s="3">
        <v>44403</v>
      </c>
      <c r="E591" t="str">
        <f>"13643"</f>
        <v>13643</v>
      </c>
      <c r="F591" t="str">
        <f t="shared" si="12"/>
        <v>SERVICE</v>
      </c>
      <c r="G591" s="5">
        <v>75</v>
      </c>
      <c r="H591" t="str">
        <f t="shared" si="13"/>
        <v>SERVICE</v>
      </c>
    </row>
    <row r="592" spans="1:8" x14ac:dyDescent="0.25">
      <c r="A592" t="s">
        <v>161</v>
      </c>
      <c r="B592">
        <v>136378</v>
      </c>
      <c r="C592" s="5">
        <v>150</v>
      </c>
      <c r="D592" s="3">
        <v>44403</v>
      </c>
      <c r="E592" t="str">
        <f>"13406"</f>
        <v>13406</v>
      </c>
      <c r="F592" t="str">
        <f t="shared" si="12"/>
        <v>SERVICE</v>
      </c>
      <c r="G592" s="5">
        <v>150</v>
      </c>
      <c r="H592" t="str">
        <f t="shared" si="13"/>
        <v>SERVICE</v>
      </c>
    </row>
    <row r="593" spans="1:8" x14ac:dyDescent="0.25">
      <c r="A593" t="s">
        <v>162</v>
      </c>
      <c r="B593">
        <v>136379</v>
      </c>
      <c r="C593" s="5">
        <v>2187.0500000000002</v>
      </c>
      <c r="D593" s="3">
        <v>44403</v>
      </c>
      <c r="E593" t="str">
        <f>"827193"</f>
        <v>827193</v>
      </c>
      <c r="F593" t="str">
        <f>"INV827193  INV827429  INV"</f>
        <v>INV827193  INV827429  INV</v>
      </c>
      <c r="G593" s="5">
        <v>2187.0500000000002</v>
      </c>
      <c r="H593" t="str">
        <f>"INV827193"</f>
        <v>INV827193</v>
      </c>
    </row>
    <row r="594" spans="1:8" x14ac:dyDescent="0.25">
      <c r="E594" t="str">
        <f>""</f>
        <v/>
      </c>
      <c r="F594" t="str">
        <f>""</f>
        <v/>
      </c>
      <c r="H594" t="str">
        <f>"INV827429"</f>
        <v>INV827429</v>
      </c>
    </row>
    <row r="595" spans="1:8" x14ac:dyDescent="0.25">
      <c r="E595" t="str">
        <f>""</f>
        <v/>
      </c>
      <c r="F595" t="str">
        <f>""</f>
        <v/>
      </c>
      <c r="H595" t="str">
        <f>"INV827782"</f>
        <v>INV827782</v>
      </c>
    </row>
    <row r="596" spans="1:8" x14ac:dyDescent="0.25">
      <c r="A596" t="s">
        <v>163</v>
      </c>
      <c r="B596">
        <v>136214</v>
      </c>
      <c r="C596" s="5">
        <v>449</v>
      </c>
      <c r="D596" s="3">
        <v>44389</v>
      </c>
      <c r="E596" t="str">
        <f>"47405"</f>
        <v>47405</v>
      </c>
      <c r="F596" t="str">
        <f>"PMT#135867/JP#4"</f>
        <v>PMT#135867/JP#4</v>
      </c>
      <c r="G596" s="5">
        <v>449</v>
      </c>
      <c r="H596" t="str">
        <f>"PMT#135867/JP#4"</f>
        <v>PMT#135867/JP#4</v>
      </c>
    </row>
    <row r="597" spans="1:8" x14ac:dyDescent="0.25">
      <c r="A597" t="s">
        <v>163</v>
      </c>
      <c r="B597">
        <v>136380</v>
      </c>
      <c r="C597" s="5">
        <v>375</v>
      </c>
      <c r="D597" s="3">
        <v>44403</v>
      </c>
      <c r="E597" t="str">
        <f>"047487"</f>
        <v>047487</v>
      </c>
      <c r="F597" t="str">
        <f>"OFFICE SUPPLIES/JP#4"</f>
        <v>OFFICE SUPPLIES/JP#4</v>
      </c>
      <c r="G597" s="5">
        <v>375</v>
      </c>
      <c r="H597" t="str">
        <f>"OFFICE SUPPLIES/JP#4"</f>
        <v>OFFICE SUPPLIES/JP#4</v>
      </c>
    </row>
    <row r="598" spans="1:8" x14ac:dyDescent="0.25">
      <c r="A598" t="s">
        <v>164</v>
      </c>
      <c r="B598">
        <v>136215</v>
      </c>
      <c r="C598" s="5">
        <v>270</v>
      </c>
      <c r="D598" s="3">
        <v>44389</v>
      </c>
      <c r="E598" t="str">
        <f>"9010703403"</f>
        <v>9010703403</v>
      </c>
      <c r="F598" t="str">
        <f>"ACCT#0001706994"</f>
        <v>ACCT#0001706994</v>
      </c>
      <c r="G598" s="5">
        <v>270</v>
      </c>
      <c r="H598" t="str">
        <f>"ACCT#0001706994"</f>
        <v>ACCT#0001706994</v>
      </c>
    </row>
    <row r="599" spans="1:8" x14ac:dyDescent="0.25">
      <c r="A599" t="s">
        <v>165</v>
      </c>
      <c r="B599">
        <v>136216</v>
      </c>
      <c r="C599" s="5">
        <v>100</v>
      </c>
      <c r="D599" s="3">
        <v>44389</v>
      </c>
      <c r="E599" t="str">
        <f>"13701"</f>
        <v>13701</v>
      </c>
      <c r="F599" t="str">
        <f>"SERVICE"</f>
        <v>SERVICE</v>
      </c>
      <c r="G599" s="5">
        <v>100</v>
      </c>
      <c r="H599" t="str">
        <f>"SERVICE"</f>
        <v>SERVICE</v>
      </c>
    </row>
    <row r="600" spans="1:8" x14ac:dyDescent="0.25">
      <c r="A600" t="s">
        <v>166</v>
      </c>
      <c r="B600">
        <v>136381</v>
      </c>
      <c r="C600" s="5">
        <v>2000</v>
      </c>
      <c r="D600" s="3">
        <v>44403</v>
      </c>
      <c r="E600" t="str">
        <f>"202107194621"</f>
        <v>202107194621</v>
      </c>
      <c r="F600" t="str">
        <f>"9953"</f>
        <v>9953</v>
      </c>
      <c r="G600" s="5">
        <v>2000</v>
      </c>
      <c r="H600" t="str">
        <f>"9953"</f>
        <v>9953</v>
      </c>
    </row>
    <row r="601" spans="1:8" x14ac:dyDescent="0.25">
      <c r="A601" t="s">
        <v>167</v>
      </c>
      <c r="B601">
        <v>4835</v>
      </c>
      <c r="C601" s="5">
        <v>650</v>
      </c>
      <c r="D601" s="3">
        <v>44404</v>
      </c>
      <c r="E601" t="str">
        <f>"202107204714"</f>
        <v>202107204714</v>
      </c>
      <c r="F601" t="str">
        <f>"BASCOM L HODGES JR"</f>
        <v>BASCOM L HODGES JR</v>
      </c>
      <c r="G601" s="5">
        <v>650</v>
      </c>
      <c r="H601" t="str">
        <f>""</f>
        <v/>
      </c>
    </row>
    <row r="602" spans="1:8" x14ac:dyDescent="0.25">
      <c r="A602" t="s">
        <v>168</v>
      </c>
      <c r="B602">
        <v>136217</v>
      </c>
      <c r="C602" s="5">
        <v>1175</v>
      </c>
      <c r="D602" s="3">
        <v>44389</v>
      </c>
      <c r="E602" t="str">
        <f>"202106294193"</f>
        <v>202106294193</v>
      </c>
      <c r="F602" t="str">
        <f>"21-20753"</f>
        <v>21-20753</v>
      </c>
      <c r="G602" s="5">
        <v>150</v>
      </c>
      <c r="H602" t="str">
        <f>"21-20753"</f>
        <v>21-20753</v>
      </c>
    </row>
    <row r="603" spans="1:8" x14ac:dyDescent="0.25">
      <c r="E603" t="str">
        <f>"202106294194"</f>
        <v>202106294194</v>
      </c>
      <c r="F603" t="str">
        <f>"20-20377"</f>
        <v>20-20377</v>
      </c>
      <c r="G603" s="5">
        <v>137.5</v>
      </c>
      <c r="H603" t="str">
        <f>"20-20377"</f>
        <v>20-20377</v>
      </c>
    </row>
    <row r="604" spans="1:8" x14ac:dyDescent="0.25">
      <c r="E604" t="str">
        <f>"202106294195"</f>
        <v>202106294195</v>
      </c>
      <c r="F604" t="str">
        <f>"21-20677"</f>
        <v>21-20677</v>
      </c>
      <c r="G604" s="5">
        <v>137.5</v>
      </c>
      <c r="H604" t="str">
        <f>"21-20677"</f>
        <v>21-20677</v>
      </c>
    </row>
    <row r="605" spans="1:8" x14ac:dyDescent="0.25">
      <c r="E605" t="str">
        <f>"202106294196"</f>
        <v>202106294196</v>
      </c>
      <c r="F605" t="str">
        <f>"21-20758"</f>
        <v>21-20758</v>
      </c>
      <c r="G605" s="5">
        <v>75</v>
      </c>
      <c r="H605" t="str">
        <f>"21-20758"</f>
        <v>21-20758</v>
      </c>
    </row>
    <row r="606" spans="1:8" x14ac:dyDescent="0.25">
      <c r="E606" t="str">
        <f>"202107064269"</f>
        <v>202107064269</v>
      </c>
      <c r="F606" t="str">
        <f>"57-517"</f>
        <v>57-517</v>
      </c>
      <c r="G606" s="5">
        <v>250</v>
      </c>
      <c r="H606" t="str">
        <f>"57-517"</f>
        <v>57-517</v>
      </c>
    </row>
    <row r="607" spans="1:8" x14ac:dyDescent="0.25">
      <c r="E607" t="str">
        <f>"202107064270"</f>
        <v>202107064270</v>
      </c>
      <c r="F607" t="str">
        <f>"20-20415"</f>
        <v>20-20415</v>
      </c>
      <c r="G607" s="5">
        <v>175</v>
      </c>
      <c r="H607" t="str">
        <f>"20-20415"</f>
        <v>20-20415</v>
      </c>
    </row>
    <row r="608" spans="1:8" x14ac:dyDescent="0.25">
      <c r="E608" t="str">
        <f>"202107064271"</f>
        <v>202107064271</v>
      </c>
      <c r="F608" t="str">
        <f>"55-231"</f>
        <v>55-231</v>
      </c>
      <c r="G608" s="5">
        <v>250</v>
      </c>
      <c r="H608" t="str">
        <f>"55-231"</f>
        <v>55-231</v>
      </c>
    </row>
    <row r="609" spans="1:8" x14ac:dyDescent="0.25">
      <c r="A609" t="s">
        <v>168</v>
      </c>
      <c r="B609">
        <v>136382</v>
      </c>
      <c r="C609" s="5">
        <v>285</v>
      </c>
      <c r="D609" s="3">
        <v>44403</v>
      </c>
      <c r="E609" t="str">
        <f>"202107154551"</f>
        <v>202107154551</v>
      </c>
      <c r="F609" t="str">
        <f>"21-20596"</f>
        <v>21-20596</v>
      </c>
      <c r="G609" s="5">
        <v>97.5</v>
      </c>
      <c r="H609" t="str">
        <f>"21-20596"</f>
        <v>21-20596</v>
      </c>
    </row>
    <row r="610" spans="1:8" x14ac:dyDescent="0.25">
      <c r="E610" t="str">
        <f>"202107194622"</f>
        <v>202107194622</v>
      </c>
      <c r="F610" t="str">
        <f>"21-20733"</f>
        <v>21-20733</v>
      </c>
      <c r="G610" s="5">
        <v>75</v>
      </c>
      <c r="H610" t="str">
        <f>"21-20733"</f>
        <v>21-20733</v>
      </c>
    </row>
    <row r="611" spans="1:8" x14ac:dyDescent="0.25">
      <c r="E611" t="str">
        <f>"202107194623"</f>
        <v>202107194623</v>
      </c>
      <c r="F611" t="str">
        <f>"21-20726"</f>
        <v>21-20726</v>
      </c>
      <c r="G611" s="5">
        <v>112.5</v>
      </c>
      <c r="H611" t="str">
        <f>"21-20726"</f>
        <v>21-20726</v>
      </c>
    </row>
    <row r="612" spans="1:8" x14ac:dyDescent="0.25">
      <c r="A612" t="s">
        <v>169</v>
      </c>
      <c r="B612">
        <v>4749</v>
      </c>
      <c r="C612" s="5">
        <v>1671.06</v>
      </c>
      <c r="D612" s="3">
        <v>44390</v>
      </c>
      <c r="E612" t="str">
        <f>"WIUMS0146434"</f>
        <v>WIUMS0146434</v>
      </c>
      <c r="F612" t="str">
        <f>"CUST#0129150"</f>
        <v>CUST#0129150</v>
      </c>
      <c r="G612" s="5">
        <v>625.53</v>
      </c>
      <c r="H612" t="str">
        <f>"CUST#0129150"</f>
        <v>CUST#0129150</v>
      </c>
    </row>
    <row r="613" spans="1:8" x14ac:dyDescent="0.25">
      <c r="E613" t="str">
        <f>"WIUS0146433"</f>
        <v>WIUS0146433</v>
      </c>
      <c r="F613" t="str">
        <f>"CUST#0129150/PCT#3"</f>
        <v>CUST#0129150/PCT#3</v>
      </c>
      <c r="G613" s="5">
        <v>1045.53</v>
      </c>
      <c r="H613" t="str">
        <f>"CUST#0129150/PCT#3"</f>
        <v>CUST#0129150/PCT#3</v>
      </c>
    </row>
    <row r="614" spans="1:8" x14ac:dyDescent="0.25">
      <c r="A614" t="s">
        <v>169</v>
      </c>
      <c r="B614">
        <v>4834</v>
      </c>
      <c r="C614" s="5">
        <v>368.85</v>
      </c>
      <c r="D614" s="3">
        <v>44404</v>
      </c>
      <c r="E614" t="str">
        <f>"PIMA0358220"</f>
        <v>PIMA0358220</v>
      </c>
      <c r="F614" t="str">
        <f>"CUST#0129150/PCT#3"</f>
        <v>CUST#0129150/PCT#3</v>
      </c>
      <c r="G614" s="5">
        <v>368.85</v>
      </c>
      <c r="H614" t="str">
        <f>"CUST#0129150/PCT#3"</f>
        <v>CUST#0129150/PCT#3</v>
      </c>
    </row>
    <row r="615" spans="1:8" x14ac:dyDescent="0.25">
      <c r="A615" t="s">
        <v>170</v>
      </c>
      <c r="B615">
        <v>136383</v>
      </c>
      <c r="C615" s="5">
        <v>1592.85</v>
      </c>
      <c r="D615" s="3">
        <v>44403</v>
      </c>
      <c r="E615" t="str">
        <f>"202107204707"</f>
        <v>202107204707</v>
      </c>
      <c r="F615" t="str">
        <f>"Statment"</f>
        <v>Statment</v>
      </c>
      <c r="G615" s="5">
        <v>1592.85</v>
      </c>
      <c r="H615" t="str">
        <f>"7025232"</f>
        <v>7025232</v>
      </c>
    </row>
    <row r="616" spans="1:8" x14ac:dyDescent="0.25">
      <c r="E616" t="str">
        <f>""</f>
        <v/>
      </c>
      <c r="F616" t="str">
        <f>""</f>
        <v/>
      </c>
      <c r="H616" t="str">
        <f>"7091236"</f>
        <v>7091236</v>
      </c>
    </row>
    <row r="617" spans="1:8" x14ac:dyDescent="0.25">
      <c r="E617" t="str">
        <f>""</f>
        <v/>
      </c>
      <c r="F617" t="str">
        <f>""</f>
        <v/>
      </c>
      <c r="H617" t="str">
        <f>"5014609"</f>
        <v>5014609</v>
      </c>
    </row>
    <row r="618" spans="1:8" x14ac:dyDescent="0.25">
      <c r="E618" t="str">
        <f>""</f>
        <v/>
      </c>
      <c r="F618" t="str">
        <f>""</f>
        <v/>
      </c>
      <c r="H618" t="str">
        <f>"7151200"</f>
        <v>7151200</v>
      </c>
    </row>
    <row r="619" spans="1:8" x14ac:dyDescent="0.25">
      <c r="E619" t="str">
        <f>""</f>
        <v/>
      </c>
      <c r="F619" t="str">
        <f>""</f>
        <v/>
      </c>
      <c r="H619" t="str">
        <f>"6140077"</f>
        <v>6140077</v>
      </c>
    </row>
    <row r="620" spans="1:8" x14ac:dyDescent="0.25">
      <c r="E620" t="str">
        <f>""</f>
        <v/>
      </c>
      <c r="F620" t="str">
        <f>""</f>
        <v/>
      </c>
      <c r="H620" t="str">
        <f>"9025043"</f>
        <v>9025043</v>
      </c>
    </row>
    <row r="621" spans="1:8" x14ac:dyDescent="0.25">
      <c r="E621" t="str">
        <f>""</f>
        <v/>
      </c>
      <c r="F621" t="str">
        <f>""</f>
        <v/>
      </c>
      <c r="H621" t="str">
        <f>"5014609"</f>
        <v>5014609</v>
      </c>
    </row>
    <row r="622" spans="1:8" x14ac:dyDescent="0.25">
      <c r="E622" t="str">
        <f>""</f>
        <v/>
      </c>
      <c r="F622" t="str">
        <f>""</f>
        <v/>
      </c>
      <c r="H622" t="str">
        <f>"5014609"</f>
        <v>5014609</v>
      </c>
    </row>
    <row r="623" spans="1:8" x14ac:dyDescent="0.25">
      <c r="E623" t="str">
        <f>""</f>
        <v/>
      </c>
      <c r="F623" t="str">
        <f>""</f>
        <v/>
      </c>
      <c r="H623" t="str">
        <f>"9521268"</f>
        <v>9521268</v>
      </c>
    </row>
    <row r="624" spans="1:8" x14ac:dyDescent="0.25">
      <c r="E624" t="str">
        <f>""</f>
        <v/>
      </c>
      <c r="F624" t="str">
        <f>""</f>
        <v/>
      </c>
      <c r="H624" t="str">
        <f>"2033670"</f>
        <v>2033670</v>
      </c>
    </row>
    <row r="625" spans="1:8" x14ac:dyDescent="0.25">
      <c r="E625" t="str">
        <f>""</f>
        <v/>
      </c>
      <c r="F625" t="str">
        <f>""</f>
        <v/>
      </c>
      <c r="H625" t="str">
        <f>"6024319"</f>
        <v>6024319</v>
      </c>
    </row>
    <row r="626" spans="1:8" x14ac:dyDescent="0.25">
      <c r="E626" t="str">
        <f>""</f>
        <v/>
      </c>
      <c r="F626" t="str">
        <f>""</f>
        <v/>
      </c>
      <c r="H626" t="str">
        <f>"4524322"</f>
        <v>4524322</v>
      </c>
    </row>
    <row r="627" spans="1:8" x14ac:dyDescent="0.25">
      <c r="E627" t="str">
        <f>""</f>
        <v/>
      </c>
      <c r="F627" t="str">
        <f>""</f>
        <v/>
      </c>
      <c r="H627" t="str">
        <f>"6513005"</f>
        <v>6513005</v>
      </c>
    </row>
    <row r="628" spans="1:8" x14ac:dyDescent="0.25">
      <c r="A628" t="s">
        <v>171</v>
      </c>
      <c r="B628">
        <v>4742</v>
      </c>
      <c r="C628" s="5">
        <v>305</v>
      </c>
      <c r="D628" s="3">
        <v>44390</v>
      </c>
      <c r="E628" t="str">
        <f>"0552169152"</f>
        <v>0552169152</v>
      </c>
      <c r="F628" t="str">
        <f>"CUST#212645/COOL WATER"</f>
        <v>CUST#212645/COOL WATER</v>
      </c>
      <c r="G628" s="5">
        <v>90</v>
      </c>
      <c r="H628" t="str">
        <f>"CUST#212645/COOL WATER"</f>
        <v>CUST#212645/COOL WATER</v>
      </c>
    </row>
    <row r="629" spans="1:8" x14ac:dyDescent="0.25">
      <c r="E629" t="str">
        <f>"0552171639"</f>
        <v>0552171639</v>
      </c>
      <c r="F629" t="str">
        <f>"CUST#212645/BOAT LAUNCH"</f>
        <v>CUST#212645/BOAT LAUNCH</v>
      </c>
      <c r="G629" s="5">
        <v>215</v>
      </c>
      <c r="H629" t="str">
        <f>"CUST#212645/BOAT LAUNCH"</f>
        <v>CUST#212645/BOAT LAUNCH</v>
      </c>
    </row>
    <row r="630" spans="1:8" x14ac:dyDescent="0.25">
      <c r="A630" t="s">
        <v>172</v>
      </c>
      <c r="B630">
        <v>4739</v>
      </c>
      <c r="C630" s="5">
        <v>425</v>
      </c>
      <c r="D630" s="3">
        <v>44390</v>
      </c>
      <c r="E630" t="str">
        <f>"BCAS_06012021"</f>
        <v>BCAS_06012021</v>
      </c>
      <c r="F630" t="str">
        <f>"SHELTERLUV/GREGORY LUCAS"</f>
        <v>SHELTERLUV/GREGORY LUCAS</v>
      </c>
      <c r="G630" s="5">
        <v>425</v>
      </c>
      <c r="H630" t="str">
        <f>"SHELTERLUV/GREGORY LUCAS"</f>
        <v>SHELTERLUV/GREGORY LUCAS</v>
      </c>
    </row>
    <row r="631" spans="1:8" x14ac:dyDescent="0.25">
      <c r="A631" t="s">
        <v>173</v>
      </c>
      <c r="B631">
        <v>136384</v>
      </c>
      <c r="C631" s="5">
        <v>74.66</v>
      </c>
      <c r="D631" s="3">
        <v>44403</v>
      </c>
      <c r="E631" t="str">
        <f>"572566"</f>
        <v>572566</v>
      </c>
      <c r="F631" t="str">
        <f>"SUPPLIES/GENERAL SVCS"</f>
        <v>SUPPLIES/GENERAL SVCS</v>
      </c>
      <c r="G631" s="5">
        <v>74.66</v>
      </c>
      <c r="H631" t="str">
        <f>"SUPPLIES/GENERAL SVCS"</f>
        <v>SUPPLIES/GENERAL SVCS</v>
      </c>
    </row>
    <row r="632" spans="1:8" x14ac:dyDescent="0.25">
      <c r="A632" t="s">
        <v>174</v>
      </c>
      <c r="B632">
        <v>4718</v>
      </c>
      <c r="C632" s="5">
        <v>262.19</v>
      </c>
      <c r="D632" s="3">
        <v>44390</v>
      </c>
      <c r="E632" t="str">
        <f>"207266"</f>
        <v>207266</v>
      </c>
      <c r="F632" t="str">
        <f>"HIGH PRESSURE HOSE/PCT#3"</f>
        <v>HIGH PRESSURE HOSE/PCT#3</v>
      </c>
      <c r="G632" s="5">
        <v>214.18</v>
      </c>
      <c r="H632" t="str">
        <f>"HIGH PRESSURE HOSE/PCT#3"</f>
        <v>HIGH PRESSURE HOSE/PCT#3</v>
      </c>
    </row>
    <row r="633" spans="1:8" x14ac:dyDescent="0.25">
      <c r="E633" t="str">
        <f>"207272"</f>
        <v>207272</v>
      </c>
      <c r="F633" t="str">
        <f>"OEM/WILDFIRE"</f>
        <v>OEM/WILDFIRE</v>
      </c>
      <c r="G633" s="5">
        <v>48.01</v>
      </c>
      <c r="H633" t="str">
        <f>"OEM/WILDFIRE"</f>
        <v>OEM/WILDFIRE</v>
      </c>
    </row>
    <row r="634" spans="1:8" x14ac:dyDescent="0.25">
      <c r="A634" t="s">
        <v>174</v>
      </c>
      <c r="B634">
        <v>4798</v>
      </c>
      <c r="C634" s="5">
        <v>281.98</v>
      </c>
      <c r="D634" s="3">
        <v>44404</v>
      </c>
      <c r="E634" t="str">
        <f>"207386"</f>
        <v>207386</v>
      </c>
      <c r="F634" t="str">
        <f>"SUPPLIES/PCT#3"</f>
        <v>SUPPLIES/PCT#3</v>
      </c>
      <c r="G634" s="5">
        <v>281.98</v>
      </c>
      <c r="H634" t="str">
        <f>"SUPPLIES/PCT#3"</f>
        <v>SUPPLIES/PCT#3</v>
      </c>
    </row>
    <row r="635" spans="1:8" x14ac:dyDescent="0.25">
      <c r="A635" t="s">
        <v>175</v>
      </c>
      <c r="B635">
        <v>136218</v>
      </c>
      <c r="C635" s="5">
        <v>156</v>
      </c>
      <c r="D635" s="3">
        <v>44389</v>
      </c>
      <c r="E635" t="str">
        <f>"202107074398"</f>
        <v>202107074398</v>
      </c>
      <c r="F635" t="str">
        <f>"PETER SMART/HYDROCAD/PCT#2"</f>
        <v>PETER SMART/HYDROCAD/PCT#2</v>
      </c>
      <c r="G635" s="5">
        <v>156</v>
      </c>
      <c r="H635" t="str">
        <f>"PETER SMART/HYDROCAD/PCT#2"</f>
        <v>PETER SMART/HYDROCAD/PCT#2</v>
      </c>
    </row>
    <row r="636" spans="1:8" x14ac:dyDescent="0.25">
      <c r="A636" t="s">
        <v>176</v>
      </c>
      <c r="B636">
        <v>136385</v>
      </c>
      <c r="C636" s="5">
        <v>468.16</v>
      </c>
      <c r="D636" s="3">
        <v>44403</v>
      </c>
      <c r="E636" t="str">
        <f>"202107204700"</f>
        <v>202107204700</v>
      </c>
      <c r="F636" t="str">
        <f>"INDIGENT HEALTH"</f>
        <v>INDIGENT HEALTH</v>
      </c>
      <c r="G636" s="5">
        <v>54.41</v>
      </c>
      <c r="H636" t="str">
        <f>"INDIGENT HEALTH"</f>
        <v>INDIGENT HEALTH</v>
      </c>
    </row>
    <row r="637" spans="1:8" x14ac:dyDescent="0.25">
      <c r="E637" t="str">
        <f>"202107214739"</f>
        <v>202107214739</v>
      </c>
      <c r="F637" t="str">
        <f>"JAIL MEDICAL"</f>
        <v>JAIL MEDICAL</v>
      </c>
      <c r="G637" s="5">
        <v>413.75</v>
      </c>
      <c r="H637" t="str">
        <f>"JAIL MEDICAL"</f>
        <v>JAIL MEDICAL</v>
      </c>
    </row>
    <row r="638" spans="1:8" x14ac:dyDescent="0.25">
      <c r="A638" t="s">
        <v>177</v>
      </c>
      <c r="B638">
        <v>4699</v>
      </c>
      <c r="C638" s="5">
        <v>1696.2</v>
      </c>
      <c r="D638" s="3">
        <v>44390</v>
      </c>
      <c r="E638" t="str">
        <f>"E4574700"</f>
        <v>E4574700</v>
      </c>
      <c r="F638" t="str">
        <f>"INV W4574700"</f>
        <v>INV W4574700</v>
      </c>
      <c r="G638" s="5">
        <v>1507.2</v>
      </c>
      <c r="H638" t="str">
        <f>"INV W4574700"</f>
        <v>INV W4574700</v>
      </c>
    </row>
    <row r="639" spans="1:8" x14ac:dyDescent="0.25">
      <c r="E639" t="str">
        <f>"W4575000"</f>
        <v>W4575000</v>
      </c>
      <c r="F639" t="str">
        <f>"INV W4575000"</f>
        <v>INV W4575000</v>
      </c>
      <c r="G639" s="5">
        <v>189</v>
      </c>
      <c r="H639" t="str">
        <f>"INV W4575000"</f>
        <v>INV W4575000</v>
      </c>
    </row>
    <row r="640" spans="1:8" x14ac:dyDescent="0.25">
      <c r="A640" t="s">
        <v>178</v>
      </c>
      <c r="B640">
        <v>136386</v>
      </c>
      <c r="C640" s="5">
        <v>204</v>
      </c>
      <c r="D640" s="3">
        <v>44403</v>
      </c>
      <c r="E640" t="str">
        <f>"202107204683"</f>
        <v>202107204683</v>
      </c>
      <c r="F640" t="str">
        <f>"ACCT#187947/ANIMAL SHELTER"</f>
        <v>ACCT#187947/ANIMAL SHELTER</v>
      </c>
      <c r="G640" s="5">
        <v>204</v>
      </c>
      <c r="H640" t="str">
        <f>"ACCT#187947/ANIMAL SHELTER"</f>
        <v>ACCT#187947/ANIMAL SHELTER</v>
      </c>
    </row>
    <row r="641" spans="1:8" x14ac:dyDescent="0.25">
      <c r="A641" t="s">
        <v>179</v>
      </c>
      <c r="B641">
        <v>4755</v>
      </c>
      <c r="C641" s="5">
        <v>2430</v>
      </c>
      <c r="D641" s="3">
        <v>44390</v>
      </c>
      <c r="E641" t="str">
        <f>"71972"</f>
        <v>71972</v>
      </c>
      <c r="F641" t="str">
        <f>"PROFESSIONAL SVCS AUGUST 2021"</f>
        <v>PROFESSIONAL SVCS AUGUST 2021</v>
      </c>
      <c r="G641" s="5">
        <v>2430</v>
      </c>
      <c r="H641" t="str">
        <f>"PROFESSIONAL SVCS AUGUST 2021"</f>
        <v>PROFESSIONAL SVCS AUGUST 2021</v>
      </c>
    </row>
    <row r="642" spans="1:8" x14ac:dyDescent="0.25">
      <c r="E642" t="str">
        <f>""</f>
        <v/>
      </c>
      <c r="F642" t="str">
        <f>""</f>
        <v/>
      </c>
      <c r="H642" t="str">
        <f>"PROFESSIONAL SVCS AUGUST 2021"</f>
        <v>PROFESSIONAL SVCS AUGUST 2021</v>
      </c>
    </row>
    <row r="643" spans="1:8" x14ac:dyDescent="0.25">
      <c r="A643" t="s">
        <v>180</v>
      </c>
      <c r="B643">
        <v>136219</v>
      </c>
      <c r="C643" s="5">
        <v>171.04</v>
      </c>
      <c r="D643" s="3">
        <v>44389</v>
      </c>
      <c r="E643" t="str">
        <f>"DSJX321"</f>
        <v>DSJX321</v>
      </c>
      <c r="F643" t="str">
        <f>"CUST#AX773/COUNTY CLERK"</f>
        <v>CUST#AX773/COUNTY CLERK</v>
      </c>
      <c r="G643" s="5">
        <v>171.04</v>
      </c>
      <c r="H643" t="str">
        <f>"CUST#AX773/COUNTY CLERK"</f>
        <v>CUST#AX773/COUNTY CLERK</v>
      </c>
    </row>
    <row r="644" spans="1:8" x14ac:dyDescent="0.25">
      <c r="A644" t="s">
        <v>181</v>
      </c>
      <c r="B644">
        <v>136387</v>
      </c>
      <c r="C644" s="5">
        <v>316.58</v>
      </c>
      <c r="D644" s="3">
        <v>44403</v>
      </c>
      <c r="E644" t="str">
        <f>"202107204726"</f>
        <v>202107204726</v>
      </c>
      <c r="F644" t="str">
        <f>"LODGING"</f>
        <v>LODGING</v>
      </c>
      <c r="G644" s="5">
        <v>316.58</v>
      </c>
      <c r="H644" t="str">
        <f>"LODGING"</f>
        <v>LODGING</v>
      </c>
    </row>
    <row r="645" spans="1:8" x14ac:dyDescent="0.25">
      <c r="A645" t="s">
        <v>182</v>
      </c>
      <c r="B645">
        <v>136388</v>
      </c>
      <c r="C645" s="5">
        <v>10</v>
      </c>
      <c r="D645" s="3">
        <v>44403</v>
      </c>
      <c r="E645" t="str">
        <f>"8-941"</f>
        <v>8-941</v>
      </c>
      <c r="F645" t="str">
        <f>"RESTITUTION/ JAMIE WINGWOOD"</f>
        <v>RESTITUTION/ JAMIE WINGWOOD</v>
      </c>
      <c r="G645" s="5">
        <v>10</v>
      </c>
      <c r="H645" t="str">
        <f>"RESTITUTION/ JAMIE WINGWOOD"</f>
        <v>RESTITUTION/ JAMIE WINGWOOD</v>
      </c>
    </row>
    <row r="646" spans="1:8" x14ac:dyDescent="0.25">
      <c r="A646" t="s">
        <v>183</v>
      </c>
      <c r="B646">
        <v>4698</v>
      </c>
      <c r="C646" s="5">
        <v>1938.12</v>
      </c>
      <c r="D646" s="3">
        <v>44384</v>
      </c>
      <c r="E646" t="str">
        <f>"22664"</f>
        <v>22664</v>
      </c>
      <c r="F646" t="str">
        <f>"JACO INDUSTRIAL SUPPLY  INC"</f>
        <v>JACO INDUSTRIAL SUPPLY  INC</v>
      </c>
      <c r="G646" s="5">
        <v>1938.12</v>
      </c>
      <c r="H646" t="str">
        <f>"Citra"</f>
        <v>Citra</v>
      </c>
    </row>
    <row r="647" spans="1:8" x14ac:dyDescent="0.25">
      <c r="E647" t="str">
        <f>""</f>
        <v/>
      </c>
      <c r="F647" t="str">
        <f>""</f>
        <v/>
      </c>
      <c r="H647" t="str">
        <f>"Shipping"</f>
        <v>Shipping</v>
      </c>
    </row>
    <row r="648" spans="1:8" x14ac:dyDescent="0.25">
      <c r="A648" t="s">
        <v>184</v>
      </c>
      <c r="B648">
        <v>136389</v>
      </c>
      <c r="C648" s="5">
        <v>135</v>
      </c>
      <c r="D648" s="3">
        <v>44403</v>
      </c>
      <c r="E648" t="str">
        <f>"202107204720"</f>
        <v>202107204720</v>
      </c>
      <c r="F648" t="str">
        <f>"PER DIEM"</f>
        <v>PER DIEM</v>
      </c>
      <c r="G648" s="5">
        <v>135</v>
      </c>
      <c r="H648" t="str">
        <f>"PER DIEM"</f>
        <v>PER DIEM</v>
      </c>
    </row>
    <row r="649" spans="1:8" x14ac:dyDescent="0.25">
      <c r="A649" t="s">
        <v>185</v>
      </c>
      <c r="B649">
        <v>136390</v>
      </c>
      <c r="C649" s="5">
        <v>97</v>
      </c>
      <c r="D649" s="3">
        <v>44403</v>
      </c>
      <c r="E649" t="str">
        <f>"202107154547"</f>
        <v>202107154547</v>
      </c>
      <c r="F649" t="str">
        <f>"REIMBURSE/JAY VOIGT"</f>
        <v>REIMBURSE/JAY VOIGT</v>
      </c>
      <c r="G649" s="5">
        <v>97</v>
      </c>
      <c r="H649" t="str">
        <f>"REIMBURSE/JAY VOIGT"</f>
        <v>REIMBURSE/JAY VOIGT</v>
      </c>
    </row>
    <row r="650" spans="1:8" x14ac:dyDescent="0.25">
      <c r="A650" t="s">
        <v>186</v>
      </c>
      <c r="B650">
        <v>136220</v>
      </c>
      <c r="C650" s="5">
        <v>73</v>
      </c>
      <c r="D650" s="3">
        <v>44389</v>
      </c>
      <c r="E650" t="str">
        <f>"202107064353"</f>
        <v>202107064353</v>
      </c>
      <c r="F650" t="str">
        <f>"REIMBURSE/JAYCEE DAWSON"</f>
        <v>REIMBURSE/JAYCEE DAWSON</v>
      </c>
      <c r="G650" s="5">
        <v>73</v>
      </c>
      <c r="H650" t="str">
        <f>"REIMBURSE/JAYCEE DAWSON"</f>
        <v>REIMBURSE/JAYCEE DAWSON</v>
      </c>
    </row>
    <row r="651" spans="1:8" x14ac:dyDescent="0.25">
      <c r="A651" t="s">
        <v>187</v>
      </c>
      <c r="B651">
        <v>4767</v>
      </c>
      <c r="C651" s="5">
        <v>1050</v>
      </c>
      <c r="D651" s="3">
        <v>44390</v>
      </c>
      <c r="E651" t="str">
        <f>"12389"</f>
        <v>12389</v>
      </c>
      <c r="F651" t="str">
        <f>"AD LITEM"</f>
        <v>AD LITEM</v>
      </c>
      <c r="G651" s="5">
        <v>150</v>
      </c>
      <c r="H651" t="str">
        <f>"AD LITEM"</f>
        <v>AD LITEM</v>
      </c>
    </row>
    <row r="652" spans="1:8" x14ac:dyDescent="0.25">
      <c r="E652" t="str">
        <f>"13357"</f>
        <v>13357</v>
      </c>
      <c r="F652" t="str">
        <f>"AD LITEM FEE"</f>
        <v>AD LITEM FEE</v>
      </c>
      <c r="G652" s="5">
        <v>150</v>
      </c>
      <c r="H652" t="str">
        <f>"AD LITEM FEE"</f>
        <v>AD LITEM FEE</v>
      </c>
    </row>
    <row r="653" spans="1:8" x14ac:dyDescent="0.25">
      <c r="E653" t="str">
        <f>"202107064274"</f>
        <v>202107064274</v>
      </c>
      <c r="F653" t="str">
        <f>"JP-101082021B"</f>
        <v>JP-101082021B</v>
      </c>
      <c r="G653" s="5">
        <v>250</v>
      </c>
      <c r="H653" t="str">
        <f>"JP-101082021B"</f>
        <v>JP-101082021B</v>
      </c>
    </row>
    <row r="654" spans="1:8" x14ac:dyDescent="0.25">
      <c r="E654" t="str">
        <f>"202107064275"</f>
        <v>202107064275</v>
      </c>
      <c r="F654" t="str">
        <f>"CC20210312-A"</f>
        <v>CC20210312-A</v>
      </c>
      <c r="G654" s="5">
        <v>250</v>
      </c>
      <c r="H654" t="str">
        <f>"CC20210312-A"</f>
        <v>CC20210312-A</v>
      </c>
    </row>
    <row r="655" spans="1:8" x14ac:dyDescent="0.25">
      <c r="E655" t="str">
        <f>"202107064276"</f>
        <v>202107064276</v>
      </c>
      <c r="F655" t="str">
        <f>"56 224"</f>
        <v>56 224</v>
      </c>
      <c r="G655" s="5">
        <v>250</v>
      </c>
      <c r="H655" t="str">
        <f>"56 224"</f>
        <v>56 224</v>
      </c>
    </row>
    <row r="656" spans="1:8" x14ac:dyDescent="0.25">
      <c r="A656" t="s">
        <v>187</v>
      </c>
      <c r="B656">
        <v>4850</v>
      </c>
      <c r="C656" s="5">
        <v>1475</v>
      </c>
      <c r="D656" s="3">
        <v>44404</v>
      </c>
      <c r="E656" t="str">
        <f>"12383"</f>
        <v>12383</v>
      </c>
      <c r="F656" t="str">
        <f>"AD LITEM FEE"</f>
        <v>AD LITEM FEE</v>
      </c>
      <c r="G656" s="5">
        <v>150</v>
      </c>
      <c r="H656" t="str">
        <f>"AD LITEM FEE"</f>
        <v>AD LITEM FEE</v>
      </c>
    </row>
    <row r="657" spans="1:8" x14ac:dyDescent="0.25">
      <c r="E657" t="str">
        <f>"12738"</f>
        <v>12738</v>
      </c>
      <c r="F657" t="str">
        <f>"AD LITEM FEE"</f>
        <v>AD LITEM FEE</v>
      </c>
      <c r="G657" s="5">
        <v>150</v>
      </c>
      <c r="H657" t="str">
        <f>"AD LITEM FEE"</f>
        <v>AD LITEM FEE</v>
      </c>
    </row>
    <row r="658" spans="1:8" x14ac:dyDescent="0.25">
      <c r="E658" t="str">
        <f>"12917"</f>
        <v>12917</v>
      </c>
      <c r="F658" t="str">
        <f>"AD LITEM FEE"</f>
        <v>AD LITEM FEE</v>
      </c>
      <c r="G658" s="5">
        <v>150</v>
      </c>
      <c r="H658" t="str">
        <f>"AD LITEM FEE"</f>
        <v>AD LITEM FEE</v>
      </c>
    </row>
    <row r="659" spans="1:8" x14ac:dyDescent="0.25">
      <c r="E659" t="str">
        <f>"12926"</f>
        <v>12926</v>
      </c>
      <c r="F659" t="str">
        <f>"SERVICE"</f>
        <v>SERVICE</v>
      </c>
      <c r="G659" s="5">
        <v>150</v>
      </c>
      <c r="H659" t="str">
        <f>"SERVICE"</f>
        <v>SERVICE</v>
      </c>
    </row>
    <row r="660" spans="1:8" x14ac:dyDescent="0.25">
      <c r="E660" t="str">
        <f>"13032"</f>
        <v>13032</v>
      </c>
      <c r="F660" t="str">
        <f>"13032"</f>
        <v>13032</v>
      </c>
      <c r="G660" s="5">
        <v>150</v>
      </c>
      <c r="H660" t="str">
        <f>"13032"</f>
        <v>13032</v>
      </c>
    </row>
    <row r="661" spans="1:8" x14ac:dyDescent="0.25">
      <c r="E661" t="str">
        <f>"13102"</f>
        <v>13102</v>
      </c>
      <c r="F661" t="str">
        <f>"AD LITEM FEE"</f>
        <v>AD LITEM FEE</v>
      </c>
      <c r="G661" s="5">
        <v>150</v>
      </c>
      <c r="H661" t="str">
        <f>"AD LITEM FEE"</f>
        <v>AD LITEM FEE</v>
      </c>
    </row>
    <row r="662" spans="1:8" x14ac:dyDescent="0.25">
      <c r="E662" t="str">
        <f>"13169"</f>
        <v>13169</v>
      </c>
      <c r="F662" t="str">
        <f>"AD LITEM FEE / PARTIAL AMT"</f>
        <v>AD LITEM FEE / PARTIAL AMT</v>
      </c>
      <c r="G662" s="5">
        <v>75</v>
      </c>
      <c r="H662" t="str">
        <f>"AD LITEM FEE / PARTIAL AMT"</f>
        <v>AD LITEM FEE / PARTIAL AMT</v>
      </c>
    </row>
    <row r="663" spans="1:8" x14ac:dyDescent="0.25">
      <c r="E663" t="str">
        <f>"13305"</f>
        <v>13305</v>
      </c>
      <c r="F663" t="str">
        <f>"AD LITEM FEE"</f>
        <v>AD LITEM FEE</v>
      </c>
      <c r="G663" s="5">
        <v>150</v>
      </c>
      <c r="H663" t="str">
        <f>"AD LITEM FEE"</f>
        <v>AD LITEM FEE</v>
      </c>
    </row>
    <row r="664" spans="1:8" x14ac:dyDescent="0.25">
      <c r="E664" t="str">
        <f>"202107204663"</f>
        <v>202107204663</v>
      </c>
      <c r="F664" t="str">
        <f>"19-19889"</f>
        <v>19-19889</v>
      </c>
      <c r="G664" s="5">
        <v>100</v>
      </c>
      <c r="H664" t="str">
        <f>"19-19889"</f>
        <v>19-19889</v>
      </c>
    </row>
    <row r="665" spans="1:8" x14ac:dyDescent="0.25">
      <c r="E665" t="str">
        <f>"202107204664"</f>
        <v>202107204664</v>
      </c>
      <c r="F665" t="str">
        <f>"BC20210212C"</f>
        <v>BC20210212C</v>
      </c>
      <c r="G665" s="5">
        <v>250</v>
      </c>
      <c r="H665" t="str">
        <f>"BC20210212C"</f>
        <v>BC20210212C</v>
      </c>
    </row>
    <row r="666" spans="1:8" x14ac:dyDescent="0.25">
      <c r="A666" t="s">
        <v>188</v>
      </c>
      <c r="B666">
        <v>136221</v>
      </c>
      <c r="C666" s="5">
        <v>7800</v>
      </c>
      <c r="D666" s="3">
        <v>44389</v>
      </c>
      <c r="E666" t="str">
        <f>"202107074384"</f>
        <v>202107074384</v>
      </c>
      <c r="F666" t="str">
        <f>"FORENSIC REPORT"</f>
        <v>FORENSIC REPORT</v>
      </c>
      <c r="G666" s="5">
        <v>3900</v>
      </c>
      <c r="H666" t="str">
        <f>"FORENSIC REPORT"</f>
        <v>FORENSIC REPORT</v>
      </c>
    </row>
    <row r="667" spans="1:8" x14ac:dyDescent="0.25">
      <c r="E667" t="str">
        <f>"202107074385"</f>
        <v>202107074385</v>
      </c>
      <c r="F667" t="str">
        <f>"EVALUATION"</f>
        <v>EVALUATION</v>
      </c>
      <c r="G667" s="5">
        <v>3900</v>
      </c>
      <c r="H667" t="str">
        <f>"EVALUATION"</f>
        <v>EVALUATION</v>
      </c>
    </row>
    <row r="668" spans="1:8" x14ac:dyDescent="0.25">
      <c r="A668" t="s">
        <v>189</v>
      </c>
      <c r="B668">
        <v>136391</v>
      </c>
      <c r="C668" s="5">
        <v>192.5</v>
      </c>
      <c r="D668" s="3">
        <v>44403</v>
      </c>
      <c r="E668" t="str">
        <f>"13-163"</f>
        <v>13-163</v>
      </c>
      <c r="F668" t="str">
        <f>"RESTITUTION/MARCUS MANZANA"</f>
        <v>RESTITUTION/MARCUS MANZANA</v>
      </c>
      <c r="G668" s="5">
        <v>167.5</v>
      </c>
      <c r="H668" t="str">
        <f>"RESTITUTION/MARCUS MANZANA"</f>
        <v>RESTITUTION/MARCUS MANZANA</v>
      </c>
    </row>
    <row r="669" spans="1:8" x14ac:dyDescent="0.25">
      <c r="E669" t="str">
        <f>"13-163 6-28-2021"</f>
        <v>13-163 6-28-2021</v>
      </c>
      <c r="F669" t="str">
        <f>"RESTITUTION/MARCUS MANZANARA"</f>
        <v>RESTITUTION/MARCUS MANZANARA</v>
      </c>
      <c r="G669" s="5">
        <v>25</v>
      </c>
      <c r="H669" t="str">
        <f>"RESTITUTION/MARCUS MANZANARA"</f>
        <v>RESTITUTION/MARCUS MANZANARA</v>
      </c>
    </row>
    <row r="670" spans="1:8" x14ac:dyDescent="0.25">
      <c r="A670" t="s">
        <v>190</v>
      </c>
      <c r="B670">
        <v>4709</v>
      </c>
      <c r="C670" s="5">
        <v>400</v>
      </c>
      <c r="D670" s="3">
        <v>44390</v>
      </c>
      <c r="E670" t="str">
        <f>"2106"</f>
        <v>2106</v>
      </c>
      <c r="F670" t="str">
        <f>"MOWING/BILLY JOSHUA GILL"</f>
        <v>MOWING/BILLY JOSHUA GILL</v>
      </c>
      <c r="G670" s="5">
        <v>400</v>
      </c>
      <c r="H670" t="str">
        <f>"MOWING/BILLY JOSHUA GILL"</f>
        <v>MOWING/BILLY JOSHUA GILL</v>
      </c>
    </row>
    <row r="671" spans="1:8" x14ac:dyDescent="0.25">
      <c r="A671" t="s">
        <v>191</v>
      </c>
      <c r="B671">
        <v>4762</v>
      </c>
      <c r="C671" s="5">
        <v>1400</v>
      </c>
      <c r="D671" s="3">
        <v>44390</v>
      </c>
      <c r="E671" t="str">
        <f>"202106294182"</f>
        <v>202106294182</v>
      </c>
      <c r="F671" t="str">
        <f>"16975"</f>
        <v>16975</v>
      </c>
      <c r="G671" s="5">
        <v>1000</v>
      </c>
      <c r="H671" t="str">
        <f>"16975"</f>
        <v>16975</v>
      </c>
    </row>
    <row r="672" spans="1:8" x14ac:dyDescent="0.25">
      <c r="E672" t="str">
        <f>"202106294203"</f>
        <v>202106294203</v>
      </c>
      <c r="F672" t="str">
        <f>"BC-20190205D"</f>
        <v>BC-20190205D</v>
      </c>
      <c r="G672" s="5">
        <v>400</v>
      </c>
      <c r="H672" t="str">
        <f>"BC-20190205D"</f>
        <v>BC-20190205D</v>
      </c>
    </row>
    <row r="673" spans="1:8" x14ac:dyDescent="0.25">
      <c r="A673" t="s">
        <v>191</v>
      </c>
      <c r="B673">
        <v>4845</v>
      </c>
      <c r="C673" s="5">
        <v>850</v>
      </c>
      <c r="D673" s="3">
        <v>44404</v>
      </c>
      <c r="E673" t="str">
        <f>"202107194624"</f>
        <v>202107194624</v>
      </c>
      <c r="F673" t="str">
        <f>"56-943"</f>
        <v>56-943</v>
      </c>
      <c r="G673" s="5">
        <v>250</v>
      </c>
      <c r="H673" t="str">
        <f>"56-943"</f>
        <v>56-943</v>
      </c>
    </row>
    <row r="674" spans="1:8" x14ac:dyDescent="0.25">
      <c r="E674" t="str">
        <f>"202107194625"</f>
        <v>202107194625</v>
      </c>
      <c r="F674" t="str">
        <f>"JPZ02-0924.2"</f>
        <v>JPZ02-0924.2</v>
      </c>
      <c r="G674" s="5">
        <v>250</v>
      </c>
      <c r="H674" t="str">
        <f>"JPZ02-0924.2"</f>
        <v>JPZ02-0924.2</v>
      </c>
    </row>
    <row r="675" spans="1:8" x14ac:dyDescent="0.25">
      <c r="E675" t="str">
        <f>"202107194626"</f>
        <v>202107194626</v>
      </c>
      <c r="F675" t="str">
        <f>"DCPC 19-029"</f>
        <v>DCPC 19-029</v>
      </c>
      <c r="G675" s="5">
        <v>250</v>
      </c>
      <c r="H675" t="str">
        <f>"DCPC 19-029"</f>
        <v>DCPC 19-029</v>
      </c>
    </row>
    <row r="676" spans="1:8" x14ac:dyDescent="0.25">
      <c r="E676" t="str">
        <f>"202107194627"</f>
        <v>202107194627</v>
      </c>
      <c r="F676" t="str">
        <f>"21-20771"</f>
        <v>21-20771</v>
      </c>
      <c r="G676" s="5">
        <v>100</v>
      </c>
      <c r="H676" t="str">
        <f>"21-20771"</f>
        <v>21-20771</v>
      </c>
    </row>
    <row r="677" spans="1:8" x14ac:dyDescent="0.25">
      <c r="A677" t="s">
        <v>192</v>
      </c>
      <c r="B677">
        <v>136392</v>
      </c>
      <c r="C677" s="5">
        <v>25</v>
      </c>
      <c r="D677" s="3">
        <v>44403</v>
      </c>
      <c r="E677" t="str">
        <f>"8-898"</f>
        <v>8-898</v>
      </c>
      <c r="F677" t="str">
        <f>"RESTITUTION/JOHNNY HOFFMAN"</f>
        <v>RESTITUTION/JOHNNY HOFFMAN</v>
      </c>
      <c r="G677" s="5">
        <v>25</v>
      </c>
      <c r="H677" t="str">
        <f>"RESTITUTION/JOHNNY HOFFMAN"</f>
        <v>RESTITUTION/JOHNNY HOFFMAN</v>
      </c>
    </row>
    <row r="678" spans="1:8" x14ac:dyDescent="0.25">
      <c r="A678" t="s">
        <v>193</v>
      </c>
      <c r="B678">
        <v>136222</v>
      </c>
      <c r="C678" s="5">
        <v>500</v>
      </c>
      <c r="D678" s="3">
        <v>44389</v>
      </c>
      <c r="E678" t="str">
        <f>"202107074425"</f>
        <v>202107074425</v>
      </c>
      <c r="F678" t="str">
        <f>"ANIMAL SHELTER/KATHERINE BILOF"</f>
        <v>ANIMAL SHELTER/KATHERINE BILOF</v>
      </c>
      <c r="G678" s="5">
        <v>500</v>
      </c>
      <c r="H678" t="str">
        <f>"ANIMAL SHELTER/KATHERINE BILOF"</f>
        <v>ANIMAL SHELTER/KATHERINE BILOF</v>
      </c>
    </row>
    <row r="679" spans="1:8" x14ac:dyDescent="0.25">
      <c r="A679" t="s">
        <v>194</v>
      </c>
      <c r="B679">
        <v>136393</v>
      </c>
      <c r="C679" s="5">
        <v>440</v>
      </c>
      <c r="D679" s="3">
        <v>44403</v>
      </c>
      <c r="E679" t="str">
        <f>"533008"</f>
        <v>533008</v>
      </c>
      <c r="F679" t="str">
        <f>"TRASH P/U / PCT#1"</f>
        <v>TRASH P/U / PCT#1</v>
      </c>
      <c r="G679" s="5">
        <v>440</v>
      </c>
      <c r="H679" t="str">
        <f>"TRASH P/U / PCT#1"</f>
        <v>TRASH P/U / PCT#1</v>
      </c>
    </row>
    <row r="680" spans="1:8" x14ac:dyDescent="0.25">
      <c r="A680" t="s">
        <v>195</v>
      </c>
      <c r="B680">
        <v>4750</v>
      </c>
      <c r="C680" s="5">
        <v>2717</v>
      </c>
      <c r="D680" s="3">
        <v>44390</v>
      </c>
      <c r="E680" t="str">
        <f>"446"</f>
        <v>446</v>
      </c>
      <c r="F680" t="str">
        <f>"TOWER RENTAL"</f>
        <v>TOWER RENTAL</v>
      </c>
      <c r="G680" s="5">
        <v>2717</v>
      </c>
      <c r="H680" t="str">
        <f>"TOWER RENTAL"</f>
        <v>TOWER RENTAL</v>
      </c>
    </row>
    <row r="681" spans="1:8" x14ac:dyDescent="0.25">
      <c r="A681" t="s">
        <v>196</v>
      </c>
      <c r="B681">
        <v>4722</v>
      </c>
      <c r="C681" s="5">
        <v>3719</v>
      </c>
      <c r="D681" s="3">
        <v>44390</v>
      </c>
      <c r="E681" t="str">
        <f>"281420"</f>
        <v>281420</v>
      </c>
      <c r="F681" t="str">
        <f>"ORDER#21907753"</f>
        <v>ORDER#21907753</v>
      </c>
      <c r="G681" s="5">
        <v>910</v>
      </c>
      <c r="H681" t="str">
        <f>"ORDER#21907753"</f>
        <v>ORDER#21907753</v>
      </c>
    </row>
    <row r="682" spans="1:8" x14ac:dyDescent="0.25">
      <c r="E682" t="str">
        <f>"281506"</f>
        <v>281506</v>
      </c>
      <c r="F682" t="str">
        <f>"ORDER#1269-9884"</f>
        <v>ORDER#1269-9884</v>
      </c>
      <c r="G682" s="5">
        <v>99</v>
      </c>
      <c r="H682" t="str">
        <f>"ORDER#1269-9884"</f>
        <v>ORDER#1269-9884</v>
      </c>
    </row>
    <row r="683" spans="1:8" x14ac:dyDescent="0.25">
      <c r="E683" t="str">
        <f>"281653"</f>
        <v>281653</v>
      </c>
      <c r="F683" t="str">
        <f>"ORDER#21816763"</f>
        <v>ORDER#21816763</v>
      </c>
      <c r="G683" s="5">
        <v>2710</v>
      </c>
      <c r="H683" t="str">
        <f>"ORDER#21816763"</f>
        <v>ORDER#21816763</v>
      </c>
    </row>
    <row r="684" spans="1:8" x14ac:dyDescent="0.25">
      <c r="A684" t="s">
        <v>196</v>
      </c>
      <c r="B684">
        <v>4802</v>
      </c>
      <c r="C684" s="5">
        <v>430</v>
      </c>
      <c r="D684" s="3">
        <v>44404</v>
      </c>
      <c r="E684" t="str">
        <f>"281720"</f>
        <v>281720</v>
      </c>
      <c r="F684" t="str">
        <f>"ORDER#22110593/GENERAL SVCS"</f>
        <v>ORDER#22110593/GENERAL SVCS</v>
      </c>
      <c r="G684" s="5">
        <v>430</v>
      </c>
      <c r="H684" t="str">
        <f>"ORDER#22110593/GENERAL SVCS"</f>
        <v>ORDER#22110593/GENERAL SVCS</v>
      </c>
    </row>
    <row r="685" spans="1:8" x14ac:dyDescent="0.25">
      <c r="A685" t="s">
        <v>197</v>
      </c>
      <c r="B685">
        <v>136223</v>
      </c>
      <c r="C685" s="5">
        <v>1253.0899999999999</v>
      </c>
      <c r="D685" s="3">
        <v>44389</v>
      </c>
      <c r="E685" t="str">
        <f>"202107074437"</f>
        <v>202107074437</v>
      </c>
      <c r="F685" t="str">
        <f>"ACCT#1645/WILDFIRE MITIGATION"</f>
        <v>ACCT#1645/WILDFIRE MITIGATION</v>
      </c>
      <c r="G685" s="5">
        <v>28.4</v>
      </c>
      <c r="H685" t="str">
        <f>"ACCT#1645/WILDFIRE MITIGATION"</f>
        <v>ACCT#1645/WILDFIRE MITIGATION</v>
      </c>
    </row>
    <row r="686" spans="1:8" x14ac:dyDescent="0.25">
      <c r="E686" t="str">
        <f>"202107074438"</f>
        <v>202107074438</v>
      </c>
      <c r="F686" t="str">
        <f>"ACCT#1162/SIGN SHP/WILDFIRE/GE"</f>
        <v>ACCT#1162/SIGN SHP/WILDFIRE/GE</v>
      </c>
      <c r="G686" s="5">
        <v>516.82000000000005</v>
      </c>
      <c r="H686" t="str">
        <f>"ACCT#1162/SIGN SHP/WILDFIRE/GE"</f>
        <v>ACCT#1162/SIGN SHP/WILDFIRE/GE</v>
      </c>
    </row>
    <row r="687" spans="1:8" x14ac:dyDescent="0.25">
      <c r="E687" t="str">
        <f>""</f>
        <v/>
      </c>
      <c r="F687" t="str">
        <f>""</f>
        <v/>
      </c>
      <c r="H687" t="str">
        <f>"ACCT#1162/SIGN SHP/WILDFIRE/GE"</f>
        <v>ACCT#1162/SIGN SHP/WILDFIRE/GE</v>
      </c>
    </row>
    <row r="688" spans="1:8" x14ac:dyDescent="0.25">
      <c r="E688" t="str">
        <f>""</f>
        <v/>
      </c>
      <c r="F688" t="str">
        <f>""</f>
        <v/>
      </c>
      <c r="H688" t="str">
        <f>"ACCT#1162/SIGN SHP/WILDFIRE/GE"</f>
        <v>ACCT#1162/SIGN SHP/WILDFIRE/GE</v>
      </c>
    </row>
    <row r="689" spans="1:8" x14ac:dyDescent="0.25">
      <c r="E689" t="str">
        <f>"207948371"</f>
        <v>207948371</v>
      </c>
      <c r="F689" t="str">
        <f>"ACCT#1650/PCT#1"</f>
        <v>ACCT#1650/PCT#1</v>
      </c>
      <c r="G689" s="5">
        <v>647.87</v>
      </c>
      <c r="H689" t="str">
        <f>"ACCT#1650/PCT#1"</f>
        <v>ACCT#1650/PCT#1</v>
      </c>
    </row>
    <row r="690" spans="1:8" x14ac:dyDescent="0.25">
      <c r="E690" t="str">
        <f>"207948391"</f>
        <v>207948391</v>
      </c>
      <c r="F690" t="str">
        <f>"ACCT#1800/PCT#4"</f>
        <v>ACCT#1800/PCT#4</v>
      </c>
      <c r="G690" s="5">
        <v>60</v>
      </c>
      <c r="H690" t="str">
        <f>"ACCT#1800/PCT#4"</f>
        <v>ACCT#1800/PCT#4</v>
      </c>
    </row>
    <row r="691" spans="1:8" x14ac:dyDescent="0.25">
      <c r="A691" t="s">
        <v>198</v>
      </c>
      <c r="B691">
        <v>4706</v>
      </c>
      <c r="C691" s="5">
        <v>1976.24</v>
      </c>
      <c r="D691" s="3">
        <v>44390</v>
      </c>
      <c r="E691" t="str">
        <f>"06234279"</f>
        <v>06234279</v>
      </c>
      <c r="F691" t="str">
        <f>"INV 06234279  06305597"</f>
        <v>INV 06234279  06305597</v>
      </c>
      <c r="G691" s="5">
        <v>1976.24</v>
      </c>
      <c r="H691" t="str">
        <f>"INV 06234279"</f>
        <v>INV 06234279</v>
      </c>
    </row>
    <row r="692" spans="1:8" x14ac:dyDescent="0.25">
      <c r="E692" t="str">
        <f>""</f>
        <v/>
      </c>
      <c r="F692" t="str">
        <f>""</f>
        <v/>
      </c>
      <c r="H692" t="str">
        <f>"INV 06305597"</f>
        <v>INV 06305597</v>
      </c>
    </row>
    <row r="693" spans="1:8" x14ac:dyDescent="0.25">
      <c r="A693" t="s">
        <v>198</v>
      </c>
      <c r="B693">
        <v>4788</v>
      </c>
      <c r="C693" s="5">
        <v>1855.72</v>
      </c>
      <c r="D693" s="3">
        <v>44404</v>
      </c>
      <c r="E693" t="str">
        <f>"07075613"</f>
        <v>07075613</v>
      </c>
      <c r="F693" t="str">
        <f>"INV 07075613  07146716"</f>
        <v>INV 07075613  07146716</v>
      </c>
      <c r="G693" s="5">
        <v>1855.72</v>
      </c>
      <c r="H693" t="str">
        <f>"INV 07075613"</f>
        <v>INV 07075613</v>
      </c>
    </row>
    <row r="694" spans="1:8" x14ac:dyDescent="0.25">
      <c r="E694" t="str">
        <f>""</f>
        <v/>
      </c>
      <c r="F694" t="str">
        <f>""</f>
        <v/>
      </c>
      <c r="H694" t="str">
        <f>"INV 07146716"</f>
        <v>INV 07146716</v>
      </c>
    </row>
    <row r="695" spans="1:8" x14ac:dyDescent="0.25">
      <c r="A695" t="s">
        <v>199</v>
      </c>
      <c r="B695">
        <v>136394</v>
      </c>
      <c r="C695" s="5">
        <v>565</v>
      </c>
      <c r="D695" s="3">
        <v>44403</v>
      </c>
      <c r="E695" t="str">
        <f>"202107194617"</f>
        <v>202107194617</v>
      </c>
      <c r="F695" t="str">
        <f>"REIMBURSE/LANTANA SEPTIC LLC"</f>
        <v>REIMBURSE/LANTANA SEPTIC LLC</v>
      </c>
      <c r="G695" s="5">
        <v>565</v>
      </c>
      <c r="H695" t="str">
        <f>"REIMBURSE/LANTANA SEPTIC LLC"</f>
        <v>REIMBURSE/LANTANA SEPTIC LLC</v>
      </c>
    </row>
    <row r="696" spans="1:8" x14ac:dyDescent="0.25">
      <c r="A696" t="s">
        <v>200</v>
      </c>
      <c r="B696">
        <v>136224</v>
      </c>
      <c r="C696" s="5">
        <v>97.97</v>
      </c>
      <c r="D696" s="3">
        <v>44389</v>
      </c>
      <c r="E696" t="str">
        <f>"202107084449"</f>
        <v>202107084449</v>
      </c>
      <c r="F696" t="str">
        <f>"REIMBURSEMENT BEST BUY"</f>
        <v>REIMBURSEMENT BEST BUY</v>
      </c>
      <c r="G696" s="5">
        <v>97.97</v>
      </c>
      <c r="H696" t="str">
        <f>"REIMBURSEMENT BEST BUY"</f>
        <v>REIMBURSEMENT BEST BUY</v>
      </c>
    </row>
    <row r="697" spans="1:8" x14ac:dyDescent="0.25">
      <c r="A697" t="s">
        <v>201</v>
      </c>
      <c r="B697">
        <v>4738</v>
      </c>
      <c r="C697" s="5">
        <v>150</v>
      </c>
      <c r="D697" s="3">
        <v>44390</v>
      </c>
      <c r="E697" t="str">
        <f>"156918"</f>
        <v>156918</v>
      </c>
      <c r="F697" t="str">
        <f>"CLEANING/LAURA ROBERTSON"</f>
        <v>CLEANING/LAURA ROBERTSON</v>
      </c>
      <c r="G697" s="5">
        <v>150</v>
      </c>
      <c r="H697" t="str">
        <f>"CLEANING/LAURA ROBERTSON"</f>
        <v>CLEANING/LAURA ROBERTSON</v>
      </c>
    </row>
    <row r="698" spans="1:8" x14ac:dyDescent="0.25">
      <c r="A698" t="s">
        <v>202</v>
      </c>
      <c r="B698">
        <v>136162</v>
      </c>
      <c r="C698" s="5">
        <v>68.77</v>
      </c>
      <c r="D698" s="3">
        <v>44386</v>
      </c>
      <c r="E698" t="str">
        <f>"202107084450"</f>
        <v>202107084450</v>
      </c>
      <c r="F698" t="str">
        <f>"ACCT#1-0900072-02 1 / 06252021"</f>
        <v>ACCT#1-0900072-02 1 / 06252021</v>
      </c>
      <c r="G698" s="5">
        <v>68.77</v>
      </c>
      <c r="H698" t="str">
        <f>"LEE COUNTY WATER SUPPLY CORP"</f>
        <v>LEE COUNTY WATER SUPPLY CORP</v>
      </c>
    </row>
    <row r="699" spans="1:8" x14ac:dyDescent="0.25">
      <c r="A699" t="s">
        <v>203</v>
      </c>
      <c r="B699">
        <v>136225</v>
      </c>
      <c r="C699" s="5">
        <v>962.26</v>
      </c>
      <c r="D699" s="3">
        <v>44389</v>
      </c>
      <c r="E699" t="str">
        <f>"0562223204"</f>
        <v>0562223204</v>
      </c>
      <c r="F699" t="str">
        <f>"INV 0562223204  056222320"</f>
        <v>INV 0562223204  056222320</v>
      </c>
      <c r="G699" s="5">
        <v>962.26</v>
      </c>
      <c r="H699" t="str">
        <f>"INV 0562223204"</f>
        <v>INV 0562223204</v>
      </c>
    </row>
    <row r="700" spans="1:8" x14ac:dyDescent="0.25">
      <c r="E700" t="str">
        <f>""</f>
        <v/>
      </c>
      <c r="F700" t="str">
        <f>""</f>
        <v/>
      </c>
      <c r="H700" t="str">
        <f>"INV 0562223205"</f>
        <v>INV 0562223205</v>
      </c>
    </row>
    <row r="701" spans="1:8" x14ac:dyDescent="0.25">
      <c r="A701" t="s">
        <v>204</v>
      </c>
      <c r="B701">
        <v>4810</v>
      </c>
      <c r="C701" s="5">
        <v>155</v>
      </c>
      <c r="D701" s="3">
        <v>44404</v>
      </c>
      <c r="E701" t="str">
        <f>"202107214734"</f>
        <v>202107214734</v>
      </c>
      <c r="F701" t="str">
        <f>"REIMBURSE/LEON SCAIFE"</f>
        <v>REIMBURSE/LEON SCAIFE</v>
      </c>
      <c r="G701" s="5">
        <v>155</v>
      </c>
      <c r="H701" t="str">
        <f>"REIMBURSE/LEON SCAIFE"</f>
        <v>REIMBURSE/LEON SCAIFE</v>
      </c>
    </row>
    <row r="702" spans="1:8" x14ac:dyDescent="0.25">
      <c r="A702" t="s">
        <v>205</v>
      </c>
      <c r="B702">
        <v>136226</v>
      </c>
      <c r="C702" s="5">
        <v>753.5</v>
      </c>
      <c r="D702" s="3">
        <v>44389</v>
      </c>
      <c r="E702" t="str">
        <f>"1361725-20210531"</f>
        <v>1361725-20210531</v>
      </c>
      <c r="F702" t="str">
        <f>"BILL ID#1361725/INDIGENT"</f>
        <v>BILL ID#1361725/INDIGENT</v>
      </c>
      <c r="G702" s="5">
        <v>150</v>
      </c>
      <c r="H702" t="str">
        <f>"BILL ID#1361725/INDIGENT"</f>
        <v>BILL ID#1361725/INDIGENT</v>
      </c>
    </row>
    <row r="703" spans="1:8" x14ac:dyDescent="0.25">
      <c r="E703" t="str">
        <f>"1361725-20210603"</f>
        <v>1361725-20210603</v>
      </c>
      <c r="F703" t="str">
        <f>"BILL ID#1361725-20210603"</f>
        <v>BILL ID#1361725-20210603</v>
      </c>
      <c r="G703" s="5">
        <v>150</v>
      </c>
      <c r="H703" t="str">
        <f>"BILL ID#1361725-20210603"</f>
        <v>BILL ID#1361725-20210603</v>
      </c>
    </row>
    <row r="704" spans="1:8" x14ac:dyDescent="0.25">
      <c r="E704" t="str">
        <f>"13945-20210603"</f>
        <v>13945-20210603</v>
      </c>
      <c r="F704" t="str">
        <f>"BILL ID#1394645/COUNTY CLERK"</f>
        <v>BILL ID#1394645/COUNTY CLERK</v>
      </c>
      <c r="G704" s="5">
        <v>50</v>
      </c>
      <c r="H704" t="str">
        <f>"BILL ID#1394645/COUNTY CLERK"</f>
        <v>BILL ID#1394645/COUNTY CLERK</v>
      </c>
    </row>
    <row r="705" spans="1:8" x14ac:dyDescent="0.25">
      <c r="E705" t="str">
        <f>"1394645-20210630"</f>
        <v>1394645-20210630</v>
      </c>
      <c r="F705" t="str">
        <f>"BILL ID#1394645"</f>
        <v>BILL ID#1394645</v>
      </c>
      <c r="G705" s="5">
        <v>50</v>
      </c>
      <c r="H705" t="str">
        <f>"BILL ID#1394645"</f>
        <v>BILL ID#1394645</v>
      </c>
    </row>
    <row r="706" spans="1:8" x14ac:dyDescent="0.25">
      <c r="E706" t="str">
        <f>"1420944-20210531"</f>
        <v>1420944-20210531</v>
      </c>
      <c r="F706" t="str">
        <f>"BILL ID#1420944/SO"</f>
        <v>BILL ID#1420944/SO</v>
      </c>
      <c r="G706" s="5">
        <v>303.5</v>
      </c>
      <c r="H706" t="str">
        <f>"BILL ID#1420944/SO"</f>
        <v>BILL ID#1420944/SO</v>
      </c>
    </row>
    <row r="707" spans="1:8" x14ac:dyDescent="0.25">
      <c r="E707" t="str">
        <f>"1489870-20210630"</f>
        <v>1489870-20210630</v>
      </c>
      <c r="F707" t="str">
        <f>"BILL ID#1489870"</f>
        <v>BILL ID#1489870</v>
      </c>
      <c r="G707" s="5">
        <v>50</v>
      </c>
      <c r="H707" t="str">
        <f>"BILL ID#1489870"</f>
        <v>BILL ID#1489870</v>
      </c>
    </row>
    <row r="708" spans="1:8" x14ac:dyDescent="0.25">
      <c r="A708" t="s">
        <v>205</v>
      </c>
      <c r="B708">
        <v>136395</v>
      </c>
      <c r="C708" s="5">
        <v>450.7</v>
      </c>
      <c r="D708" s="3">
        <v>44403</v>
      </c>
      <c r="E708" t="str">
        <f>"1211621-2021063"</f>
        <v>1211621-2021063</v>
      </c>
      <c r="F708" t="str">
        <f>"BILL ID#1211621"</f>
        <v>BILL ID#1211621</v>
      </c>
      <c r="G708" s="5">
        <v>143</v>
      </c>
      <c r="H708" t="str">
        <f>"BILL ID#1211621"</f>
        <v>BILL ID#1211621</v>
      </c>
    </row>
    <row r="709" spans="1:8" x14ac:dyDescent="0.25">
      <c r="E709" t="str">
        <f>"1420944-20210630"</f>
        <v>1420944-20210630</v>
      </c>
      <c r="F709" t="str">
        <f>"BILL ID#1420944/SO"</f>
        <v>BILL ID#1420944/SO</v>
      </c>
      <c r="G709" s="5">
        <v>307.7</v>
      </c>
      <c r="H709" t="str">
        <f>"BILL ID#1420944/SO"</f>
        <v>BILL ID#1420944/SO</v>
      </c>
    </row>
    <row r="710" spans="1:8" x14ac:dyDescent="0.25">
      <c r="A710" t="s">
        <v>206</v>
      </c>
      <c r="B710">
        <v>136396</v>
      </c>
      <c r="C710" s="5">
        <v>75</v>
      </c>
      <c r="D710" s="3">
        <v>44403</v>
      </c>
      <c r="E710" t="str">
        <f>"12926"</f>
        <v>12926</v>
      </c>
      <c r="F710" t="str">
        <f>"SERVICE"</f>
        <v>SERVICE</v>
      </c>
      <c r="G710" s="5">
        <v>75</v>
      </c>
      <c r="H710" t="str">
        <f>"SERVICE"</f>
        <v>SERVICE</v>
      </c>
    </row>
    <row r="711" spans="1:8" x14ac:dyDescent="0.25">
      <c r="A711" t="s">
        <v>207</v>
      </c>
      <c r="B711">
        <v>136397</v>
      </c>
      <c r="C711" s="5">
        <v>806.55</v>
      </c>
      <c r="D711" s="3">
        <v>44403</v>
      </c>
      <c r="E711" t="str">
        <f>"2071747"</f>
        <v>2071747</v>
      </c>
      <c r="F711" t="str">
        <f>"ACCT#15717"</f>
        <v>ACCT#15717</v>
      </c>
      <c r="G711" s="5">
        <v>806.55</v>
      </c>
      <c r="H711" t="str">
        <f>"ACCT#15717"</f>
        <v>ACCT#15717</v>
      </c>
    </row>
    <row r="712" spans="1:8" x14ac:dyDescent="0.25">
      <c r="A712" t="s">
        <v>208</v>
      </c>
      <c r="B712">
        <v>136398</v>
      </c>
      <c r="C712" s="5">
        <v>5</v>
      </c>
      <c r="D712" s="3">
        <v>44403</v>
      </c>
      <c r="E712" t="str">
        <f>"13683"</f>
        <v>13683</v>
      </c>
      <c r="F712" t="str">
        <f>"REFUND FOR OVERPAYMENT"</f>
        <v>REFUND FOR OVERPAYMENT</v>
      </c>
      <c r="G712" s="5">
        <v>5</v>
      </c>
      <c r="H712" t="str">
        <f>"REFUND FOR OVERPAYMENT"</f>
        <v>REFUND FOR OVERPAYMENT</v>
      </c>
    </row>
    <row r="713" spans="1:8" x14ac:dyDescent="0.25">
      <c r="A713" t="s">
        <v>209</v>
      </c>
      <c r="B713">
        <v>136227</v>
      </c>
      <c r="C713" s="5">
        <v>577.84</v>
      </c>
      <c r="D713" s="3">
        <v>44389</v>
      </c>
      <c r="E713" t="str">
        <f>"202107064354"</f>
        <v>202107064354</v>
      </c>
      <c r="F713" t="str">
        <f>"REIMBURSE/LISA SMITH"</f>
        <v>REIMBURSE/LISA SMITH</v>
      </c>
      <c r="G713" s="5">
        <v>577.84</v>
      </c>
      <c r="H713" t="str">
        <f>"REIMBURSE/LISA SMITH"</f>
        <v>REIMBURSE/LISA SMITH</v>
      </c>
    </row>
    <row r="714" spans="1:8" x14ac:dyDescent="0.25">
      <c r="A714" t="s">
        <v>210</v>
      </c>
      <c r="B714">
        <v>136399</v>
      </c>
      <c r="C714" s="5">
        <v>227.99</v>
      </c>
      <c r="D714" s="3">
        <v>44403</v>
      </c>
      <c r="E714" t="str">
        <f>"24920"</f>
        <v>24920</v>
      </c>
      <c r="F714" t="str">
        <f>"Sit-Stand Desk Converter"</f>
        <v>Sit-Stand Desk Converter</v>
      </c>
      <c r="G714" s="5">
        <v>227.99</v>
      </c>
      <c r="H714" t="str">
        <f>"Sit-Stand Desk Converter"</f>
        <v>Sit-Stand Desk Converter</v>
      </c>
    </row>
    <row r="715" spans="1:8" x14ac:dyDescent="0.25">
      <c r="A715" t="s">
        <v>211</v>
      </c>
      <c r="B715">
        <v>4728</v>
      </c>
      <c r="C715" s="5">
        <v>441.43</v>
      </c>
      <c r="D715" s="3">
        <v>44390</v>
      </c>
      <c r="E715" t="str">
        <f>"202107014234"</f>
        <v>202107014234</v>
      </c>
      <c r="F715" t="str">
        <f>"INDIGENT HEALTH"</f>
        <v>INDIGENT HEALTH</v>
      </c>
      <c r="G715" s="5">
        <v>441.43</v>
      </c>
      <c r="H715" t="str">
        <f>"INDIGENT HEALTH"</f>
        <v>INDIGENT HEALTH</v>
      </c>
    </row>
    <row r="716" spans="1:8" x14ac:dyDescent="0.25">
      <c r="E716" t="str">
        <f>""</f>
        <v/>
      </c>
      <c r="F716" t="str">
        <f>""</f>
        <v/>
      </c>
      <c r="H716" t="str">
        <f>"INDIGENT HEALTH"</f>
        <v>INDIGENT HEALTH</v>
      </c>
    </row>
    <row r="717" spans="1:8" x14ac:dyDescent="0.25">
      <c r="E717" t="str">
        <f>""</f>
        <v/>
      </c>
      <c r="F717" t="str">
        <f>""</f>
        <v/>
      </c>
      <c r="H717" t="str">
        <f>"INDIGENT HEALTH"</f>
        <v>INDIGENT HEALTH</v>
      </c>
    </row>
    <row r="718" spans="1:8" x14ac:dyDescent="0.25">
      <c r="A718" t="s">
        <v>211</v>
      </c>
      <c r="B718">
        <v>4812</v>
      </c>
      <c r="C718" s="5">
        <v>18204.060000000001</v>
      </c>
      <c r="D718" s="3">
        <v>44404</v>
      </c>
      <c r="E718" t="str">
        <f>"202107144545"</f>
        <v>202107144545</v>
      </c>
      <c r="F718" t="str">
        <f>"HOME VISIT GRANT MAY 2021"</f>
        <v>HOME VISIT GRANT MAY 2021</v>
      </c>
      <c r="G718" s="5">
        <v>18204.060000000001</v>
      </c>
      <c r="H718" t="str">
        <f>"HOME VISIT GRANT MAY 2021"</f>
        <v>HOME VISIT GRANT MAY 2021</v>
      </c>
    </row>
    <row r="719" spans="1:8" x14ac:dyDescent="0.25">
      <c r="A719" t="s">
        <v>212</v>
      </c>
      <c r="B719">
        <v>4726</v>
      </c>
      <c r="C719" s="5">
        <v>60</v>
      </c>
      <c r="D719" s="3">
        <v>44390</v>
      </c>
      <c r="E719" t="str">
        <f>"10-0118662"</f>
        <v>10-0118662</v>
      </c>
      <c r="F719" t="str">
        <f>"INV 10-0118662/10-0122296"</f>
        <v>INV 10-0118662/10-0122296</v>
      </c>
      <c r="G719" s="5">
        <v>60</v>
      </c>
      <c r="H719" t="str">
        <f>"INV 10-0118662"</f>
        <v>INV 10-0118662</v>
      </c>
    </row>
    <row r="720" spans="1:8" x14ac:dyDescent="0.25">
      <c r="E720" t="str">
        <f>""</f>
        <v/>
      </c>
      <c r="F720" t="str">
        <f>""</f>
        <v/>
      </c>
      <c r="H720" t="str">
        <f>"INV 10-0122296"</f>
        <v>INV 10-0122296</v>
      </c>
    </row>
    <row r="721" spans="1:8" x14ac:dyDescent="0.25">
      <c r="A721" t="s">
        <v>212</v>
      </c>
      <c r="B721">
        <v>4808</v>
      </c>
      <c r="C721" s="5">
        <v>3089</v>
      </c>
      <c r="D721" s="3">
        <v>44404</v>
      </c>
      <c r="E721" t="str">
        <f>"2021-1646"</f>
        <v>2021-1646</v>
      </c>
      <c r="F721" t="str">
        <f>"INV 2021-1646"</f>
        <v>INV 2021-1646</v>
      </c>
      <c r="G721" s="5">
        <v>2500</v>
      </c>
      <c r="H721" t="str">
        <f>"INV 2021-1646"</f>
        <v>INV 2021-1646</v>
      </c>
    </row>
    <row r="722" spans="1:8" x14ac:dyDescent="0.25">
      <c r="E722" t="str">
        <f>"591409"</f>
        <v>591409</v>
      </c>
      <c r="F722" t="str">
        <f>"INV 591409"</f>
        <v>INV 591409</v>
      </c>
      <c r="G722" s="5">
        <v>589</v>
      </c>
      <c r="H722" t="str">
        <f>"INV 591409"</f>
        <v>INV 591409</v>
      </c>
    </row>
    <row r="723" spans="1:8" x14ac:dyDescent="0.25">
      <c r="A723" t="s">
        <v>213</v>
      </c>
      <c r="B723">
        <v>136228</v>
      </c>
      <c r="C723" s="5">
        <v>54.41</v>
      </c>
      <c r="D723" s="3">
        <v>44389</v>
      </c>
      <c r="E723" t="str">
        <f>"202107014235"</f>
        <v>202107014235</v>
      </c>
      <c r="F723" t="str">
        <f>"INDIGENT HEALTH"</f>
        <v>INDIGENT HEALTH</v>
      </c>
      <c r="G723" s="5">
        <v>54.41</v>
      </c>
      <c r="H723" t="str">
        <f>"INDIGENT HEALTH"</f>
        <v>INDIGENT HEALTH</v>
      </c>
    </row>
    <row r="724" spans="1:8" x14ac:dyDescent="0.25">
      <c r="A724" t="s">
        <v>214</v>
      </c>
      <c r="B724">
        <v>4734</v>
      </c>
      <c r="C724" s="5">
        <v>910</v>
      </c>
      <c r="D724" s="3">
        <v>44390</v>
      </c>
      <c r="E724" t="str">
        <f>"202107074405"</f>
        <v>202107074405</v>
      </c>
      <c r="F724" t="str">
        <f>"TRASH REMOVAL/LONNIE DAVIS"</f>
        <v>TRASH REMOVAL/LONNIE DAVIS</v>
      </c>
      <c r="G724" s="5">
        <v>910</v>
      </c>
      <c r="H724" t="str">
        <f>"TRASH REMOVAL/LONNIE DAVIS"</f>
        <v>TRASH REMOVAL/LONNIE DAVIS</v>
      </c>
    </row>
    <row r="725" spans="1:8" x14ac:dyDescent="0.25">
      <c r="A725" t="s">
        <v>214</v>
      </c>
      <c r="B725">
        <v>4818</v>
      </c>
      <c r="C725" s="5">
        <v>858</v>
      </c>
      <c r="D725" s="3">
        <v>44404</v>
      </c>
      <c r="E725" t="str">
        <f>"202107204651"</f>
        <v>202107204651</v>
      </c>
      <c r="F725" t="str">
        <f>"TRASH REMOVAL/LONNIE DAVIS"</f>
        <v>TRASH REMOVAL/LONNIE DAVIS</v>
      </c>
      <c r="G725" s="5">
        <v>858</v>
      </c>
      <c r="H725" t="str">
        <f>"TRASH REMOVAL/LONNIE DAVIS"</f>
        <v>TRASH REMOVAL/LONNIE DAVIS</v>
      </c>
    </row>
    <row r="726" spans="1:8" x14ac:dyDescent="0.25">
      <c r="A726" t="s">
        <v>215</v>
      </c>
      <c r="B726">
        <v>136400</v>
      </c>
      <c r="C726" s="5">
        <v>977.3</v>
      </c>
      <c r="D726" s="3">
        <v>44403</v>
      </c>
      <c r="E726" t="str">
        <f>"202107204706"</f>
        <v>202107204706</v>
      </c>
      <c r="F726" t="str">
        <f>"Lowe's"</f>
        <v>Lowe's</v>
      </c>
      <c r="G726" s="5">
        <v>977.3</v>
      </c>
      <c r="H726" t="str">
        <f>"917991"</f>
        <v>917991</v>
      </c>
    </row>
    <row r="727" spans="1:8" x14ac:dyDescent="0.25">
      <c r="E727" t="str">
        <f>""</f>
        <v/>
      </c>
      <c r="F727" t="str">
        <f>""</f>
        <v/>
      </c>
      <c r="H727" t="str">
        <f>"908340"</f>
        <v>908340</v>
      </c>
    </row>
    <row r="728" spans="1:8" x14ac:dyDescent="0.25">
      <c r="E728" t="str">
        <f>""</f>
        <v/>
      </c>
      <c r="F728" t="str">
        <f>""</f>
        <v/>
      </c>
      <c r="H728" t="str">
        <f>"920283"</f>
        <v>920283</v>
      </c>
    </row>
    <row r="729" spans="1:8" x14ac:dyDescent="0.25">
      <c r="E729" t="str">
        <f>""</f>
        <v/>
      </c>
      <c r="F729" t="str">
        <f>""</f>
        <v/>
      </c>
      <c r="H729" t="str">
        <f>"919187"</f>
        <v>919187</v>
      </c>
    </row>
    <row r="730" spans="1:8" x14ac:dyDescent="0.25">
      <c r="E730" t="str">
        <f>""</f>
        <v/>
      </c>
      <c r="F730" t="str">
        <f>""</f>
        <v/>
      </c>
      <c r="H730" t="str">
        <f>"920931"</f>
        <v>920931</v>
      </c>
    </row>
    <row r="731" spans="1:8" x14ac:dyDescent="0.25">
      <c r="E731" t="str">
        <f>""</f>
        <v/>
      </c>
      <c r="F731" t="str">
        <f>""</f>
        <v/>
      </c>
      <c r="H731" t="str">
        <f>"910928"</f>
        <v>910928</v>
      </c>
    </row>
    <row r="732" spans="1:8" x14ac:dyDescent="0.25">
      <c r="E732" t="str">
        <f>""</f>
        <v/>
      </c>
      <c r="F732" t="str">
        <f>""</f>
        <v/>
      </c>
      <c r="H732" t="str">
        <f>"908135"</f>
        <v>908135</v>
      </c>
    </row>
    <row r="733" spans="1:8" x14ac:dyDescent="0.25">
      <c r="E733" t="str">
        <f>""</f>
        <v/>
      </c>
      <c r="F733" t="str">
        <f>""</f>
        <v/>
      </c>
      <c r="H733" t="str">
        <f>"907071"</f>
        <v>907071</v>
      </c>
    </row>
    <row r="734" spans="1:8" x14ac:dyDescent="0.25">
      <c r="E734" t="str">
        <f>""</f>
        <v/>
      </c>
      <c r="F734" t="str">
        <f>""</f>
        <v/>
      </c>
      <c r="H734" t="str">
        <f>"912245"</f>
        <v>912245</v>
      </c>
    </row>
    <row r="735" spans="1:8" x14ac:dyDescent="0.25">
      <c r="E735" t="str">
        <f>""</f>
        <v/>
      </c>
      <c r="F735" t="str">
        <f>""</f>
        <v/>
      </c>
      <c r="H735" t="str">
        <f>"957250"</f>
        <v>957250</v>
      </c>
    </row>
    <row r="736" spans="1:8" x14ac:dyDescent="0.25">
      <c r="E736" t="str">
        <f>""</f>
        <v/>
      </c>
      <c r="F736" t="str">
        <f>""</f>
        <v/>
      </c>
      <c r="H736" t="str">
        <f>"910205"</f>
        <v>910205</v>
      </c>
    </row>
    <row r="737" spans="1:8" x14ac:dyDescent="0.25">
      <c r="A737" t="s">
        <v>216</v>
      </c>
      <c r="B737">
        <v>4836</v>
      </c>
      <c r="C737" s="5">
        <v>193.75</v>
      </c>
      <c r="D737" s="3">
        <v>44404</v>
      </c>
      <c r="E737" t="str">
        <f>"380202"</f>
        <v>380202</v>
      </c>
      <c r="F737" t="str">
        <f>"INV 380202"</f>
        <v>INV 380202</v>
      </c>
      <c r="G737" s="5">
        <v>193.75</v>
      </c>
      <c r="H737" t="str">
        <f>"INV 380202"</f>
        <v>INV 380202</v>
      </c>
    </row>
    <row r="738" spans="1:8" x14ac:dyDescent="0.25">
      <c r="A738" t="s">
        <v>217</v>
      </c>
      <c r="B738">
        <v>136229</v>
      </c>
      <c r="C738" s="5">
        <v>1458</v>
      </c>
      <c r="D738" s="3">
        <v>44389</v>
      </c>
      <c r="E738" t="str">
        <f>"2606"</f>
        <v>2606</v>
      </c>
      <c r="F738" t="str">
        <f>"CLEAN FLEAS/OLD COURTHOUSE"</f>
        <v>CLEAN FLEAS/OLD COURTHOUSE</v>
      </c>
      <c r="G738" s="5">
        <v>1458</v>
      </c>
      <c r="H738" t="str">
        <f>"CLEAN FLEAS/OLD COURTHOUSE"</f>
        <v>CLEAN FLEAS/OLD COURTHOUSE</v>
      </c>
    </row>
    <row r="739" spans="1:8" x14ac:dyDescent="0.25">
      <c r="A739" t="s">
        <v>217</v>
      </c>
      <c r="B739">
        <v>136401</v>
      </c>
      <c r="C739" s="5">
        <v>725</v>
      </c>
      <c r="D739" s="3">
        <v>44403</v>
      </c>
      <c r="E739" t="str">
        <f>"2511"</f>
        <v>2511</v>
      </c>
      <c r="F739" t="str">
        <f>"CEDAR CREEK ANNEX WATER DAMAGE"</f>
        <v>CEDAR CREEK ANNEX WATER DAMAGE</v>
      </c>
      <c r="G739" s="5">
        <v>485</v>
      </c>
      <c r="H739" t="str">
        <f>"CEDAR CREEK ANNEX WATER DAMAGE"</f>
        <v>CEDAR CREEK ANNEX WATER DAMAGE</v>
      </c>
    </row>
    <row r="740" spans="1:8" x14ac:dyDescent="0.25">
      <c r="E740" t="str">
        <f>"2547"</f>
        <v>2547</v>
      </c>
      <c r="F740" t="str">
        <f>"COURTHOUSE/CARPET CLEAN"</f>
        <v>COURTHOUSE/CARPET CLEAN</v>
      </c>
      <c r="G740" s="5">
        <v>240</v>
      </c>
      <c r="H740" t="str">
        <f>"COURTHOUSE/CARPET CLEAN"</f>
        <v>COURTHOUSE/CARPET CLEAN</v>
      </c>
    </row>
    <row r="741" spans="1:8" x14ac:dyDescent="0.25">
      <c r="A741" t="s">
        <v>218</v>
      </c>
      <c r="B741">
        <v>136230</v>
      </c>
      <c r="C741" s="5">
        <v>205</v>
      </c>
      <c r="D741" s="3">
        <v>44389</v>
      </c>
      <c r="E741" t="str">
        <f>"202107064362"</f>
        <v>202107064362</v>
      </c>
      <c r="F741" t="str">
        <f>"PER DIEM"</f>
        <v>PER DIEM</v>
      </c>
      <c r="G741" s="5">
        <v>205</v>
      </c>
      <c r="H741" t="str">
        <f>"PER DIEM"</f>
        <v>PER DIEM</v>
      </c>
    </row>
    <row r="742" spans="1:8" x14ac:dyDescent="0.25">
      <c r="A742" t="s">
        <v>219</v>
      </c>
      <c r="B742">
        <v>4730</v>
      </c>
      <c r="C742" s="5">
        <v>476</v>
      </c>
      <c r="D742" s="3">
        <v>44390</v>
      </c>
      <c r="E742" t="str">
        <f>"202107074413"</f>
        <v>202107074413</v>
      </c>
      <c r="F742" t="str">
        <f>"REIMBURSE/MARK MEUTH"</f>
        <v>REIMBURSE/MARK MEUTH</v>
      </c>
      <c r="G742" s="5">
        <v>476</v>
      </c>
      <c r="H742" t="str">
        <f>"REIMBURSE/MARK MEUTH"</f>
        <v>REIMBURSE/MARK MEUTH</v>
      </c>
    </row>
    <row r="743" spans="1:8" x14ac:dyDescent="0.25">
      <c r="A743" t="s">
        <v>220</v>
      </c>
      <c r="B743">
        <v>136402</v>
      </c>
      <c r="C743" s="5">
        <v>46.73</v>
      </c>
      <c r="D743" s="3">
        <v>44403</v>
      </c>
      <c r="E743" t="str">
        <f>"202107204697"</f>
        <v>202107204697</v>
      </c>
      <c r="F743" t="str">
        <f>"INDIGENT HEALTH"</f>
        <v>INDIGENT HEALTH</v>
      </c>
      <c r="G743" s="5">
        <v>46.73</v>
      </c>
      <c r="H743" t="str">
        <f>"INDIGENT HEALTH"</f>
        <v>INDIGENT HEALTH</v>
      </c>
    </row>
    <row r="744" spans="1:8" x14ac:dyDescent="0.25">
      <c r="A744" t="s">
        <v>221</v>
      </c>
      <c r="B744">
        <v>136403</v>
      </c>
      <c r="C744" s="5">
        <v>1031.8699999999999</v>
      </c>
      <c r="D744" s="3">
        <v>44403</v>
      </c>
      <c r="E744" t="str">
        <f>"001956794"</f>
        <v>001956794</v>
      </c>
      <c r="F744" t="str">
        <f>"INV001956794"</f>
        <v>INV001956794</v>
      </c>
      <c r="G744" s="5">
        <v>1031.8699999999999</v>
      </c>
      <c r="H744" t="str">
        <f>"INV001956794"</f>
        <v>INV001956794</v>
      </c>
    </row>
    <row r="745" spans="1:8" x14ac:dyDescent="0.25">
      <c r="A745" t="s">
        <v>222</v>
      </c>
      <c r="B745">
        <v>136231</v>
      </c>
      <c r="C745" s="5">
        <v>137.02000000000001</v>
      </c>
      <c r="D745" s="3">
        <v>44389</v>
      </c>
      <c r="E745" t="str">
        <f>"0023724235"</f>
        <v>0023724235</v>
      </c>
      <c r="F745" t="str">
        <f>"ACCT#S9549/PCT#1"</f>
        <v>ACCT#S9549/PCT#1</v>
      </c>
      <c r="G745" s="5">
        <v>137.02000000000001</v>
      </c>
      <c r="H745" t="str">
        <f>"ACCT#S9549/PCT#1"</f>
        <v>ACCT#S9549/PCT#1</v>
      </c>
    </row>
    <row r="746" spans="1:8" x14ac:dyDescent="0.25">
      <c r="A746" t="s">
        <v>222</v>
      </c>
      <c r="B746">
        <v>136404</v>
      </c>
      <c r="C746" s="5">
        <v>349.6</v>
      </c>
      <c r="D746" s="3">
        <v>44403</v>
      </c>
      <c r="E746" t="str">
        <f>"0023796872"</f>
        <v>0023796872</v>
      </c>
      <c r="F746" t="str">
        <f>"ACCT#41472/PCT#1"</f>
        <v>ACCT#41472/PCT#1</v>
      </c>
      <c r="G746" s="5">
        <v>31.23</v>
      </c>
      <c r="H746" t="str">
        <f>"ACCT#41472/PCT#1"</f>
        <v>ACCT#41472/PCT#1</v>
      </c>
    </row>
    <row r="747" spans="1:8" x14ac:dyDescent="0.25">
      <c r="E747" t="str">
        <f>"0023796936"</f>
        <v>0023796936</v>
      </c>
      <c r="F747" t="str">
        <f>"ACCT#45057/PCT#4"</f>
        <v>ACCT#45057/PCT#4</v>
      </c>
      <c r="G747" s="5">
        <v>57.73</v>
      </c>
      <c r="H747" t="str">
        <f>"ACCT#45057/PCT#4"</f>
        <v>ACCT#45057/PCT#4</v>
      </c>
    </row>
    <row r="748" spans="1:8" x14ac:dyDescent="0.25">
      <c r="E748" t="str">
        <f>"0023796981"</f>
        <v>0023796981</v>
      </c>
      <c r="F748" t="str">
        <f>"INV 0023796981"</f>
        <v>INV 0023796981</v>
      </c>
      <c r="G748" s="5">
        <v>65.64</v>
      </c>
      <c r="H748" t="str">
        <f>"INV 0023796981"</f>
        <v>INV 0023796981</v>
      </c>
    </row>
    <row r="749" spans="1:8" x14ac:dyDescent="0.25">
      <c r="E749" t="str">
        <f>"0023803881"</f>
        <v>0023803881</v>
      </c>
      <c r="F749" t="str">
        <f>"ACCT#S9549/PCT#1"</f>
        <v>ACCT#S9549/PCT#1</v>
      </c>
      <c r="G749" s="5">
        <v>195</v>
      </c>
      <c r="H749" t="str">
        <f>"ACCT#S9549/PCT#1"</f>
        <v>ACCT#S9549/PCT#1</v>
      </c>
    </row>
    <row r="750" spans="1:8" x14ac:dyDescent="0.25">
      <c r="A750" t="s">
        <v>223</v>
      </c>
      <c r="B750">
        <v>136405</v>
      </c>
      <c r="C750" s="5">
        <v>90</v>
      </c>
      <c r="D750" s="3">
        <v>44403</v>
      </c>
      <c r="E750" t="str">
        <f>"202107204718"</f>
        <v>202107204718</v>
      </c>
      <c r="F750" t="str">
        <f>"PER DIEM"</f>
        <v>PER DIEM</v>
      </c>
      <c r="G750" s="5">
        <v>90</v>
      </c>
      <c r="H750" t="str">
        <f>"PER DIEM"</f>
        <v>PER DIEM</v>
      </c>
    </row>
    <row r="751" spans="1:8" x14ac:dyDescent="0.25">
      <c r="A751" t="s">
        <v>224</v>
      </c>
      <c r="B751">
        <v>136406</v>
      </c>
      <c r="C751" s="5">
        <v>135</v>
      </c>
      <c r="D751" s="3">
        <v>44403</v>
      </c>
      <c r="E751" t="str">
        <f>"202107204725"</f>
        <v>202107204725</v>
      </c>
      <c r="F751" t="str">
        <f>"PER DIEM"</f>
        <v>PER DIEM</v>
      </c>
      <c r="G751" s="5">
        <v>135</v>
      </c>
      <c r="H751" t="str">
        <f>"PER DIEM"</f>
        <v>PER DIEM</v>
      </c>
    </row>
    <row r="752" spans="1:8" x14ac:dyDescent="0.25">
      <c r="A752" t="s">
        <v>225</v>
      </c>
      <c r="B752">
        <v>136407</v>
      </c>
      <c r="C752" s="5">
        <v>75</v>
      </c>
      <c r="D752" s="3">
        <v>44403</v>
      </c>
      <c r="E752" t="str">
        <f>"13120"</f>
        <v>13120</v>
      </c>
      <c r="F752" t="str">
        <f>"SERVICE"</f>
        <v>SERVICE</v>
      </c>
      <c r="G752" s="5">
        <v>75</v>
      </c>
      <c r="H752" t="str">
        <f>"SERVICE"</f>
        <v>SERVICE</v>
      </c>
    </row>
    <row r="753" spans="1:8" x14ac:dyDescent="0.25">
      <c r="A753" t="s">
        <v>226</v>
      </c>
      <c r="B753">
        <v>4837</v>
      </c>
      <c r="C753" s="5">
        <v>1723.58</v>
      </c>
      <c r="D753" s="3">
        <v>44404</v>
      </c>
      <c r="E753" t="str">
        <f>"202107134535"</f>
        <v>202107134535</v>
      </c>
      <c r="F753" t="str">
        <f>"ACCT#900-98011130-001/PCT#3"</f>
        <v>ACCT#900-98011130-001/PCT#3</v>
      </c>
      <c r="G753" s="5">
        <v>897.94</v>
      </c>
      <c r="H753" t="str">
        <f>"ACCT#900-98011130-001/PCT#3"</f>
        <v>ACCT#900-98011130-001/PCT#3</v>
      </c>
    </row>
    <row r="754" spans="1:8" x14ac:dyDescent="0.25">
      <c r="E754" t="str">
        <f>"609560"</f>
        <v>609560</v>
      </c>
      <c r="F754" t="str">
        <f>"ACCT#0900-98011130/PCT#3"</f>
        <v>ACCT#0900-98011130/PCT#3</v>
      </c>
      <c r="G754" s="5">
        <v>809.33</v>
      </c>
      <c r="H754" t="str">
        <f>"ACCT#0900-98011130/PCT#3"</f>
        <v>ACCT#0900-98011130/PCT#3</v>
      </c>
    </row>
    <row r="755" spans="1:8" x14ac:dyDescent="0.25">
      <c r="E755" t="str">
        <f>"609745"</f>
        <v>609745</v>
      </c>
      <c r="F755" t="str">
        <f>"ACCT#0900-98011130-001/PCT#3"</f>
        <v>ACCT#0900-98011130-001/PCT#3</v>
      </c>
      <c r="G755" s="5">
        <v>16.309999999999999</v>
      </c>
      <c r="H755" t="str">
        <f>"ACCT#0900-98011130-001/PCT#3"</f>
        <v>ACCT#0900-98011130-001/PCT#3</v>
      </c>
    </row>
    <row r="756" spans="1:8" x14ac:dyDescent="0.25">
      <c r="A756" t="s">
        <v>227</v>
      </c>
      <c r="B756">
        <v>136232</v>
      </c>
      <c r="C756" s="5">
        <v>11378.31</v>
      </c>
      <c r="D756" s="3">
        <v>44389</v>
      </c>
      <c r="E756" t="str">
        <f>"13286"</f>
        <v>13286</v>
      </c>
      <c r="F756" t="str">
        <f>"ABST FEE"</f>
        <v>ABST FEE</v>
      </c>
      <c r="G756" s="5">
        <v>225</v>
      </c>
      <c r="H756" t="str">
        <f>"ABST FEE"</f>
        <v>ABST FEE</v>
      </c>
    </row>
    <row r="757" spans="1:8" x14ac:dyDescent="0.25">
      <c r="E757" t="str">
        <f>"13357"</f>
        <v>13357</v>
      </c>
      <c r="F757" t="str">
        <f>"ABST FEE"</f>
        <v>ABST FEE</v>
      </c>
      <c r="G757" s="5">
        <v>225</v>
      </c>
      <c r="H757" t="str">
        <f>"ABST FEE"</f>
        <v>ABST FEE</v>
      </c>
    </row>
    <row r="758" spans="1:8" x14ac:dyDescent="0.25">
      <c r="E758" t="str">
        <f>"13424"</f>
        <v>13424</v>
      </c>
      <c r="F758" t="str">
        <f>"ABST FEE"</f>
        <v>ABST FEE</v>
      </c>
      <c r="G758" s="5">
        <v>225</v>
      </c>
      <c r="H758" t="str">
        <f>"ABST FEE"</f>
        <v>ABST FEE</v>
      </c>
    </row>
    <row r="759" spans="1:8" x14ac:dyDescent="0.25">
      <c r="E759" t="str">
        <f>"13617"</f>
        <v>13617</v>
      </c>
      <c r="F759" t="str">
        <f>"ABST FEE"</f>
        <v>ABST FEE</v>
      </c>
      <c r="G759" s="5">
        <v>225</v>
      </c>
      <c r="H759" t="str">
        <f>"ABST FEE"</f>
        <v>ABST FEE</v>
      </c>
    </row>
    <row r="760" spans="1:8" x14ac:dyDescent="0.25">
      <c r="E760" t="str">
        <f>"13701"</f>
        <v>13701</v>
      </c>
      <c r="F760" t="str">
        <f>"ABST FEE"</f>
        <v>ABST FEE</v>
      </c>
      <c r="G760" s="5">
        <v>9</v>
      </c>
      <c r="H760" t="str">
        <f>"ABST FEE"</f>
        <v>ABST FEE</v>
      </c>
    </row>
    <row r="761" spans="1:8" x14ac:dyDescent="0.25">
      <c r="E761" t="str">
        <f>"202107074423"</f>
        <v>202107074423</v>
      </c>
      <c r="F761" t="str">
        <f>"JUNE 2021 ATTNY FEES"</f>
        <v>JUNE 2021 ATTNY FEES</v>
      </c>
      <c r="G761" s="5">
        <v>10469.31</v>
      </c>
      <c r="H761" t="str">
        <f>"JUNE 2021 ATTNY FEES"</f>
        <v>JUNE 2021 ATTNY FEES</v>
      </c>
    </row>
    <row r="762" spans="1:8" x14ac:dyDescent="0.25">
      <c r="A762" t="s">
        <v>227</v>
      </c>
      <c r="B762">
        <v>136408</v>
      </c>
      <c r="C762" s="5">
        <v>3778</v>
      </c>
      <c r="D762" s="3">
        <v>44403</v>
      </c>
      <c r="E762" t="str">
        <f>"12330"</f>
        <v>12330</v>
      </c>
      <c r="F762" t="str">
        <f>"ABST FEE"</f>
        <v>ABST FEE</v>
      </c>
      <c r="G762" s="5">
        <v>175</v>
      </c>
      <c r="H762" t="str">
        <f>"ABST FEE"</f>
        <v>ABST FEE</v>
      </c>
    </row>
    <row r="763" spans="1:8" x14ac:dyDescent="0.25">
      <c r="E763" t="str">
        <f>"12710"</f>
        <v>12710</v>
      </c>
      <c r="F763" t="str">
        <f>"ABST FEE"</f>
        <v>ABST FEE</v>
      </c>
      <c r="G763" s="5">
        <v>170</v>
      </c>
      <c r="H763" t="str">
        <f>"ABST FEE"</f>
        <v>ABST FEE</v>
      </c>
    </row>
    <row r="764" spans="1:8" x14ac:dyDescent="0.25">
      <c r="E764" t="str">
        <f>"12738"</f>
        <v>12738</v>
      </c>
      <c r="F764" t="str">
        <f>"ABST FEE"</f>
        <v>ABST FEE</v>
      </c>
      <c r="G764" s="5">
        <v>225</v>
      </c>
      <c r="H764" t="str">
        <f>"ABST FEE"</f>
        <v>ABST FEE</v>
      </c>
    </row>
    <row r="765" spans="1:8" x14ac:dyDescent="0.25">
      <c r="E765" t="str">
        <f>"12869"</f>
        <v>12869</v>
      </c>
      <c r="F765" t="str">
        <f>"ABST FEE"</f>
        <v>ABST FEE</v>
      </c>
      <c r="G765" s="5">
        <v>225</v>
      </c>
      <c r="H765" t="str">
        <f>"ABST FEE"</f>
        <v>ABST FEE</v>
      </c>
    </row>
    <row r="766" spans="1:8" x14ac:dyDescent="0.25">
      <c r="E766" t="str">
        <f>"12917"</f>
        <v>12917</v>
      </c>
      <c r="F766" t="str">
        <f>"ABST FEE"</f>
        <v>ABST FEE</v>
      </c>
      <c r="G766" s="5">
        <v>225</v>
      </c>
      <c r="H766" t="str">
        <f>"ABST FEE"</f>
        <v>ABST FEE</v>
      </c>
    </row>
    <row r="767" spans="1:8" x14ac:dyDescent="0.25">
      <c r="E767" t="str">
        <f>"12926"</f>
        <v>12926</v>
      </c>
      <c r="F767" t="str">
        <f>"225 ABST FEE/ 55 SERVICE"</f>
        <v>225 ABST FEE/ 55 SERVICE</v>
      </c>
      <c r="G767" s="5">
        <v>280</v>
      </c>
      <c r="H767" t="str">
        <f>"225 ABST FEE/ 55 SERVICE"</f>
        <v>225 ABST FEE/ 55 SERVICE</v>
      </c>
    </row>
    <row r="768" spans="1:8" x14ac:dyDescent="0.25">
      <c r="E768" t="str">
        <f>"12940 5-3-21"</f>
        <v>12940 5-3-21</v>
      </c>
      <c r="F768" t="str">
        <f t="shared" ref="F768:F781" si="14">"ABST FEE"</f>
        <v>ABST FEE</v>
      </c>
      <c r="G768" s="5">
        <v>50</v>
      </c>
      <c r="H768" t="str">
        <f t="shared" ref="H768:H781" si="15">"ABST FEE"</f>
        <v>ABST FEE</v>
      </c>
    </row>
    <row r="769" spans="1:8" x14ac:dyDescent="0.25">
      <c r="E769" t="str">
        <f>"13032"</f>
        <v>13032</v>
      </c>
      <c r="F769" t="str">
        <f t="shared" si="14"/>
        <v>ABST FEE</v>
      </c>
      <c r="G769" s="5">
        <v>225</v>
      </c>
      <c r="H769" t="str">
        <f t="shared" si="15"/>
        <v>ABST FEE</v>
      </c>
    </row>
    <row r="770" spans="1:8" x14ac:dyDescent="0.25">
      <c r="E770" t="str">
        <f>"13102"</f>
        <v>13102</v>
      </c>
      <c r="F770" t="str">
        <f t="shared" si="14"/>
        <v>ABST FEE</v>
      </c>
      <c r="G770" s="5">
        <v>225</v>
      </c>
      <c r="H770" t="str">
        <f t="shared" si="15"/>
        <v>ABST FEE</v>
      </c>
    </row>
    <row r="771" spans="1:8" x14ac:dyDescent="0.25">
      <c r="E771" t="str">
        <f>"13255"</f>
        <v>13255</v>
      </c>
      <c r="F771" t="str">
        <f t="shared" si="14"/>
        <v>ABST FEE</v>
      </c>
      <c r="G771" s="5">
        <v>225</v>
      </c>
      <c r="H771" t="str">
        <f t="shared" si="15"/>
        <v>ABST FEE</v>
      </c>
    </row>
    <row r="772" spans="1:8" x14ac:dyDescent="0.25">
      <c r="E772" t="str">
        <f>"13305"</f>
        <v>13305</v>
      </c>
      <c r="F772" t="str">
        <f t="shared" si="14"/>
        <v>ABST FEE</v>
      </c>
      <c r="G772" s="5">
        <v>225</v>
      </c>
      <c r="H772" t="str">
        <f t="shared" si="15"/>
        <v>ABST FEE</v>
      </c>
    </row>
    <row r="773" spans="1:8" x14ac:dyDescent="0.25">
      <c r="E773" t="str">
        <f>"13394 5-3-21"</f>
        <v>13394 5-3-21</v>
      </c>
      <c r="F773" t="str">
        <f t="shared" si="14"/>
        <v>ABST FEE</v>
      </c>
      <c r="G773" s="5">
        <v>40</v>
      </c>
      <c r="H773" t="str">
        <f t="shared" si="15"/>
        <v>ABST FEE</v>
      </c>
    </row>
    <row r="774" spans="1:8" x14ac:dyDescent="0.25">
      <c r="E774" t="str">
        <f>"13406"</f>
        <v>13406</v>
      </c>
      <c r="F774" t="str">
        <f t="shared" si="14"/>
        <v>ABST FEE</v>
      </c>
      <c r="G774" s="5">
        <v>225</v>
      </c>
      <c r="H774" t="str">
        <f t="shared" si="15"/>
        <v>ABST FEE</v>
      </c>
    </row>
    <row r="775" spans="1:8" x14ac:dyDescent="0.25">
      <c r="E775" t="str">
        <f>"13565"</f>
        <v>13565</v>
      </c>
      <c r="F775" t="str">
        <f t="shared" si="14"/>
        <v>ABST FEE</v>
      </c>
      <c r="G775" s="5">
        <v>225</v>
      </c>
      <c r="H775" t="str">
        <f t="shared" si="15"/>
        <v>ABST FEE</v>
      </c>
    </row>
    <row r="776" spans="1:8" x14ac:dyDescent="0.25">
      <c r="E776" t="str">
        <f>"13603 5-20-21"</f>
        <v>13603 5-20-21</v>
      </c>
      <c r="F776" t="str">
        <f t="shared" si="14"/>
        <v>ABST FEE</v>
      </c>
      <c r="G776" s="5">
        <v>88</v>
      </c>
      <c r="H776" t="str">
        <f t="shared" si="15"/>
        <v>ABST FEE</v>
      </c>
    </row>
    <row r="777" spans="1:8" x14ac:dyDescent="0.25">
      <c r="E777" t="str">
        <f>"13611 5-27-21"</f>
        <v>13611 5-27-21</v>
      </c>
      <c r="F777" t="str">
        <f t="shared" si="14"/>
        <v>ABST FEE</v>
      </c>
      <c r="G777" s="5">
        <v>50</v>
      </c>
      <c r="H777" t="str">
        <f t="shared" si="15"/>
        <v>ABST FEE</v>
      </c>
    </row>
    <row r="778" spans="1:8" x14ac:dyDescent="0.25">
      <c r="E778" t="str">
        <f>"13643"</f>
        <v>13643</v>
      </c>
      <c r="F778" t="str">
        <f t="shared" si="14"/>
        <v>ABST FEE</v>
      </c>
      <c r="G778" s="5">
        <v>225</v>
      </c>
      <c r="H778" t="str">
        <f t="shared" si="15"/>
        <v>ABST FEE</v>
      </c>
    </row>
    <row r="779" spans="1:8" x14ac:dyDescent="0.25">
      <c r="E779" t="str">
        <f>"13683"</f>
        <v>13683</v>
      </c>
      <c r="F779" t="str">
        <f t="shared" si="14"/>
        <v>ABST FEE</v>
      </c>
      <c r="G779" s="5">
        <v>225</v>
      </c>
      <c r="H779" t="str">
        <f t="shared" si="15"/>
        <v>ABST FEE</v>
      </c>
    </row>
    <row r="780" spans="1:8" x14ac:dyDescent="0.25">
      <c r="E780" t="str">
        <f>"13694"</f>
        <v>13694</v>
      </c>
      <c r="F780" t="str">
        <f t="shared" si="14"/>
        <v>ABST FEE</v>
      </c>
      <c r="G780" s="5">
        <v>225</v>
      </c>
      <c r="H780" t="str">
        <f t="shared" si="15"/>
        <v>ABST FEE</v>
      </c>
    </row>
    <row r="781" spans="1:8" x14ac:dyDescent="0.25">
      <c r="E781" t="str">
        <f>"13702"</f>
        <v>13702</v>
      </c>
      <c r="F781" t="str">
        <f t="shared" si="14"/>
        <v>ABST FEE</v>
      </c>
      <c r="G781" s="5">
        <v>225</v>
      </c>
      <c r="H781" t="str">
        <f t="shared" si="15"/>
        <v>ABST FEE</v>
      </c>
    </row>
    <row r="782" spans="1:8" x14ac:dyDescent="0.25">
      <c r="A782" t="s">
        <v>228</v>
      </c>
      <c r="B782">
        <v>136233</v>
      </c>
      <c r="C782" s="5">
        <v>975</v>
      </c>
      <c r="D782" s="3">
        <v>44389</v>
      </c>
      <c r="E782" t="str">
        <f>"2021003"</f>
        <v>2021003</v>
      </c>
      <c r="F782" t="str">
        <f>"INV 2021003"</f>
        <v>INV 2021003</v>
      </c>
      <c r="G782" s="5">
        <v>975</v>
      </c>
      <c r="H782" t="str">
        <f>"INV 2021003"</f>
        <v>INV 2021003</v>
      </c>
    </row>
    <row r="783" spans="1:8" x14ac:dyDescent="0.25">
      <c r="A783" t="s">
        <v>229</v>
      </c>
      <c r="B783">
        <v>136234</v>
      </c>
      <c r="C783" s="5">
        <v>2528.2600000000002</v>
      </c>
      <c r="D783" s="3">
        <v>44389</v>
      </c>
      <c r="E783" t="str">
        <f>"18237969"</f>
        <v>18237969</v>
      </c>
      <c r="F783" t="str">
        <f>"INV 18237969  18262187  1"</f>
        <v>INV 18237969  18262187  1</v>
      </c>
      <c r="G783" s="5">
        <v>950.85</v>
      </c>
      <c r="H783" t="str">
        <f>"INV 18237969"</f>
        <v>INV 18237969</v>
      </c>
    </row>
    <row r="784" spans="1:8" x14ac:dyDescent="0.25">
      <c r="E784" t="str">
        <f>""</f>
        <v/>
      </c>
      <c r="F784" t="str">
        <f>""</f>
        <v/>
      </c>
      <c r="H784" t="str">
        <f>"INV 18262187"</f>
        <v>INV 18262187</v>
      </c>
    </row>
    <row r="785" spans="1:8" x14ac:dyDescent="0.25">
      <c r="E785" t="str">
        <f>""</f>
        <v/>
      </c>
      <c r="F785" t="str">
        <f>""</f>
        <v/>
      </c>
      <c r="H785" t="str">
        <f>"INV 18269226"</f>
        <v>INV 18269226</v>
      </c>
    </row>
    <row r="786" spans="1:8" x14ac:dyDescent="0.25">
      <c r="E786" t="str">
        <f>"18253549"</f>
        <v>18253549</v>
      </c>
      <c r="F786" t="str">
        <f>"INV 18253649  18252684"</f>
        <v>INV 18253649  18252684</v>
      </c>
      <c r="G786" s="5">
        <v>1577.41</v>
      </c>
      <c r="H786" t="str">
        <f>"INV 18253649"</f>
        <v>INV 18253649</v>
      </c>
    </row>
    <row r="787" spans="1:8" x14ac:dyDescent="0.25">
      <c r="E787" t="str">
        <f>""</f>
        <v/>
      </c>
      <c r="F787" t="str">
        <f>""</f>
        <v/>
      </c>
      <c r="H787" t="str">
        <f>"INV 18252684"</f>
        <v>INV 18252684</v>
      </c>
    </row>
    <row r="788" spans="1:8" x14ac:dyDescent="0.25">
      <c r="A788" t="s">
        <v>229</v>
      </c>
      <c r="B788">
        <v>136409</v>
      </c>
      <c r="C788" s="5">
        <v>883.87</v>
      </c>
      <c r="D788" s="3">
        <v>44403</v>
      </c>
      <c r="E788" t="str">
        <f>"18285352"</f>
        <v>18285352</v>
      </c>
      <c r="F788" t="str">
        <f>"INV 18285352  18285364"</f>
        <v>INV 18285352  18285364</v>
      </c>
      <c r="G788" s="5">
        <v>883.87</v>
      </c>
      <c r="H788" t="str">
        <f>"INV 18285352"</f>
        <v>INV 18285352</v>
      </c>
    </row>
    <row r="789" spans="1:8" x14ac:dyDescent="0.25">
      <c r="E789" t="str">
        <f>""</f>
        <v/>
      </c>
      <c r="F789" t="str">
        <f>""</f>
        <v/>
      </c>
      <c r="H789" t="str">
        <f>"INV 18285364"</f>
        <v>INV 18285364</v>
      </c>
    </row>
    <row r="790" spans="1:8" x14ac:dyDescent="0.25">
      <c r="A790" t="s">
        <v>230</v>
      </c>
      <c r="B790">
        <v>136235</v>
      </c>
      <c r="C790" s="5">
        <v>1092.1199999999999</v>
      </c>
      <c r="D790" s="3">
        <v>44389</v>
      </c>
      <c r="E790" t="str">
        <f>"202107014236"</f>
        <v>202107014236</v>
      </c>
      <c r="F790" t="str">
        <f>"INDIGENT HEALTH"</f>
        <v>INDIGENT HEALTH</v>
      </c>
      <c r="G790" s="5">
        <v>1092.1199999999999</v>
      </c>
      <c r="H790" t="str">
        <f>"INDIGENT HEALTH"</f>
        <v>INDIGENT HEALTH</v>
      </c>
    </row>
    <row r="791" spans="1:8" x14ac:dyDescent="0.25">
      <c r="A791" t="s">
        <v>230</v>
      </c>
      <c r="B791">
        <v>136410</v>
      </c>
      <c r="C791" s="5">
        <v>1003.4</v>
      </c>
      <c r="D791" s="3">
        <v>44403</v>
      </c>
      <c r="E791" t="str">
        <f>"202107204690"</f>
        <v>202107204690</v>
      </c>
      <c r="F791" t="str">
        <f>"INDIGENT HEALTH"</f>
        <v>INDIGENT HEALTH</v>
      </c>
      <c r="G791" s="5">
        <v>1003.4</v>
      </c>
      <c r="H791" t="str">
        <f>"INDIGENT HEALTH"</f>
        <v>INDIGENT HEALTH</v>
      </c>
    </row>
    <row r="792" spans="1:8" x14ac:dyDescent="0.25">
      <c r="E792" t="str">
        <f>""</f>
        <v/>
      </c>
      <c r="F792" t="str">
        <f>""</f>
        <v/>
      </c>
      <c r="H792" t="str">
        <f>"INDIGENT HEALTH"</f>
        <v>INDIGENT HEALTH</v>
      </c>
    </row>
    <row r="793" spans="1:8" x14ac:dyDescent="0.25">
      <c r="A793" t="s">
        <v>231</v>
      </c>
      <c r="B793">
        <v>4741</v>
      </c>
      <c r="C793" s="5">
        <v>602.29</v>
      </c>
      <c r="D793" s="3">
        <v>44390</v>
      </c>
      <c r="E793" t="str">
        <f>"202107074420"</f>
        <v>202107074420</v>
      </c>
      <c r="F793" t="str">
        <f>"REIMBURSE/MELLANIE MICKELSON"</f>
        <v>REIMBURSE/MELLANIE MICKELSON</v>
      </c>
      <c r="G793" s="5">
        <v>311.5</v>
      </c>
      <c r="H793" t="str">
        <f>"REIMBURSE/MELLANIE MICKELSON"</f>
        <v>REIMBURSE/MELLANIE MICKELSON</v>
      </c>
    </row>
    <row r="794" spans="1:8" x14ac:dyDescent="0.25">
      <c r="E794" t="str">
        <f>"202107074421"</f>
        <v>202107074421</v>
      </c>
      <c r="F794" t="str">
        <f>"REIMBURSE/MELLANIE MICKELSON"</f>
        <v>REIMBURSE/MELLANIE MICKELSON</v>
      </c>
      <c r="G794" s="5">
        <v>290.79000000000002</v>
      </c>
      <c r="H794" t="str">
        <f>"REIMBURSE/MELLANIE MICKELSON"</f>
        <v>REIMBURSE/MELLANIE MICKELSON</v>
      </c>
    </row>
    <row r="795" spans="1:8" x14ac:dyDescent="0.25">
      <c r="A795" t="s">
        <v>232</v>
      </c>
      <c r="B795">
        <v>136411</v>
      </c>
      <c r="C795" s="5">
        <v>825</v>
      </c>
      <c r="D795" s="3">
        <v>44403</v>
      </c>
      <c r="E795" t="str">
        <f>"12371"</f>
        <v>12371</v>
      </c>
      <c r="F795" t="str">
        <f>"INV 12371"</f>
        <v>INV 12371</v>
      </c>
      <c r="G795" s="5">
        <v>825</v>
      </c>
      <c r="H795" t="str">
        <f>"INV 12371"</f>
        <v>INV 12371</v>
      </c>
    </row>
    <row r="796" spans="1:8" x14ac:dyDescent="0.25">
      <c r="E796" t="str">
        <f>""</f>
        <v/>
      </c>
      <c r="F796" t="str">
        <f>""</f>
        <v/>
      </c>
      <c r="H796" t="str">
        <f>"INV 12371"</f>
        <v>INV 12371</v>
      </c>
    </row>
    <row r="797" spans="1:8" x14ac:dyDescent="0.25">
      <c r="A797" t="s">
        <v>233</v>
      </c>
      <c r="B797">
        <v>136412</v>
      </c>
      <c r="C797" s="5">
        <v>10</v>
      </c>
      <c r="D797" s="3">
        <v>44403</v>
      </c>
      <c r="E797" t="str">
        <f>"8-941"</f>
        <v>8-941</v>
      </c>
      <c r="F797" t="str">
        <f>"RESTITUTION/JAMIE WINGWOOD"</f>
        <v>RESTITUTION/JAMIE WINGWOOD</v>
      </c>
      <c r="G797" s="5">
        <v>10</v>
      </c>
      <c r="H797" t="str">
        <f>"RESTITUTION/JAMIE WINGWOOD"</f>
        <v>RESTITUTION/JAMIE WINGWOOD</v>
      </c>
    </row>
    <row r="798" spans="1:8" x14ac:dyDescent="0.25">
      <c r="A798" t="s">
        <v>234</v>
      </c>
      <c r="B798">
        <v>4712</v>
      </c>
      <c r="C798" s="5">
        <v>1769.95</v>
      </c>
      <c r="D798" s="3">
        <v>44390</v>
      </c>
      <c r="E798" t="str">
        <f>"24902"</f>
        <v>24902</v>
      </c>
      <c r="F798" t="str">
        <f>"FRIGHT SALES/PCT#2"</f>
        <v>FRIGHT SALES/PCT#2</v>
      </c>
      <c r="G798" s="5">
        <v>813.05</v>
      </c>
      <c r="H798" t="str">
        <f>"FRIGHT SALES/PCT#2"</f>
        <v>FRIGHT SALES/PCT#2</v>
      </c>
    </row>
    <row r="799" spans="1:8" x14ac:dyDescent="0.25">
      <c r="E799" t="str">
        <f>"24957"</f>
        <v>24957</v>
      </c>
      <c r="F799" t="str">
        <f>"FRIGHT SALES/PCT#2"</f>
        <v>FRIGHT SALES/PCT#2</v>
      </c>
      <c r="G799" s="5">
        <v>956.9</v>
      </c>
      <c r="H799" t="str">
        <f>"FRIGHT SALES/PCT#2"</f>
        <v>FRIGHT SALES/PCT#2</v>
      </c>
    </row>
    <row r="800" spans="1:8" x14ac:dyDescent="0.25">
      <c r="A800" t="s">
        <v>234</v>
      </c>
      <c r="B800">
        <v>4792</v>
      </c>
      <c r="C800" s="5">
        <v>975.45</v>
      </c>
      <c r="D800" s="3">
        <v>44404</v>
      </c>
      <c r="E800" t="str">
        <f>"25019"</f>
        <v>25019</v>
      </c>
      <c r="F800" t="str">
        <f>"FREIGHT SALES/PCT#2"</f>
        <v>FREIGHT SALES/PCT#2</v>
      </c>
      <c r="G800" s="5">
        <v>854.35</v>
      </c>
      <c r="H800" t="str">
        <f>"FREIGHT SALES/PCT#2"</f>
        <v>FREIGHT SALES/PCT#2</v>
      </c>
    </row>
    <row r="801" spans="1:8" x14ac:dyDescent="0.25">
      <c r="E801" t="str">
        <f>"25110"</f>
        <v>25110</v>
      </c>
      <c r="F801" t="str">
        <f>"FRIGHT SALES/PCT#2"</f>
        <v>FRIGHT SALES/PCT#2</v>
      </c>
      <c r="G801" s="5">
        <v>121.1</v>
      </c>
      <c r="H801" t="str">
        <f>"FRIGHT SALES/PCT#2"</f>
        <v>FRIGHT SALES/PCT#2</v>
      </c>
    </row>
    <row r="802" spans="1:8" x14ac:dyDescent="0.25">
      <c r="A802" t="s">
        <v>235</v>
      </c>
      <c r="B802">
        <v>136115</v>
      </c>
      <c r="C802" s="5">
        <v>20</v>
      </c>
      <c r="D802" s="3">
        <v>44385</v>
      </c>
      <c r="E802" t="str">
        <f>"202107084465"</f>
        <v>202107084465</v>
      </c>
      <c r="F802" t="str">
        <f>"Misc"</f>
        <v>Misc</v>
      </c>
      <c r="G802" s="5">
        <v>20</v>
      </c>
      <c r="H802" t="str">
        <f>"FRANCES ELIZABETH DRUCK"</f>
        <v>FRANCES ELIZABETH DRUCK</v>
      </c>
    </row>
    <row r="803" spans="1:8" x14ac:dyDescent="0.25">
      <c r="A803" t="s">
        <v>236</v>
      </c>
      <c r="B803">
        <v>136116</v>
      </c>
      <c r="C803" s="5">
        <v>20</v>
      </c>
      <c r="D803" s="3">
        <v>44385</v>
      </c>
      <c r="E803" t="str">
        <f>"202107084466"</f>
        <v>202107084466</v>
      </c>
      <c r="F803" t="str">
        <f>"Miscellan"</f>
        <v>Miscellan</v>
      </c>
      <c r="G803" s="5">
        <v>20</v>
      </c>
      <c r="H803" t="str">
        <f>"DOUGLAS JOHN ARNEW"</f>
        <v>DOUGLAS JOHN ARNEW</v>
      </c>
    </row>
    <row r="804" spans="1:8" x14ac:dyDescent="0.25">
      <c r="A804" t="s">
        <v>237</v>
      </c>
      <c r="B804">
        <v>136117</v>
      </c>
      <c r="C804" s="5">
        <v>20</v>
      </c>
      <c r="D804" s="3">
        <v>44385</v>
      </c>
      <c r="E804" t="str">
        <f>"202107084467"</f>
        <v>202107084467</v>
      </c>
      <c r="F804" t="str">
        <f>"Miscellan"</f>
        <v>Miscellan</v>
      </c>
      <c r="G804" s="5">
        <v>20</v>
      </c>
      <c r="H804" t="str">
        <f>"TERRI LYNNE HOCKER"</f>
        <v>TERRI LYNNE HOCKER</v>
      </c>
    </row>
    <row r="805" spans="1:8" x14ac:dyDescent="0.25">
      <c r="A805" t="s">
        <v>238</v>
      </c>
      <c r="B805">
        <v>136118</v>
      </c>
      <c r="C805" s="5">
        <v>20</v>
      </c>
      <c r="D805" s="3">
        <v>44385</v>
      </c>
      <c r="E805" t="str">
        <f>"202107084468"</f>
        <v>202107084468</v>
      </c>
      <c r="F805" t="str">
        <f>"Miscella"</f>
        <v>Miscella</v>
      </c>
      <c r="G805" s="5">
        <v>20</v>
      </c>
      <c r="H805" t="str">
        <f>"STEVEN LANCE DODSON"</f>
        <v>STEVEN LANCE DODSON</v>
      </c>
    </row>
    <row r="806" spans="1:8" x14ac:dyDescent="0.25">
      <c r="A806" t="s">
        <v>239</v>
      </c>
      <c r="B806">
        <v>136119</v>
      </c>
      <c r="C806" s="5">
        <v>20</v>
      </c>
      <c r="D806" s="3">
        <v>44385</v>
      </c>
      <c r="E806" t="str">
        <f>"202107084469"</f>
        <v>202107084469</v>
      </c>
      <c r="F806" t="str">
        <f>"Miscell"</f>
        <v>Miscell</v>
      </c>
      <c r="G806" s="5">
        <v>20</v>
      </c>
      <c r="H806" t="str">
        <f>"KENNETH RAY HENRY SR"</f>
        <v>KENNETH RAY HENRY SR</v>
      </c>
    </row>
    <row r="807" spans="1:8" x14ac:dyDescent="0.25">
      <c r="A807" t="s">
        <v>240</v>
      </c>
      <c r="B807">
        <v>136120</v>
      </c>
      <c r="C807" s="5">
        <v>20</v>
      </c>
      <c r="D807" s="3">
        <v>44385</v>
      </c>
      <c r="E807" t="str">
        <f>"202107084470"</f>
        <v>202107084470</v>
      </c>
      <c r="F807" t="str">
        <f>"Mis"</f>
        <v>Mis</v>
      </c>
      <c r="G807" s="5">
        <v>20</v>
      </c>
      <c r="H807" t="str">
        <f>"CHRISTOPHER GEORGE SMITH"</f>
        <v>CHRISTOPHER GEORGE SMITH</v>
      </c>
    </row>
    <row r="808" spans="1:8" x14ac:dyDescent="0.25">
      <c r="A808" t="s">
        <v>241</v>
      </c>
      <c r="B808">
        <v>136121</v>
      </c>
      <c r="C808" s="5">
        <v>20</v>
      </c>
      <c r="D808" s="3">
        <v>44385</v>
      </c>
      <c r="E808" t="str">
        <f>"202107084471"</f>
        <v>202107084471</v>
      </c>
      <c r="F808" t="str">
        <f>"Misce"</f>
        <v>Misce</v>
      </c>
      <c r="G808" s="5">
        <v>20</v>
      </c>
      <c r="H808" t="str">
        <f>"DORIS WILHELM FORADORY"</f>
        <v>DORIS WILHELM FORADORY</v>
      </c>
    </row>
    <row r="809" spans="1:8" x14ac:dyDescent="0.25">
      <c r="A809" t="s">
        <v>242</v>
      </c>
      <c r="B809">
        <v>136122</v>
      </c>
      <c r="C809" s="5">
        <v>20</v>
      </c>
      <c r="D809" s="3">
        <v>44385</v>
      </c>
      <c r="E809" t="str">
        <f>"202107084472"</f>
        <v>202107084472</v>
      </c>
      <c r="F809" t="str">
        <f>"Miscell"</f>
        <v>Miscell</v>
      </c>
      <c r="G809" s="5">
        <v>20</v>
      </c>
      <c r="H809" t="str">
        <f>"RICHARD GERARD AMAYA"</f>
        <v>RICHARD GERARD AMAYA</v>
      </c>
    </row>
    <row r="810" spans="1:8" x14ac:dyDescent="0.25">
      <c r="A810" t="s">
        <v>243</v>
      </c>
      <c r="B810">
        <v>136123</v>
      </c>
      <c r="C810" s="5">
        <v>20</v>
      </c>
      <c r="D810" s="3">
        <v>44385</v>
      </c>
      <c r="E810" t="str">
        <f>"202107084473"</f>
        <v>202107084473</v>
      </c>
      <c r="F810" t="str">
        <f>"Miscel"</f>
        <v>Miscel</v>
      </c>
      <c r="G810" s="5">
        <v>20</v>
      </c>
      <c r="H810" t="str">
        <f>"TILDA ANDERSON STOVAL"</f>
        <v>TILDA ANDERSON STOVAL</v>
      </c>
    </row>
    <row r="811" spans="1:8" x14ac:dyDescent="0.25">
      <c r="A811" t="s">
        <v>244</v>
      </c>
      <c r="B811">
        <v>136124</v>
      </c>
      <c r="C811" s="5">
        <v>20</v>
      </c>
      <c r="D811" s="3">
        <v>44385</v>
      </c>
      <c r="E811" t="str">
        <f>"202107084474"</f>
        <v>202107084474</v>
      </c>
      <c r="F811" t="str">
        <f>"Miscell"</f>
        <v>Miscell</v>
      </c>
      <c r="G811" s="5">
        <v>20</v>
      </c>
      <c r="H811" t="str">
        <f>"BROOKS JASSON MALAER"</f>
        <v>BROOKS JASSON MALAER</v>
      </c>
    </row>
    <row r="812" spans="1:8" x14ac:dyDescent="0.25">
      <c r="A812" t="s">
        <v>245</v>
      </c>
      <c r="B812">
        <v>136125</v>
      </c>
      <c r="C812" s="5">
        <v>20</v>
      </c>
      <c r="D812" s="3">
        <v>44385</v>
      </c>
      <c r="E812" t="str">
        <f>"202107084475"</f>
        <v>202107084475</v>
      </c>
      <c r="F812" t="str">
        <f>"Misce"</f>
        <v>Misce</v>
      </c>
      <c r="G812" s="5">
        <v>20</v>
      </c>
      <c r="H812" t="str">
        <f>"SHELBY SCHROEDER ESKEW"</f>
        <v>SHELBY SCHROEDER ESKEW</v>
      </c>
    </row>
    <row r="813" spans="1:8" x14ac:dyDescent="0.25">
      <c r="A813" t="s">
        <v>246</v>
      </c>
      <c r="B813">
        <v>136126</v>
      </c>
      <c r="C813" s="5">
        <v>20</v>
      </c>
      <c r="D813" s="3">
        <v>44385</v>
      </c>
      <c r="E813" t="str">
        <f>"202107084476"</f>
        <v>202107084476</v>
      </c>
      <c r="F813" t="str">
        <f>"Miscellane"</f>
        <v>Miscellane</v>
      </c>
      <c r="G813" s="5">
        <v>20</v>
      </c>
      <c r="H813" t="str">
        <f>"BLINDA LEE BETHEL"</f>
        <v>BLINDA LEE BETHEL</v>
      </c>
    </row>
    <row r="814" spans="1:8" x14ac:dyDescent="0.25">
      <c r="A814" t="s">
        <v>247</v>
      </c>
      <c r="B814">
        <v>136127</v>
      </c>
      <c r="C814" s="5">
        <v>20</v>
      </c>
      <c r="D814" s="3">
        <v>44385</v>
      </c>
      <c r="E814" t="str">
        <f>"202107084477"</f>
        <v>202107084477</v>
      </c>
      <c r="F814" t="str">
        <f>"Miscellane"</f>
        <v>Miscellane</v>
      </c>
      <c r="G814" s="5">
        <v>20</v>
      </c>
      <c r="H814" t="str">
        <f>"SHERRY ANN HARPER"</f>
        <v>SHERRY ANN HARPER</v>
      </c>
    </row>
    <row r="815" spans="1:8" x14ac:dyDescent="0.25">
      <c r="A815" t="s">
        <v>248</v>
      </c>
      <c r="B815">
        <v>136128</v>
      </c>
      <c r="C815" s="5">
        <v>20</v>
      </c>
      <c r="D815" s="3">
        <v>44385</v>
      </c>
      <c r="E815" t="str">
        <f>"202107084478"</f>
        <v>202107084478</v>
      </c>
      <c r="F815" t="str">
        <f>"Miscellaneou"</f>
        <v>Miscellaneou</v>
      </c>
      <c r="G815" s="5">
        <v>20</v>
      </c>
      <c r="H815" t="str">
        <f>"EDDY JOE CONNER"</f>
        <v>EDDY JOE CONNER</v>
      </c>
    </row>
    <row r="816" spans="1:8" x14ac:dyDescent="0.25">
      <c r="A816" t="s">
        <v>249</v>
      </c>
      <c r="B816">
        <v>136129</v>
      </c>
      <c r="C816" s="5">
        <v>20</v>
      </c>
      <c r="D816" s="3">
        <v>44385</v>
      </c>
      <c r="E816" t="str">
        <f>"202107084479"</f>
        <v>202107084479</v>
      </c>
      <c r="F816" t="str">
        <f>"Miscellaneou"</f>
        <v>Miscellaneou</v>
      </c>
      <c r="G816" s="5">
        <v>20</v>
      </c>
      <c r="H816" t="str">
        <f>"SHALILA HILLERY"</f>
        <v>SHALILA HILLERY</v>
      </c>
    </row>
    <row r="817" spans="1:8" x14ac:dyDescent="0.25">
      <c r="A817" t="s">
        <v>250</v>
      </c>
      <c r="B817">
        <v>136130</v>
      </c>
      <c r="C817" s="5">
        <v>20</v>
      </c>
      <c r="D817" s="3">
        <v>44385</v>
      </c>
      <c r="E817" t="str">
        <f>"202107084480"</f>
        <v>202107084480</v>
      </c>
      <c r="F817" t="str">
        <f>"Miscel"</f>
        <v>Miscel</v>
      </c>
      <c r="G817" s="5">
        <v>20</v>
      </c>
      <c r="H817" t="str">
        <f>"SUSAN MARIE SCHROEDER"</f>
        <v>SUSAN MARIE SCHROEDER</v>
      </c>
    </row>
    <row r="818" spans="1:8" x14ac:dyDescent="0.25">
      <c r="A818" t="s">
        <v>251</v>
      </c>
      <c r="B818">
        <v>136131</v>
      </c>
      <c r="C818" s="5">
        <v>20</v>
      </c>
      <c r="D818" s="3">
        <v>44385</v>
      </c>
      <c r="E818" t="str">
        <f>"202107084481"</f>
        <v>202107084481</v>
      </c>
      <c r="F818" t="str">
        <f>"Miscella"</f>
        <v>Miscella</v>
      </c>
      <c r="G818" s="5">
        <v>20</v>
      </c>
      <c r="H818" t="str">
        <f>"DAVID CARROL ASHLEY"</f>
        <v>DAVID CARROL ASHLEY</v>
      </c>
    </row>
    <row r="819" spans="1:8" x14ac:dyDescent="0.25">
      <c r="A819" t="s">
        <v>252</v>
      </c>
      <c r="B819">
        <v>136132</v>
      </c>
      <c r="C819" s="5">
        <v>20</v>
      </c>
      <c r="D819" s="3">
        <v>44385</v>
      </c>
      <c r="E819" t="str">
        <f>"202107084482"</f>
        <v>202107084482</v>
      </c>
      <c r="F819" t="str">
        <f>"Miscellan"</f>
        <v>Miscellan</v>
      </c>
      <c r="G819" s="5">
        <v>20</v>
      </c>
      <c r="H819" t="str">
        <f>"KAY CROWELL WESSON"</f>
        <v>KAY CROWELL WESSON</v>
      </c>
    </row>
    <row r="820" spans="1:8" x14ac:dyDescent="0.25">
      <c r="A820" t="s">
        <v>253</v>
      </c>
      <c r="B820">
        <v>136133</v>
      </c>
      <c r="C820" s="5">
        <v>20</v>
      </c>
      <c r="D820" s="3">
        <v>44385</v>
      </c>
      <c r="E820" t="str">
        <f>"202107084483"</f>
        <v>202107084483</v>
      </c>
      <c r="F820" t="str">
        <f>"Miscellan"</f>
        <v>Miscellan</v>
      </c>
      <c r="G820" s="5">
        <v>20</v>
      </c>
      <c r="H820" t="str">
        <f>"SHERRE DAWN HOWELL"</f>
        <v>SHERRE DAWN HOWELL</v>
      </c>
    </row>
    <row r="821" spans="1:8" x14ac:dyDescent="0.25">
      <c r="A821" t="s">
        <v>254</v>
      </c>
      <c r="B821">
        <v>136134</v>
      </c>
      <c r="C821" s="5">
        <v>20</v>
      </c>
      <c r="D821" s="3">
        <v>44385</v>
      </c>
      <c r="E821" t="str">
        <f>"202107084484"</f>
        <v>202107084484</v>
      </c>
      <c r="F821" t="str">
        <f>"Miscella"</f>
        <v>Miscella</v>
      </c>
      <c r="G821" s="5">
        <v>20</v>
      </c>
      <c r="H821" t="str">
        <f>"AMY MICHELLE COLTER"</f>
        <v>AMY MICHELLE COLTER</v>
      </c>
    </row>
    <row r="822" spans="1:8" x14ac:dyDescent="0.25">
      <c r="A822" t="s">
        <v>255</v>
      </c>
      <c r="B822">
        <v>136135</v>
      </c>
      <c r="C822" s="5">
        <v>20</v>
      </c>
      <c r="D822" s="3">
        <v>44385</v>
      </c>
      <c r="E822" t="str">
        <f>"202107084485"</f>
        <v>202107084485</v>
      </c>
      <c r="F822" t="str">
        <f>"Miscellaneo"</f>
        <v>Miscellaneo</v>
      </c>
      <c r="G822" s="5">
        <v>20</v>
      </c>
      <c r="H822" t="str">
        <f>"JOE MICHAEL BIEN"</f>
        <v>JOE MICHAEL BIEN</v>
      </c>
    </row>
    <row r="823" spans="1:8" x14ac:dyDescent="0.25">
      <c r="A823" t="s">
        <v>256</v>
      </c>
      <c r="B823">
        <v>136136</v>
      </c>
      <c r="C823" s="5">
        <v>20</v>
      </c>
      <c r="D823" s="3">
        <v>44385</v>
      </c>
      <c r="E823" t="str">
        <f>"202107084486"</f>
        <v>202107084486</v>
      </c>
      <c r="F823" t="str">
        <f>"Miscellan"</f>
        <v>Miscellan</v>
      </c>
      <c r="G823" s="5">
        <v>20</v>
      </c>
      <c r="H823" t="str">
        <f>"ROBERT ALAN DENNIS"</f>
        <v>ROBERT ALAN DENNIS</v>
      </c>
    </row>
    <row r="824" spans="1:8" x14ac:dyDescent="0.25">
      <c r="A824" t="s">
        <v>257</v>
      </c>
      <c r="B824">
        <v>136137</v>
      </c>
      <c r="C824" s="5">
        <v>20</v>
      </c>
      <c r="D824" s="3">
        <v>44385</v>
      </c>
      <c r="E824" t="str">
        <f>"202107084487"</f>
        <v>202107084487</v>
      </c>
      <c r="F824" t="str">
        <f>"Misc"</f>
        <v>Misc</v>
      </c>
      <c r="G824" s="5">
        <v>20</v>
      </c>
      <c r="H824" t="str">
        <f>"DELBERT FRANKLIN OSBURN"</f>
        <v>DELBERT FRANKLIN OSBURN</v>
      </c>
    </row>
    <row r="825" spans="1:8" x14ac:dyDescent="0.25">
      <c r="A825" t="s">
        <v>258</v>
      </c>
      <c r="B825">
        <v>136138</v>
      </c>
      <c r="C825" s="5">
        <v>20</v>
      </c>
      <c r="D825" s="3">
        <v>44385</v>
      </c>
      <c r="E825" t="str">
        <f>"202107084488"</f>
        <v>202107084488</v>
      </c>
      <c r="F825" t="str">
        <f>"Miscellaneous"</f>
        <v>Miscellaneous</v>
      </c>
      <c r="G825" s="5">
        <v>20</v>
      </c>
      <c r="H825" t="str">
        <f>"ALAN JOE LONG"</f>
        <v>ALAN JOE LONG</v>
      </c>
    </row>
    <row r="826" spans="1:8" x14ac:dyDescent="0.25">
      <c r="A826" t="s">
        <v>259</v>
      </c>
      <c r="B826">
        <v>136139</v>
      </c>
      <c r="C826" s="5">
        <v>20</v>
      </c>
      <c r="D826" s="3">
        <v>44385</v>
      </c>
      <c r="E826" t="str">
        <f>"202107084489"</f>
        <v>202107084489</v>
      </c>
      <c r="F826" t="str">
        <f>"Misce"</f>
        <v>Misce</v>
      </c>
      <c r="G826" s="5">
        <v>20</v>
      </c>
      <c r="H826" t="str">
        <f>"GEORGE EDWARD MEREDITH"</f>
        <v>GEORGE EDWARD MEREDITH</v>
      </c>
    </row>
    <row r="827" spans="1:8" x14ac:dyDescent="0.25">
      <c r="A827" t="s">
        <v>260</v>
      </c>
      <c r="B827">
        <v>136140</v>
      </c>
      <c r="C827" s="5">
        <v>20</v>
      </c>
      <c r="D827" s="3">
        <v>44385</v>
      </c>
      <c r="E827" t="str">
        <f>"202107084490"</f>
        <v>202107084490</v>
      </c>
      <c r="F827" t="str">
        <f>"Miscellaneous"</f>
        <v>Miscellaneous</v>
      </c>
      <c r="G827" s="5">
        <v>20</v>
      </c>
      <c r="H827" t="str">
        <f>"ADELAIDA DIMAS"</f>
        <v>ADELAIDA DIMAS</v>
      </c>
    </row>
    <row r="828" spans="1:8" x14ac:dyDescent="0.25">
      <c r="A828" t="s">
        <v>261</v>
      </c>
      <c r="B828">
        <v>136141</v>
      </c>
      <c r="C828" s="5">
        <v>20</v>
      </c>
      <c r="D828" s="3">
        <v>44385</v>
      </c>
      <c r="E828" t="str">
        <f>"202107084491"</f>
        <v>202107084491</v>
      </c>
      <c r="F828" t="str">
        <f>"Miscel"</f>
        <v>Miscel</v>
      </c>
      <c r="G828" s="5">
        <v>20</v>
      </c>
      <c r="H828" t="str">
        <f>"KIRSTEN GILLIAM GLENN"</f>
        <v>KIRSTEN GILLIAM GLENN</v>
      </c>
    </row>
    <row r="829" spans="1:8" x14ac:dyDescent="0.25">
      <c r="A829" t="s">
        <v>262</v>
      </c>
      <c r="B829">
        <v>136142</v>
      </c>
      <c r="C829" s="5">
        <v>20</v>
      </c>
      <c r="D829" s="3">
        <v>44385</v>
      </c>
      <c r="E829" t="str">
        <f>"202107084492"</f>
        <v>202107084492</v>
      </c>
      <c r="F829" t="str">
        <f>"Miscellaneou"</f>
        <v>Miscellaneou</v>
      </c>
      <c r="G829" s="5">
        <v>20</v>
      </c>
      <c r="H829" t="str">
        <f>"ELIZABETH VALLE"</f>
        <v>ELIZABETH VALLE</v>
      </c>
    </row>
    <row r="830" spans="1:8" x14ac:dyDescent="0.25">
      <c r="A830" t="s">
        <v>263</v>
      </c>
      <c r="B830">
        <v>136143</v>
      </c>
      <c r="C830" s="5">
        <v>20</v>
      </c>
      <c r="D830" s="3">
        <v>44385</v>
      </c>
      <c r="E830" t="str">
        <f>"202107084493"</f>
        <v>202107084493</v>
      </c>
      <c r="F830" t="str">
        <f>"Miscellan"</f>
        <v>Miscellan</v>
      </c>
      <c r="G830" s="5">
        <v>20</v>
      </c>
      <c r="H830" t="str">
        <f>"STARBUCK LYNN GAUL"</f>
        <v>STARBUCK LYNN GAUL</v>
      </c>
    </row>
    <row r="831" spans="1:8" x14ac:dyDescent="0.25">
      <c r="A831" t="s">
        <v>264</v>
      </c>
      <c r="B831">
        <v>136144</v>
      </c>
      <c r="C831" s="5">
        <v>20</v>
      </c>
      <c r="D831" s="3">
        <v>44385</v>
      </c>
      <c r="E831" t="str">
        <f>"202107084494"</f>
        <v>202107084494</v>
      </c>
      <c r="F831" t="str">
        <f>"Misc"</f>
        <v>Misc</v>
      </c>
      <c r="G831" s="5">
        <v>20</v>
      </c>
      <c r="H831" t="str">
        <f>"SUSANA SALAZAR ELIZONDO"</f>
        <v>SUSANA SALAZAR ELIZONDO</v>
      </c>
    </row>
    <row r="832" spans="1:8" x14ac:dyDescent="0.25">
      <c r="A832" t="s">
        <v>265</v>
      </c>
      <c r="B832">
        <v>136145</v>
      </c>
      <c r="C832" s="5">
        <v>20</v>
      </c>
      <c r="D832" s="3">
        <v>44385</v>
      </c>
      <c r="E832" t="str">
        <f>"202107084495"</f>
        <v>202107084495</v>
      </c>
      <c r="F832" t="str">
        <f>"Miscel"</f>
        <v>Miscel</v>
      </c>
      <c r="G832" s="5">
        <v>20</v>
      </c>
      <c r="H832" t="str">
        <f>"CLARK RONALD BERNHARD"</f>
        <v>CLARK RONALD BERNHARD</v>
      </c>
    </row>
    <row r="833" spans="1:8" x14ac:dyDescent="0.25">
      <c r="A833" t="s">
        <v>266</v>
      </c>
      <c r="B833">
        <v>136146</v>
      </c>
      <c r="C833" s="5">
        <v>20</v>
      </c>
      <c r="D833" s="3">
        <v>44385</v>
      </c>
      <c r="E833" t="str">
        <f>"202107084496"</f>
        <v>202107084496</v>
      </c>
      <c r="F833" t="str">
        <f>"Mis"</f>
        <v>Mis</v>
      </c>
      <c r="G833" s="5">
        <v>20</v>
      </c>
      <c r="H833" t="str">
        <f>"ELEAZAR ALVAREZ CASTILLO"</f>
        <v>ELEAZAR ALVAREZ CASTILLO</v>
      </c>
    </row>
    <row r="834" spans="1:8" x14ac:dyDescent="0.25">
      <c r="A834" t="s">
        <v>267</v>
      </c>
      <c r="B834">
        <v>136147</v>
      </c>
      <c r="C834" s="5">
        <v>20</v>
      </c>
      <c r="D834" s="3">
        <v>44385</v>
      </c>
      <c r="E834" t="str">
        <f>"202107084497"</f>
        <v>202107084497</v>
      </c>
      <c r="F834" t="str">
        <f>"Miscel"</f>
        <v>Miscel</v>
      </c>
      <c r="G834" s="5">
        <v>20</v>
      </c>
      <c r="H834" t="str">
        <f>"MARTHA ANGELA MORALES"</f>
        <v>MARTHA ANGELA MORALES</v>
      </c>
    </row>
    <row r="835" spans="1:8" x14ac:dyDescent="0.25">
      <c r="A835" t="s">
        <v>268</v>
      </c>
      <c r="B835">
        <v>136148</v>
      </c>
      <c r="C835" s="5">
        <v>20</v>
      </c>
      <c r="D835" s="3">
        <v>44385</v>
      </c>
      <c r="E835" t="str">
        <f>"202107084498"</f>
        <v>202107084498</v>
      </c>
      <c r="F835" t="str">
        <f>"Miscell"</f>
        <v>Miscell</v>
      </c>
      <c r="G835" s="5">
        <v>20</v>
      </c>
      <c r="H835" t="str">
        <f>"HEATH EDWARD FREPPON"</f>
        <v>HEATH EDWARD FREPPON</v>
      </c>
    </row>
    <row r="836" spans="1:8" x14ac:dyDescent="0.25">
      <c r="A836" t="s">
        <v>269</v>
      </c>
      <c r="B836">
        <v>136149</v>
      </c>
      <c r="C836" s="5">
        <v>20</v>
      </c>
      <c r="D836" s="3">
        <v>44385</v>
      </c>
      <c r="E836" t="str">
        <f>"202107084499"</f>
        <v>202107084499</v>
      </c>
      <c r="F836" t="str">
        <f>"Miscella"</f>
        <v>Miscella</v>
      </c>
      <c r="G836" s="5">
        <v>20</v>
      </c>
      <c r="H836" t="str">
        <f>"DIANA CORTES-SUAREZ"</f>
        <v>DIANA CORTES-SUAREZ</v>
      </c>
    </row>
    <row r="837" spans="1:8" x14ac:dyDescent="0.25">
      <c r="A837" t="s">
        <v>270</v>
      </c>
      <c r="B837">
        <v>136150</v>
      </c>
      <c r="C837" s="5">
        <v>20</v>
      </c>
      <c r="D837" s="3">
        <v>44385</v>
      </c>
      <c r="E837" t="str">
        <f>"202107084500"</f>
        <v>202107084500</v>
      </c>
      <c r="F837" t="str">
        <f>"Miscella"</f>
        <v>Miscella</v>
      </c>
      <c r="G837" s="5">
        <v>20</v>
      </c>
      <c r="H837" t="str">
        <f>"GLENIS JANELL MCBEE"</f>
        <v>GLENIS JANELL MCBEE</v>
      </c>
    </row>
    <row r="838" spans="1:8" x14ac:dyDescent="0.25">
      <c r="A838" t="s">
        <v>271</v>
      </c>
      <c r="B838">
        <v>136151</v>
      </c>
      <c r="C838" s="5">
        <v>20</v>
      </c>
      <c r="D838" s="3">
        <v>44385</v>
      </c>
      <c r="E838" t="str">
        <f>"202107084501"</f>
        <v>202107084501</v>
      </c>
      <c r="F838" t="str">
        <f>"Miscellaneo"</f>
        <v>Miscellaneo</v>
      </c>
      <c r="G838" s="5">
        <v>20</v>
      </c>
      <c r="H838" t="str">
        <f>"BRAD KIRK GRYDER"</f>
        <v>BRAD KIRK GRYDER</v>
      </c>
    </row>
    <row r="839" spans="1:8" x14ac:dyDescent="0.25">
      <c r="A839" t="s">
        <v>272</v>
      </c>
      <c r="B839">
        <v>136152</v>
      </c>
      <c r="C839" s="5">
        <v>20</v>
      </c>
      <c r="D839" s="3">
        <v>44385</v>
      </c>
      <c r="E839" t="str">
        <f>"202107084502"</f>
        <v>202107084502</v>
      </c>
      <c r="F839" t="str">
        <f>"Misc"</f>
        <v>Misc</v>
      </c>
      <c r="G839" s="5">
        <v>20</v>
      </c>
      <c r="H839" t="str">
        <f>"JENNIFER MELISSA WISIAN"</f>
        <v>JENNIFER MELISSA WISIAN</v>
      </c>
    </row>
    <row r="840" spans="1:8" x14ac:dyDescent="0.25">
      <c r="A840" t="s">
        <v>273</v>
      </c>
      <c r="B840">
        <v>136153</v>
      </c>
      <c r="C840" s="5">
        <v>20</v>
      </c>
      <c r="D840" s="3">
        <v>44385</v>
      </c>
      <c r="E840" t="str">
        <f>"202107084503"</f>
        <v>202107084503</v>
      </c>
      <c r="F840" t="str">
        <f>"Miscella"</f>
        <v>Miscella</v>
      </c>
      <c r="G840" s="5">
        <v>20</v>
      </c>
      <c r="H840" t="str">
        <f>"JEFF BELL MILLER JR"</f>
        <v>JEFF BELL MILLER JR</v>
      </c>
    </row>
    <row r="841" spans="1:8" x14ac:dyDescent="0.25">
      <c r="A841" t="s">
        <v>274</v>
      </c>
      <c r="B841">
        <v>136154</v>
      </c>
      <c r="C841" s="5">
        <v>20</v>
      </c>
      <c r="D841" s="3">
        <v>44385</v>
      </c>
      <c r="E841" t="str">
        <f>"202107084504"</f>
        <v>202107084504</v>
      </c>
      <c r="F841" t="str">
        <f>"Miscellaneous"</f>
        <v>Miscellaneous</v>
      </c>
      <c r="G841" s="5">
        <v>20</v>
      </c>
      <c r="H841" t="str">
        <f>"DENNIS C GRAY"</f>
        <v>DENNIS C GRAY</v>
      </c>
    </row>
    <row r="842" spans="1:8" x14ac:dyDescent="0.25">
      <c r="A842" t="s">
        <v>275</v>
      </c>
      <c r="B842">
        <v>136155</v>
      </c>
      <c r="C842" s="5">
        <v>20</v>
      </c>
      <c r="D842" s="3">
        <v>44385</v>
      </c>
      <c r="E842" t="str">
        <f>"202107084505"</f>
        <v>202107084505</v>
      </c>
      <c r="F842" t="str">
        <f>"Miscellaneou"</f>
        <v>Miscellaneou</v>
      </c>
      <c r="G842" s="5">
        <v>20</v>
      </c>
      <c r="H842" t="str">
        <f>"ROBIN RAE CORUM"</f>
        <v>ROBIN RAE CORUM</v>
      </c>
    </row>
    <row r="843" spans="1:8" x14ac:dyDescent="0.25">
      <c r="A843" t="s">
        <v>276</v>
      </c>
      <c r="B843">
        <v>136156</v>
      </c>
      <c r="C843" s="5">
        <v>20</v>
      </c>
      <c r="D843" s="3">
        <v>44385</v>
      </c>
      <c r="E843" t="str">
        <f>"202107084506"</f>
        <v>202107084506</v>
      </c>
      <c r="F843" t="str">
        <f>"Miscellane"</f>
        <v>Miscellane</v>
      </c>
      <c r="G843" s="5">
        <v>20</v>
      </c>
      <c r="H843" t="str">
        <f>"ROBIN LYNN LILLEY"</f>
        <v>ROBIN LYNN LILLEY</v>
      </c>
    </row>
    <row r="844" spans="1:8" x14ac:dyDescent="0.25">
      <c r="A844" t="s">
        <v>277</v>
      </c>
      <c r="B844">
        <v>136157</v>
      </c>
      <c r="C844" s="5">
        <v>20</v>
      </c>
      <c r="D844" s="3">
        <v>44385</v>
      </c>
      <c r="E844" t="str">
        <f>"202107084507"</f>
        <v>202107084507</v>
      </c>
      <c r="F844" t="str">
        <f>"Misce"</f>
        <v>Misce</v>
      </c>
      <c r="G844" s="5">
        <v>20</v>
      </c>
      <c r="H844" t="str">
        <f>"MICHAEL PATRICK BASKIN"</f>
        <v>MICHAEL PATRICK BASKIN</v>
      </c>
    </row>
    <row r="845" spans="1:8" x14ac:dyDescent="0.25">
      <c r="A845" t="s">
        <v>278</v>
      </c>
      <c r="B845">
        <v>136158</v>
      </c>
      <c r="C845" s="5">
        <v>20</v>
      </c>
      <c r="D845" s="3">
        <v>44385</v>
      </c>
      <c r="E845" t="str">
        <f>"202107084508"</f>
        <v>202107084508</v>
      </c>
      <c r="F845" t="str">
        <f>"Miscellane"</f>
        <v>Miscellane</v>
      </c>
      <c r="G845" s="5">
        <v>20</v>
      </c>
      <c r="H845" t="str">
        <f>"TRACY LYNN HENSON"</f>
        <v>TRACY LYNN HENSON</v>
      </c>
    </row>
    <row r="846" spans="1:8" x14ac:dyDescent="0.25">
      <c r="A846" t="s">
        <v>279</v>
      </c>
      <c r="B846">
        <v>136413</v>
      </c>
      <c r="C846" s="5">
        <v>120</v>
      </c>
      <c r="D846" s="3">
        <v>44403</v>
      </c>
      <c r="E846" t="str">
        <f>"14-514"</f>
        <v>14-514</v>
      </c>
      <c r="F846" t="str">
        <f>"RESTITUTION/TINA CLAYTON"</f>
        <v>RESTITUTION/TINA CLAYTON</v>
      </c>
      <c r="G846" s="5">
        <v>120</v>
      </c>
      <c r="H846" t="str">
        <f>"RESTITUTION/TINA CLAYTON"</f>
        <v>RESTITUTION/TINA CLAYTON</v>
      </c>
    </row>
    <row r="847" spans="1:8" x14ac:dyDescent="0.25">
      <c r="A847" t="s">
        <v>280</v>
      </c>
      <c r="B847">
        <v>136236</v>
      </c>
      <c r="C847" s="5">
        <v>300</v>
      </c>
      <c r="D847" s="3">
        <v>44389</v>
      </c>
      <c r="E847" t="str">
        <f>"1162330726"</f>
        <v>1162330726</v>
      </c>
      <c r="F847" t="str">
        <f>"INV 1162330726"</f>
        <v>INV 1162330726</v>
      </c>
      <c r="G847" s="5">
        <v>300</v>
      </c>
      <c r="H847" t="str">
        <f>"INV 1162330726"</f>
        <v>INV 1162330726</v>
      </c>
    </row>
    <row r="848" spans="1:8" x14ac:dyDescent="0.25">
      <c r="A848" t="s">
        <v>280</v>
      </c>
      <c r="B848">
        <v>136414</v>
      </c>
      <c r="C848" s="5">
        <v>20769.310000000001</v>
      </c>
      <c r="D848" s="3">
        <v>44403</v>
      </c>
      <c r="E848" t="str">
        <f>" 8230323140"</f>
        <v xml:space="preserve"> 8230323140</v>
      </c>
      <c r="F848" t="str">
        <f>"ACCT#1036215277/ JUNE"</f>
        <v>ACCT#1036215277/ JUNE</v>
      </c>
      <c r="G848" s="5">
        <v>20769.310000000001</v>
      </c>
      <c r="H848" t="str">
        <f>"ACCT#1036215277/ JUNE"</f>
        <v>ACCT#1036215277/ JUNE</v>
      </c>
    </row>
    <row r="849" spans="1:8" x14ac:dyDescent="0.25">
      <c r="A849" t="s">
        <v>281</v>
      </c>
      <c r="B849">
        <v>136237</v>
      </c>
      <c r="C849" s="5">
        <v>84.75</v>
      </c>
      <c r="D849" s="3">
        <v>44389</v>
      </c>
      <c r="E849" t="str">
        <f>"202107014237"</f>
        <v>202107014237</v>
      </c>
      <c r="F849" t="str">
        <f>"INDIGENT HEALTH"</f>
        <v>INDIGENT HEALTH</v>
      </c>
      <c r="G849" s="5">
        <v>84.75</v>
      </c>
      <c r="H849" t="str">
        <f>"INDIGENT HEALTH"</f>
        <v>INDIGENT HEALTH</v>
      </c>
    </row>
    <row r="850" spans="1:8" x14ac:dyDescent="0.25">
      <c r="A850" t="s">
        <v>281</v>
      </c>
      <c r="B850">
        <v>136415</v>
      </c>
      <c r="C850" s="5">
        <v>100.87</v>
      </c>
      <c r="D850" s="3">
        <v>44403</v>
      </c>
      <c r="E850" t="str">
        <f>"202107204698"</f>
        <v>202107204698</v>
      </c>
      <c r="F850" t="str">
        <f>"INDIGENT HEALTH"</f>
        <v>INDIGENT HEALTH</v>
      </c>
      <c r="G850" s="5">
        <v>100.87</v>
      </c>
      <c r="H850" t="str">
        <f>"INDIGENT HEALTH"</f>
        <v>INDIGENT HEALTH</v>
      </c>
    </row>
    <row r="851" spans="1:8" x14ac:dyDescent="0.25">
      <c r="A851" t="s">
        <v>282</v>
      </c>
      <c r="B851">
        <v>136416</v>
      </c>
      <c r="C851" s="5">
        <v>360</v>
      </c>
      <c r="D851" s="3">
        <v>44403</v>
      </c>
      <c r="E851" t="str">
        <f>"202107204660"</f>
        <v>202107204660</v>
      </c>
      <c r="F851" t="str">
        <f>"REIMBURSE COUPON #24755 22967"</f>
        <v>REIMBURSE COUPON #24755 22967</v>
      </c>
      <c r="G851" s="5">
        <v>360</v>
      </c>
      <c r="H851" t="str">
        <f>"REIMBURSE COUPON #24755 22967"</f>
        <v>REIMBURSE COUPON #24755 22967</v>
      </c>
    </row>
    <row r="852" spans="1:8" x14ac:dyDescent="0.25">
      <c r="A852" t="s">
        <v>283</v>
      </c>
      <c r="B852">
        <v>4725</v>
      </c>
      <c r="C852" s="5">
        <v>584.82000000000005</v>
      </c>
      <c r="D852" s="3">
        <v>44390</v>
      </c>
      <c r="E852" t="str">
        <f>"0JST01317"</f>
        <v>0JST01317</v>
      </c>
      <c r="F852" t="str">
        <f>"ACCT#1006635/OEM"</f>
        <v>ACCT#1006635/OEM</v>
      </c>
      <c r="G852" s="5">
        <v>584.82000000000005</v>
      </c>
      <c r="H852" t="str">
        <f>"ACCT#1006635/OEM"</f>
        <v>ACCT#1006635/OEM</v>
      </c>
    </row>
    <row r="853" spans="1:8" x14ac:dyDescent="0.25">
      <c r="A853" t="s">
        <v>284</v>
      </c>
      <c r="B853">
        <v>136417</v>
      </c>
      <c r="C853" s="5">
        <v>957.12</v>
      </c>
      <c r="D853" s="3">
        <v>44403</v>
      </c>
      <c r="E853" t="str">
        <f>"6670101494"</f>
        <v>6670101494</v>
      </c>
      <c r="F853" t="str">
        <f>"ACCT#150344157/GENERAL SVCS"</f>
        <v>ACCT#150344157/GENERAL SVCS</v>
      </c>
      <c r="G853" s="5">
        <v>957.12</v>
      </c>
      <c r="H853" t="str">
        <f>"ACCT#150344157/GENERAL SVCS"</f>
        <v>ACCT#150344157/GENERAL SVCS</v>
      </c>
    </row>
    <row r="854" spans="1:8" x14ac:dyDescent="0.25">
      <c r="A854" t="s">
        <v>285</v>
      </c>
      <c r="B854">
        <v>4701</v>
      </c>
      <c r="C854" s="5">
        <v>6135.9</v>
      </c>
      <c r="D854" s="3">
        <v>44390</v>
      </c>
      <c r="E854" t="str">
        <f>"IN0861190"</f>
        <v>IN0861190</v>
      </c>
      <c r="F854" t="str">
        <f>"INV IN0861190"</f>
        <v>INV IN0861190</v>
      </c>
      <c r="G854" s="5">
        <v>2610.3000000000002</v>
      </c>
      <c r="H854" t="str">
        <f>"INV IN0861190"</f>
        <v>INV IN0861190</v>
      </c>
    </row>
    <row r="855" spans="1:8" x14ac:dyDescent="0.25">
      <c r="E855" t="str">
        <f>"IN0861569"</f>
        <v>IN0861569</v>
      </c>
      <c r="F855" t="str">
        <f>"INV IN0861569"</f>
        <v>INV IN0861569</v>
      </c>
      <c r="G855" s="5">
        <v>3525.6</v>
      </c>
      <c r="H855" t="str">
        <f>"INV IN0861569"</f>
        <v>INV IN0861569</v>
      </c>
    </row>
    <row r="856" spans="1:8" x14ac:dyDescent="0.25">
      <c r="A856" t="s">
        <v>285</v>
      </c>
      <c r="B856">
        <v>4778</v>
      </c>
      <c r="C856" s="5">
        <v>6202.5</v>
      </c>
      <c r="D856" s="3">
        <v>44404</v>
      </c>
      <c r="E856" t="str">
        <f>"0861923"</f>
        <v>0861923</v>
      </c>
      <c r="F856" t="str">
        <f>"INV IN0861923"</f>
        <v>INV IN0861923</v>
      </c>
      <c r="G856" s="5">
        <v>3492</v>
      </c>
      <c r="H856" t="str">
        <f>"INV IN0861923"</f>
        <v>INV IN0861923</v>
      </c>
    </row>
    <row r="857" spans="1:8" x14ac:dyDescent="0.25">
      <c r="E857" t="str">
        <f>"0862071"</f>
        <v>0862071</v>
      </c>
      <c r="F857" t="str">
        <f>"INV IN0862071"</f>
        <v>INV IN0862071</v>
      </c>
      <c r="G857" s="5">
        <v>2710.5</v>
      </c>
      <c r="H857" t="str">
        <f>"INV IN0862071"</f>
        <v>INV IN0862071</v>
      </c>
    </row>
    <row r="858" spans="1:8" x14ac:dyDescent="0.25">
      <c r="A858" t="s">
        <v>286</v>
      </c>
      <c r="B858">
        <v>136418</v>
      </c>
      <c r="C858" s="5">
        <v>2227.2199999999998</v>
      </c>
      <c r="D858" s="3">
        <v>44403</v>
      </c>
      <c r="E858" t="str">
        <f>"202107204708"</f>
        <v>202107204708</v>
      </c>
      <c r="F858" t="str">
        <f>"NETSYNC NETWORK SOUTIONS INC."</f>
        <v>NETSYNC NETWORK SOUTIONS INC.</v>
      </c>
      <c r="G858" s="5">
        <v>2227.2199999999998</v>
      </c>
      <c r="H858" t="str">
        <f>"NETSYNC"</f>
        <v>NETSYNC</v>
      </c>
    </row>
    <row r="859" spans="1:8" x14ac:dyDescent="0.25">
      <c r="A859" t="s">
        <v>287</v>
      </c>
      <c r="B859">
        <v>4848</v>
      </c>
      <c r="C859" s="5">
        <v>177.51</v>
      </c>
      <c r="D859" s="3">
        <v>44404</v>
      </c>
      <c r="E859" t="str">
        <f>"0581-305759"</f>
        <v>0581-305759</v>
      </c>
      <c r="F859" t="str">
        <f>"0581-305759/0581-305760"</f>
        <v>0581-305759/0581-305760</v>
      </c>
      <c r="G859" s="5">
        <v>177.51</v>
      </c>
      <c r="H859" t="str">
        <f>"INV 0581-305759"</f>
        <v>INV 0581-305759</v>
      </c>
    </row>
    <row r="860" spans="1:8" x14ac:dyDescent="0.25">
      <c r="E860" t="str">
        <f>""</f>
        <v/>
      </c>
      <c r="F860" t="str">
        <f>""</f>
        <v/>
      </c>
      <c r="H860" t="str">
        <f>"0INV 0581-305760"</f>
        <v>0INV 0581-305760</v>
      </c>
    </row>
    <row r="861" spans="1:8" x14ac:dyDescent="0.25">
      <c r="A861" t="s">
        <v>288</v>
      </c>
      <c r="B861">
        <v>136238</v>
      </c>
      <c r="C861" s="5">
        <v>944.56</v>
      </c>
      <c r="D861" s="3">
        <v>44389</v>
      </c>
      <c r="E861" t="str">
        <f>"202107064364"</f>
        <v>202107064364</v>
      </c>
      <c r="F861" t="str">
        <f>"OFFICE DEPOT"</f>
        <v>OFFICE DEPOT</v>
      </c>
      <c r="G861" s="5">
        <v>944.56</v>
      </c>
      <c r="H861" t="str">
        <f>"181874886001"</f>
        <v>181874886001</v>
      </c>
    </row>
    <row r="862" spans="1:8" x14ac:dyDescent="0.25">
      <c r="E862" t="str">
        <f>""</f>
        <v/>
      </c>
      <c r="F862" t="str">
        <f>""</f>
        <v/>
      </c>
      <c r="H862" t="str">
        <f>"181875572001"</f>
        <v>181875572001</v>
      </c>
    </row>
    <row r="863" spans="1:8" x14ac:dyDescent="0.25">
      <c r="E863" t="str">
        <f>""</f>
        <v/>
      </c>
      <c r="F863" t="str">
        <f>""</f>
        <v/>
      </c>
      <c r="H863" t="str">
        <f>"179812410001"</f>
        <v>179812410001</v>
      </c>
    </row>
    <row r="864" spans="1:8" x14ac:dyDescent="0.25">
      <c r="E864" t="str">
        <f>""</f>
        <v/>
      </c>
      <c r="F864" t="str">
        <f>""</f>
        <v/>
      </c>
      <c r="H864" t="str">
        <f>"176556884001"</f>
        <v>176556884001</v>
      </c>
    </row>
    <row r="865" spans="1:8" x14ac:dyDescent="0.25">
      <c r="E865" t="str">
        <f>""</f>
        <v/>
      </c>
      <c r="F865" t="str">
        <f>""</f>
        <v/>
      </c>
      <c r="H865" t="str">
        <f>"176911013001"</f>
        <v>176911013001</v>
      </c>
    </row>
    <row r="866" spans="1:8" x14ac:dyDescent="0.25">
      <c r="E866" t="str">
        <f>""</f>
        <v/>
      </c>
      <c r="F866" t="str">
        <f>""</f>
        <v/>
      </c>
      <c r="H866" t="str">
        <f>"176911018001"</f>
        <v>176911018001</v>
      </c>
    </row>
    <row r="867" spans="1:8" x14ac:dyDescent="0.25">
      <c r="E867" t="str">
        <f>""</f>
        <v/>
      </c>
      <c r="F867" t="str">
        <f>""</f>
        <v/>
      </c>
      <c r="H867" t="str">
        <f>"178781684001"</f>
        <v>178781684001</v>
      </c>
    </row>
    <row r="868" spans="1:8" x14ac:dyDescent="0.25">
      <c r="E868" t="str">
        <f>""</f>
        <v/>
      </c>
      <c r="F868" t="str">
        <f>""</f>
        <v/>
      </c>
      <c r="H868" t="str">
        <f>"179742873002"</f>
        <v>179742873002</v>
      </c>
    </row>
    <row r="869" spans="1:8" x14ac:dyDescent="0.25">
      <c r="E869" t="str">
        <f>""</f>
        <v/>
      </c>
      <c r="F869" t="str">
        <f>""</f>
        <v/>
      </c>
      <c r="H869" t="str">
        <f>"179748467001"</f>
        <v>179748467001</v>
      </c>
    </row>
    <row r="870" spans="1:8" x14ac:dyDescent="0.25">
      <c r="A870" t="s">
        <v>288</v>
      </c>
      <c r="B870">
        <v>136419</v>
      </c>
      <c r="C870" s="5">
        <v>1484.12</v>
      </c>
      <c r="D870" s="3">
        <v>44403</v>
      </c>
      <c r="E870" t="str">
        <f>"18980056"</f>
        <v>18980056</v>
      </c>
      <c r="F870" t="str">
        <f>"OD"</f>
        <v>OD</v>
      </c>
      <c r="G870" s="5">
        <v>1484.12</v>
      </c>
      <c r="H870" t="str">
        <f>"181589019001"</f>
        <v>181589019001</v>
      </c>
    </row>
    <row r="871" spans="1:8" x14ac:dyDescent="0.25">
      <c r="E871" t="str">
        <f>""</f>
        <v/>
      </c>
      <c r="F871" t="str">
        <f>""</f>
        <v/>
      </c>
      <c r="H871" t="str">
        <f>"181589021001"</f>
        <v>181589021001</v>
      </c>
    </row>
    <row r="872" spans="1:8" x14ac:dyDescent="0.25">
      <c r="E872" t="str">
        <f>""</f>
        <v/>
      </c>
      <c r="F872" t="str">
        <f>""</f>
        <v/>
      </c>
      <c r="H872" t="str">
        <f>"181769811001"</f>
        <v>181769811001</v>
      </c>
    </row>
    <row r="873" spans="1:8" x14ac:dyDescent="0.25">
      <c r="E873" t="str">
        <f>""</f>
        <v/>
      </c>
      <c r="F873" t="str">
        <f>""</f>
        <v/>
      </c>
      <c r="H873" t="str">
        <f>"182098745001"</f>
        <v>182098745001</v>
      </c>
    </row>
    <row r="874" spans="1:8" x14ac:dyDescent="0.25">
      <c r="E874" t="str">
        <f>""</f>
        <v/>
      </c>
      <c r="F874" t="str">
        <f>""</f>
        <v/>
      </c>
      <c r="H874" t="str">
        <f>"182098746001"</f>
        <v>182098746001</v>
      </c>
    </row>
    <row r="875" spans="1:8" x14ac:dyDescent="0.25">
      <c r="E875" t="str">
        <f>""</f>
        <v/>
      </c>
      <c r="F875" t="str">
        <f>""</f>
        <v/>
      </c>
      <c r="H875" t="str">
        <f>"179615695001"</f>
        <v>179615695001</v>
      </c>
    </row>
    <row r="876" spans="1:8" x14ac:dyDescent="0.25">
      <c r="E876" t="str">
        <f>""</f>
        <v/>
      </c>
      <c r="F876" t="str">
        <f>""</f>
        <v/>
      </c>
      <c r="H876" t="str">
        <f>"179620681001"</f>
        <v>179620681001</v>
      </c>
    </row>
    <row r="877" spans="1:8" x14ac:dyDescent="0.25">
      <c r="E877" t="str">
        <f>""</f>
        <v/>
      </c>
      <c r="F877" t="str">
        <f>""</f>
        <v/>
      </c>
      <c r="H877" t="str">
        <f>"181731908001"</f>
        <v>181731908001</v>
      </c>
    </row>
    <row r="878" spans="1:8" x14ac:dyDescent="0.25">
      <c r="E878" t="str">
        <f>""</f>
        <v/>
      </c>
      <c r="F878" t="str">
        <f>""</f>
        <v/>
      </c>
      <c r="H878" t="str">
        <f>"181731908002"</f>
        <v>181731908002</v>
      </c>
    </row>
    <row r="879" spans="1:8" x14ac:dyDescent="0.25">
      <c r="E879" t="str">
        <f>""</f>
        <v/>
      </c>
      <c r="F879" t="str">
        <f>""</f>
        <v/>
      </c>
      <c r="H879" t="str">
        <f>"182827783001"</f>
        <v>182827783001</v>
      </c>
    </row>
    <row r="880" spans="1:8" x14ac:dyDescent="0.25">
      <c r="E880" t="str">
        <f>""</f>
        <v/>
      </c>
      <c r="F880" t="str">
        <f>""</f>
        <v/>
      </c>
      <c r="H880" t="str">
        <f>"181000021001"</f>
        <v>181000021001</v>
      </c>
    </row>
    <row r="881" spans="1:8" x14ac:dyDescent="0.25">
      <c r="E881" t="str">
        <f>""</f>
        <v/>
      </c>
      <c r="F881" t="str">
        <f>""</f>
        <v/>
      </c>
      <c r="H881" t="str">
        <f>"181027048001"</f>
        <v>181027048001</v>
      </c>
    </row>
    <row r="882" spans="1:8" x14ac:dyDescent="0.25">
      <c r="E882" t="str">
        <f>""</f>
        <v/>
      </c>
      <c r="F882" t="str">
        <f>""</f>
        <v/>
      </c>
      <c r="H882" t="str">
        <f>"181027051001"</f>
        <v>181027051001</v>
      </c>
    </row>
    <row r="883" spans="1:8" x14ac:dyDescent="0.25">
      <c r="E883" t="str">
        <f>""</f>
        <v/>
      </c>
      <c r="F883" t="str">
        <f>""</f>
        <v/>
      </c>
      <c r="H883" t="str">
        <f>"181027055001"</f>
        <v>181027055001</v>
      </c>
    </row>
    <row r="884" spans="1:8" x14ac:dyDescent="0.25">
      <c r="E884" t="str">
        <f>""</f>
        <v/>
      </c>
      <c r="F884" t="str">
        <f>""</f>
        <v/>
      </c>
      <c r="H884" t="str">
        <f>"181729731001"</f>
        <v>181729731001</v>
      </c>
    </row>
    <row r="885" spans="1:8" x14ac:dyDescent="0.25">
      <c r="E885" t="str">
        <f>""</f>
        <v/>
      </c>
      <c r="F885" t="str">
        <f>""</f>
        <v/>
      </c>
      <c r="H885" t="str">
        <f>"181731388001"</f>
        <v>181731388001</v>
      </c>
    </row>
    <row r="886" spans="1:8" x14ac:dyDescent="0.25">
      <c r="E886" t="str">
        <f>""</f>
        <v/>
      </c>
      <c r="F886" t="str">
        <f>""</f>
        <v/>
      </c>
      <c r="H886" t="str">
        <f>"178254519001"</f>
        <v>178254519001</v>
      </c>
    </row>
    <row r="887" spans="1:8" x14ac:dyDescent="0.25">
      <c r="E887" t="str">
        <f>""</f>
        <v/>
      </c>
      <c r="F887" t="str">
        <f>""</f>
        <v/>
      </c>
      <c r="H887" t="str">
        <f>"178289399001"</f>
        <v>178289399001</v>
      </c>
    </row>
    <row r="888" spans="1:8" x14ac:dyDescent="0.25">
      <c r="E888" t="str">
        <f>""</f>
        <v/>
      </c>
      <c r="F888" t="str">
        <f>""</f>
        <v/>
      </c>
      <c r="H888" t="str">
        <f>"178289405001"</f>
        <v>178289405001</v>
      </c>
    </row>
    <row r="889" spans="1:8" x14ac:dyDescent="0.25">
      <c r="E889" t="str">
        <f>""</f>
        <v/>
      </c>
      <c r="F889" t="str">
        <f>""</f>
        <v/>
      </c>
      <c r="H889" t="str">
        <f>"178289408001"</f>
        <v>178289408001</v>
      </c>
    </row>
    <row r="890" spans="1:8" x14ac:dyDescent="0.25">
      <c r="E890" t="str">
        <f>""</f>
        <v/>
      </c>
      <c r="F890" t="str">
        <f>""</f>
        <v/>
      </c>
      <c r="H890" t="str">
        <f>"179812410002"</f>
        <v>179812410002</v>
      </c>
    </row>
    <row r="891" spans="1:8" x14ac:dyDescent="0.25">
      <c r="E891" t="str">
        <f>""</f>
        <v/>
      </c>
      <c r="F891" t="str">
        <f>""</f>
        <v/>
      </c>
      <c r="H891" t="str">
        <f>"179375459001"</f>
        <v>179375459001</v>
      </c>
    </row>
    <row r="892" spans="1:8" x14ac:dyDescent="0.25">
      <c r="E892" t="str">
        <f>""</f>
        <v/>
      </c>
      <c r="F892" t="str">
        <f>""</f>
        <v/>
      </c>
      <c r="H892" t="str">
        <f>"179742873003"</f>
        <v>179742873003</v>
      </c>
    </row>
    <row r="893" spans="1:8" x14ac:dyDescent="0.25">
      <c r="E893" t="str">
        <f>""</f>
        <v/>
      </c>
      <c r="F893" t="str">
        <f>""</f>
        <v/>
      </c>
      <c r="H893" t="str">
        <f>"178082448001"</f>
        <v>178082448001</v>
      </c>
    </row>
    <row r="894" spans="1:8" x14ac:dyDescent="0.25">
      <c r="E894" t="str">
        <f>""</f>
        <v/>
      </c>
      <c r="F894" t="str">
        <f>""</f>
        <v/>
      </c>
      <c r="H894" t="str">
        <f>"178117309001"</f>
        <v>178117309001</v>
      </c>
    </row>
    <row r="895" spans="1:8" x14ac:dyDescent="0.25">
      <c r="E895" t="str">
        <f>""</f>
        <v/>
      </c>
      <c r="F895" t="str">
        <f>""</f>
        <v/>
      </c>
      <c r="H895" t="str">
        <f>"178117394001"</f>
        <v>178117394001</v>
      </c>
    </row>
    <row r="896" spans="1:8" x14ac:dyDescent="0.25">
      <c r="A896" t="s">
        <v>289</v>
      </c>
      <c r="B896">
        <v>136239</v>
      </c>
      <c r="C896" s="5">
        <v>2832</v>
      </c>
      <c r="D896" s="3">
        <v>44389</v>
      </c>
      <c r="E896" t="str">
        <f>"202107074415"</f>
        <v>202107074415</v>
      </c>
      <c r="F896" t="str">
        <f>"2ND QTR ACTIVITY/PCT#2"</f>
        <v>2ND QTR ACTIVITY/PCT#2</v>
      </c>
      <c r="G896" s="5">
        <v>1146</v>
      </c>
      <c r="H896" t="str">
        <f>"2ND QTR ACTIVITY/PCT#2"</f>
        <v>2ND QTR ACTIVITY/PCT#2</v>
      </c>
    </row>
    <row r="897" spans="1:8" x14ac:dyDescent="0.25">
      <c r="E897" t="str">
        <f>"202107074430"</f>
        <v>202107074430</v>
      </c>
      <c r="F897" t="str">
        <f>"2ND QTR ACTIVITY/JP#3"</f>
        <v>2ND QTR ACTIVITY/JP#3</v>
      </c>
      <c r="G897" s="5">
        <v>816</v>
      </c>
      <c r="H897" t="str">
        <f>"2ND QTR ACTIVITY/JP#3"</f>
        <v>2ND QTR ACTIVITY/JP#3</v>
      </c>
    </row>
    <row r="898" spans="1:8" x14ac:dyDescent="0.25">
      <c r="E898" t="str">
        <f>"202107074431"</f>
        <v>202107074431</v>
      </c>
      <c r="F898" t="str">
        <f>"2ND QTR ACTIVITY/DISTRICT CLRK"</f>
        <v>2ND QTR ACTIVITY/DISTRICT CLRK</v>
      </c>
      <c r="G898" s="5">
        <v>6</v>
      </c>
      <c r="H898" t="str">
        <f>"2ND QTR ACTIVITY/DISTRICT CLRK"</f>
        <v>2ND QTR ACTIVITY/DISTRICT CLRK</v>
      </c>
    </row>
    <row r="899" spans="1:8" x14ac:dyDescent="0.25">
      <c r="E899" t="str">
        <f>"202107074432"</f>
        <v>202107074432</v>
      </c>
      <c r="F899" t="str">
        <f>"2ND QTR ACTIVITY/JP#4"</f>
        <v>2ND QTR ACTIVITY/JP#4</v>
      </c>
      <c r="G899" s="5">
        <v>786</v>
      </c>
      <c r="H899" t="str">
        <f>"2ND QTR ACTIVITY/JP#4"</f>
        <v>2ND QTR ACTIVITY/JP#4</v>
      </c>
    </row>
    <row r="900" spans="1:8" x14ac:dyDescent="0.25">
      <c r="E900" t="str">
        <f>"202107074433"</f>
        <v>202107074433</v>
      </c>
      <c r="F900" t="str">
        <f>"2ND QTR ACTIVITY/COUNTY CLRK"</f>
        <v>2ND QTR ACTIVITY/COUNTY CLRK</v>
      </c>
      <c r="G900" s="5">
        <v>78</v>
      </c>
      <c r="H900" t="str">
        <f>"2ND QTR ACTIVITY/COUNTY CLRK"</f>
        <v>2ND QTR ACTIVITY/COUNTY CLRK</v>
      </c>
    </row>
    <row r="901" spans="1:8" x14ac:dyDescent="0.25">
      <c r="A901" t="s">
        <v>289</v>
      </c>
      <c r="B901">
        <v>136420</v>
      </c>
      <c r="C901" s="5">
        <v>720</v>
      </c>
      <c r="D901" s="3">
        <v>44403</v>
      </c>
      <c r="E901" t="str">
        <f>"202107144540"</f>
        <v>202107144540</v>
      </c>
      <c r="F901" t="str">
        <f>"2ND QTR ACTIVITY/PCT#1"</f>
        <v>2ND QTR ACTIVITY/PCT#1</v>
      </c>
      <c r="G901" s="5">
        <v>720</v>
      </c>
      <c r="H901" t="str">
        <f>"2ND QTR ACTIVITY/PCT#1"</f>
        <v>2ND QTR ACTIVITY/PCT#1</v>
      </c>
    </row>
    <row r="902" spans="1:8" x14ac:dyDescent="0.25">
      <c r="A902" t="s">
        <v>290</v>
      </c>
      <c r="B902">
        <v>4752</v>
      </c>
      <c r="C902" s="5">
        <v>1212</v>
      </c>
      <c r="D902" s="3">
        <v>44390</v>
      </c>
      <c r="E902" t="str">
        <f>"3199"</f>
        <v>3199</v>
      </c>
      <c r="F902" t="str">
        <f>"INV 3199"</f>
        <v>INV 3199</v>
      </c>
      <c r="G902" s="5">
        <v>1212</v>
      </c>
      <c r="H902" t="str">
        <f>"INV 3199"</f>
        <v>INV 3199</v>
      </c>
    </row>
    <row r="903" spans="1:8" x14ac:dyDescent="0.25">
      <c r="A903" t="s">
        <v>291</v>
      </c>
      <c r="B903">
        <v>136421</v>
      </c>
      <c r="C903" s="5">
        <v>2777</v>
      </c>
      <c r="D903" s="3">
        <v>44403</v>
      </c>
      <c r="E903" t="str">
        <f>"59394"</f>
        <v>59394</v>
      </c>
      <c r="F903" t="str">
        <f>"OSS ACADEMY COURSES/COMM."</f>
        <v>OSS ACADEMY COURSES/COMM.</v>
      </c>
      <c r="G903" s="5">
        <v>2777</v>
      </c>
      <c r="H903" t="str">
        <f>"OSS ACADEMY COURSES/COMM."</f>
        <v>OSS ACADEMY COURSES/COMM.</v>
      </c>
    </row>
    <row r="904" spans="1:8" x14ac:dyDescent="0.25">
      <c r="A904" t="s">
        <v>292</v>
      </c>
      <c r="B904">
        <v>136240</v>
      </c>
      <c r="C904" s="5">
        <v>500</v>
      </c>
      <c r="D904" s="3">
        <v>44389</v>
      </c>
      <c r="E904" t="str">
        <f>"1228"</f>
        <v>1228</v>
      </c>
      <c r="F904" t="str">
        <f>"INV 1228"</f>
        <v>INV 1228</v>
      </c>
      <c r="G904" s="5">
        <v>500</v>
      </c>
      <c r="H904" t="str">
        <f>"INV 1228"</f>
        <v>INV 1228</v>
      </c>
    </row>
    <row r="905" spans="1:8" x14ac:dyDescent="0.25">
      <c r="A905" t="s">
        <v>293</v>
      </c>
      <c r="B905">
        <v>4702</v>
      </c>
      <c r="C905" s="5">
        <v>69742.67</v>
      </c>
      <c r="D905" s="3">
        <v>44390</v>
      </c>
      <c r="E905" t="str">
        <f>"21227"</f>
        <v>21227</v>
      </c>
      <c r="F905" t="str">
        <f>"CHIPSEAL EMULISON/PCT#2"</f>
        <v>CHIPSEAL EMULISON/PCT#2</v>
      </c>
      <c r="G905" s="5">
        <v>69742.67</v>
      </c>
      <c r="H905" t="str">
        <f>"CHIPSEAL EMULISON/PCT#2"</f>
        <v>CHIPSEAL EMULISON/PCT#2</v>
      </c>
    </row>
    <row r="906" spans="1:8" x14ac:dyDescent="0.25">
      <c r="A906" t="s">
        <v>294</v>
      </c>
      <c r="B906">
        <v>4824</v>
      </c>
      <c r="C906" s="5">
        <v>145</v>
      </c>
      <c r="D906" s="3">
        <v>44404</v>
      </c>
      <c r="E906" t="str">
        <f>"000058429"</f>
        <v>000058429</v>
      </c>
      <c r="F906" t="str">
        <f>"INV 0000058429"</f>
        <v>INV 0000058429</v>
      </c>
      <c r="G906" s="5">
        <v>145</v>
      </c>
      <c r="H906" t="str">
        <f>"INV 0000058429"</f>
        <v>INV 0000058429</v>
      </c>
    </row>
    <row r="907" spans="1:8" x14ac:dyDescent="0.25">
      <c r="A907" t="s">
        <v>295</v>
      </c>
      <c r="B907">
        <v>136422</v>
      </c>
      <c r="C907" s="5">
        <v>6.49</v>
      </c>
      <c r="D907" s="3">
        <v>44403</v>
      </c>
      <c r="E907" t="str">
        <f>"881169"</f>
        <v>881169</v>
      </c>
      <c r="F907" t="str">
        <f>"SUPPLIES/PCT#4"</f>
        <v>SUPPLIES/PCT#4</v>
      </c>
      <c r="G907" s="5">
        <v>6.49</v>
      </c>
      <c r="H907" t="str">
        <f>"SUPPLIES/PCT#4"</f>
        <v>SUPPLIES/PCT#4</v>
      </c>
    </row>
    <row r="908" spans="1:8" x14ac:dyDescent="0.25">
      <c r="A908" t="s">
        <v>296</v>
      </c>
      <c r="B908">
        <v>4713</v>
      </c>
      <c r="C908" s="5">
        <v>3905.1</v>
      </c>
      <c r="D908" s="3">
        <v>44390</v>
      </c>
      <c r="E908" t="str">
        <f>"2008476"</f>
        <v>2008476</v>
      </c>
      <c r="F908" t="str">
        <f>"ACCT#BA-CNTY-O1"</f>
        <v>ACCT#BA-CNTY-O1</v>
      </c>
      <c r="G908" s="5">
        <v>450</v>
      </c>
      <c r="H908" t="str">
        <f>"ACCT#BA-CNTY-O1"</f>
        <v>ACCT#BA-CNTY-O1</v>
      </c>
    </row>
    <row r="909" spans="1:8" x14ac:dyDescent="0.25">
      <c r="E909" t="str">
        <f>"2008477"</f>
        <v>2008477</v>
      </c>
      <c r="F909" t="str">
        <f>"ACCT#BA-CNTY-01"</f>
        <v>ACCT#BA-CNTY-01</v>
      </c>
      <c r="G909" s="5">
        <v>3455.1</v>
      </c>
      <c r="H909" t="str">
        <f>"ACCT#BA-CNTY-01"</f>
        <v>ACCT#BA-CNTY-01</v>
      </c>
    </row>
    <row r="910" spans="1:8" x14ac:dyDescent="0.25">
      <c r="A910" t="s">
        <v>297</v>
      </c>
      <c r="B910">
        <v>136423</v>
      </c>
      <c r="C910" s="5">
        <v>50.46</v>
      </c>
      <c r="D910" s="3">
        <v>44403</v>
      </c>
      <c r="E910" t="str">
        <f>"202107194615"</f>
        <v>202107194615</v>
      </c>
      <c r="F910" t="str">
        <f>"REIMBURSE/PATSY MIRELES"</f>
        <v>REIMBURSE/PATSY MIRELES</v>
      </c>
      <c r="G910" s="5">
        <v>50.46</v>
      </c>
      <c r="H910" t="str">
        <f>"REIMBURSE/PATSY MIRELES"</f>
        <v>REIMBURSE/PATSY MIRELES</v>
      </c>
    </row>
    <row r="911" spans="1:8" x14ac:dyDescent="0.25">
      <c r="A911" t="s">
        <v>298</v>
      </c>
      <c r="B911">
        <v>136241</v>
      </c>
      <c r="C911" s="5">
        <v>2366.06</v>
      </c>
      <c r="D911" s="3">
        <v>44389</v>
      </c>
      <c r="E911" t="str">
        <f>"202107074426"</f>
        <v>202107074426</v>
      </c>
      <c r="F911" t="str">
        <f>"ACCT#0200140783"</f>
        <v>ACCT#0200140783</v>
      </c>
      <c r="G911" s="5">
        <v>2366.06</v>
      </c>
      <c r="H911" t="str">
        <f>"ACCT#0200140783"</f>
        <v>ACCT#0200140783</v>
      </c>
    </row>
    <row r="912" spans="1:8" x14ac:dyDescent="0.25">
      <c r="E912" t="str">
        <f>""</f>
        <v/>
      </c>
      <c r="F912" t="str">
        <f>""</f>
        <v/>
      </c>
      <c r="H912" t="str">
        <f>"ACCT#0200140783"</f>
        <v>ACCT#0200140783</v>
      </c>
    </row>
    <row r="913" spans="1:8" x14ac:dyDescent="0.25">
      <c r="E913" t="str">
        <f>""</f>
        <v/>
      </c>
      <c r="F913" t="str">
        <f>""</f>
        <v/>
      </c>
      <c r="H913" t="str">
        <f>"ACCT#0200140783"</f>
        <v>ACCT#0200140783</v>
      </c>
    </row>
    <row r="914" spans="1:8" x14ac:dyDescent="0.25">
      <c r="A914" t="s">
        <v>299</v>
      </c>
      <c r="B914">
        <v>4708</v>
      </c>
      <c r="C914" s="5">
        <v>780</v>
      </c>
      <c r="D914" s="3">
        <v>44390</v>
      </c>
      <c r="E914" t="str">
        <f>"202107074403"</f>
        <v>202107074403</v>
      </c>
      <c r="F914" t="str">
        <f>"TRASH REMOVAL/PAUL GRANADO"</f>
        <v>TRASH REMOVAL/PAUL GRANADO</v>
      </c>
      <c r="G914" s="5">
        <v>526.5</v>
      </c>
      <c r="H914" t="str">
        <f>"TRASH REMOVAL/PAUL GRANADO"</f>
        <v>TRASH REMOVAL/PAUL GRANADO</v>
      </c>
    </row>
    <row r="915" spans="1:8" x14ac:dyDescent="0.25">
      <c r="E915" t="str">
        <f>"202107074404"</f>
        <v>202107074404</v>
      </c>
      <c r="F915" t="str">
        <f>"TRAHS REMOVAL/PAUL GRANADO"</f>
        <v>TRAHS REMOVAL/PAUL GRANADO</v>
      </c>
      <c r="G915" s="5">
        <v>253.5</v>
      </c>
      <c r="H915" t="str">
        <f>"TRAHS REMOVAL/PAUL GRANADO"</f>
        <v>TRAHS REMOVAL/PAUL GRANADO</v>
      </c>
    </row>
    <row r="916" spans="1:8" x14ac:dyDescent="0.25">
      <c r="A916" t="s">
        <v>299</v>
      </c>
      <c r="B916">
        <v>4790</v>
      </c>
      <c r="C916" s="5">
        <v>799.5</v>
      </c>
      <c r="D916" s="3">
        <v>44404</v>
      </c>
      <c r="E916" t="str">
        <f>"202107204650"</f>
        <v>202107204650</v>
      </c>
      <c r="F916" t="str">
        <f>"TRASH REMOVAL/PAUL GRANADO"</f>
        <v>TRASH REMOVAL/PAUL GRANADO</v>
      </c>
      <c r="G916" s="5">
        <v>799.5</v>
      </c>
      <c r="H916" t="str">
        <f>"TRASH REMOVAL/PAUL GRANADO"</f>
        <v>TRASH REMOVAL/PAUL GRANADO</v>
      </c>
    </row>
    <row r="917" spans="1:8" x14ac:dyDescent="0.25">
      <c r="A917" t="s">
        <v>300</v>
      </c>
      <c r="B917">
        <v>136242</v>
      </c>
      <c r="C917" s="5">
        <v>5878.6</v>
      </c>
      <c r="D917" s="3">
        <v>44389</v>
      </c>
      <c r="E917" t="str">
        <f>"IVC00050761"</f>
        <v>IVC00050761</v>
      </c>
      <c r="F917" t="str">
        <f>"PROFESSIONAL SVCS/JP#1"</f>
        <v>PROFESSIONAL SVCS/JP#1</v>
      </c>
      <c r="G917" s="5">
        <v>5878.6</v>
      </c>
      <c r="H917" t="str">
        <f>"PROFESSIONAL SVCS/JP#1"</f>
        <v>PROFESSIONAL SVCS/JP#1</v>
      </c>
    </row>
    <row r="918" spans="1:8" x14ac:dyDescent="0.25">
      <c r="A918" t="s">
        <v>300</v>
      </c>
      <c r="B918">
        <v>136424</v>
      </c>
      <c r="C918" s="5">
        <v>37110.959999999999</v>
      </c>
      <c r="D918" s="3">
        <v>44403</v>
      </c>
      <c r="E918" t="str">
        <f>"IVC00060016"</f>
        <v>IVC00060016</v>
      </c>
      <c r="F918" t="str">
        <f>"4/1/21-6/30/21 JP#1 ATTNY FEES"</f>
        <v>4/1/21-6/30/21 JP#1 ATTNY FEES</v>
      </c>
      <c r="G918" s="5">
        <v>11784.5</v>
      </c>
      <c r="H918" t="str">
        <f>"4/1/21-6/30/21 JP#1 ATTNY FEES"</f>
        <v>4/1/21-6/30/21 JP#1 ATTNY FEES</v>
      </c>
    </row>
    <row r="919" spans="1:8" x14ac:dyDescent="0.25">
      <c r="E919" t="str">
        <f>"IVC00060018"</f>
        <v>IVC00060018</v>
      </c>
      <c r="F919" t="str">
        <f>"4/1/21-6/30/21 JP#3 ATTNY FEES"</f>
        <v>4/1/21-6/30/21 JP#3 ATTNY FEES</v>
      </c>
      <c r="G919" s="5">
        <v>11824.13</v>
      </c>
      <c r="H919" t="str">
        <f>"4/1/21-6/30/21 JP#3 ATTNY FEES"</f>
        <v>4/1/21-6/30/21 JP#3 ATTNY FEES</v>
      </c>
    </row>
    <row r="920" spans="1:8" x14ac:dyDescent="0.25">
      <c r="E920" t="str">
        <f>"IVC00060019"</f>
        <v>IVC00060019</v>
      </c>
      <c r="F920" t="str">
        <f>"4/1/21-6/30/21 JP#4 ATTNY FEES"</f>
        <v>4/1/21-6/30/21 JP#4 ATTNY FEES</v>
      </c>
      <c r="G920" s="5">
        <v>13502.33</v>
      </c>
      <c r="H920" t="str">
        <f>"4/1/21-6/30/21 JP#4 ATTNY FEES"</f>
        <v>4/1/21-6/30/21 JP#4 ATTNY FEES</v>
      </c>
    </row>
    <row r="921" spans="1:8" x14ac:dyDescent="0.25">
      <c r="A921" t="s">
        <v>301</v>
      </c>
      <c r="B921">
        <v>4754</v>
      </c>
      <c r="C921" s="5">
        <v>922.5</v>
      </c>
      <c r="D921" s="3">
        <v>44390</v>
      </c>
      <c r="E921" t="str">
        <f>"202107014222"</f>
        <v>202107014222</v>
      </c>
      <c r="F921" t="str">
        <f>"17-18576"</f>
        <v>17-18576</v>
      </c>
      <c r="G921" s="5">
        <v>482.5</v>
      </c>
      <c r="H921" t="str">
        <f>"17-18576"</f>
        <v>17-18576</v>
      </c>
    </row>
    <row r="922" spans="1:8" x14ac:dyDescent="0.25">
      <c r="E922" t="str">
        <f>"202107014223"</f>
        <v>202107014223</v>
      </c>
      <c r="F922" t="str">
        <f>"20-20394"</f>
        <v>20-20394</v>
      </c>
      <c r="G922" s="5">
        <v>265</v>
      </c>
      <c r="H922" t="str">
        <f>"20-20394"</f>
        <v>20-20394</v>
      </c>
    </row>
    <row r="923" spans="1:8" x14ac:dyDescent="0.25">
      <c r="E923" t="str">
        <f>"202107014224"</f>
        <v>202107014224</v>
      </c>
      <c r="F923" t="str">
        <f>"20-20415"</f>
        <v>20-20415</v>
      </c>
      <c r="G923" s="5">
        <v>175</v>
      </c>
      <c r="H923" t="str">
        <f>"20-20415"</f>
        <v>20-20415</v>
      </c>
    </row>
    <row r="924" spans="1:8" x14ac:dyDescent="0.25">
      <c r="A924" t="s">
        <v>301</v>
      </c>
      <c r="B924">
        <v>4838</v>
      </c>
      <c r="C924" s="5">
        <v>250</v>
      </c>
      <c r="D924" s="3">
        <v>44404</v>
      </c>
      <c r="E924" t="str">
        <f>"57277"</f>
        <v>57277</v>
      </c>
      <c r="F924" t="str">
        <f>"57277"</f>
        <v>57277</v>
      </c>
      <c r="G924" s="5">
        <v>250</v>
      </c>
      <c r="H924" t="str">
        <f>"57277"</f>
        <v>57277</v>
      </c>
    </row>
    <row r="925" spans="1:8" x14ac:dyDescent="0.25">
      <c r="A925" t="s">
        <v>302</v>
      </c>
      <c r="B925">
        <v>136243</v>
      </c>
      <c r="C925" s="5">
        <v>32.25</v>
      </c>
      <c r="D925" s="3">
        <v>44389</v>
      </c>
      <c r="E925" t="str">
        <f>"1018443766"</f>
        <v>1018443766</v>
      </c>
      <c r="F925" t="str">
        <f>"INV 1018443766"</f>
        <v>INV 1018443766</v>
      </c>
      <c r="G925" s="5">
        <v>32.25</v>
      </c>
      <c r="H925" t="str">
        <f>"INV 1018443766"</f>
        <v>INV 1018443766</v>
      </c>
    </row>
    <row r="926" spans="1:8" x14ac:dyDescent="0.25">
      <c r="A926" t="s">
        <v>303</v>
      </c>
      <c r="B926">
        <v>4753</v>
      </c>
      <c r="C926" s="5">
        <v>2978.37</v>
      </c>
      <c r="D926" s="3">
        <v>44390</v>
      </c>
      <c r="E926" t="str">
        <f>"331355591"</f>
        <v>331355591</v>
      </c>
      <c r="F926" t="str">
        <f>"ACCT#0017315717/TAX OFFICE"</f>
        <v>ACCT#0017315717/TAX OFFICE</v>
      </c>
      <c r="G926" s="5">
        <v>1347.36</v>
      </c>
      <c r="H926" t="str">
        <f>"ACCT#0017315717/TAX OFFICE"</f>
        <v>ACCT#0017315717/TAX OFFICE</v>
      </c>
    </row>
    <row r="927" spans="1:8" x14ac:dyDescent="0.25">
      <c r="E927" t="str">
        <f>"3313804589"</f>
        <v>3313804589</v>
      </c>
      <c r="F927" t="str">
        <f>"ACCT#0011198047"</f>
        <v>ACCT#0011198047</v>
      </c>
      <c r="G927" s="5">
        <v>1631.01</v>
      </c>
      <c r="H927" t="str">
        <f>"ACCT#0011198047"</f>
        <v>ACCT#0011198047</v>
      </c>
    </row>
    <row r="928" spans="1:8" x14ac:dyDescent="0.25">
      <c r="A928" t="s">
        <v>304</v>
      </c>
      <c r="B928">
        <v>4797</v>
      </c>
      <c r="C928" s="5">
        <v>500</v>
      </c>
      <c r="D928" s="3">
        <v>44404</v>
      </c>
      <c r="E928" t="str">
        <f>"202107134525"</f>
        <v>202107134525</v>
      </c>
      <c r="F928" t="str">
        <f>"57-808"</f>
        <v>57-808</v>
      </c>
      <c r="G928" s="5">
        <v>250</v>
      </c>
      <c r="H928" t="str">
        <f>"57-808"</f>
        <v>57-808</v>
      </c>
    </row>
    <row r="929" spans="1:8" x14ac:dyDescent="0.25">
      <c r="E929" t="str">
        <f>"202107134526"</f>
        <v>202107134526</v>
      </c>
      <c r="F929" t="str">
        <f>"57-633"</f>
        <v>57-633</v>
      </c>
      <c r="G929" s="5">
        <v>250</v>
      </c>
      <c r="H929" t="str">
        <f>"57-633"</f>
        <v>57-633</v>
      </c>
    </row>
    <row r="930" spans="1:8" x14ac:dyDescent="0.25">
      <c r="A930" t="s">
        <v>305</v>
      </c>
      <c r="B930">
        <v>4732</v>
      </c>
      <c r="C930" s="5">
        <v>142.62</v>
      </c>
      <c r="D930" s="3">
        <v>44390</v>
      </c>
      <c r="E930" t="str">
        <f>"202107074406"</f>
        <v>202107074406</v>
      </c>
      <c r="F930" t="str">
        <f>"ACCT#0005/PCT#4"</f>
        <v>ACCT#0005/PCT#4</v>
      </c>
      <c r="G930" s="5">
        <v>142.62</v>
      </c>
      <c r="H930" t="str">
        <f>"ACCT#0005/PCT#4"</f>
        <v>ACCT#0005/PCT#4</v>
      </c>
    </row>
    <row r="931" spans="1:8" x14ac:dyDescent="0.25">
      <c r="E931" t="str">
        <f>""</f>
        <v/>
      </c>
      <c r="F931" t="str">
        <f>""</f>
        <v/>
      </c>
      <c r="H931" t="str">
        <f>"ACCT#0005/PCT#4"</f>
        <v>ACCT#0005/PCT#4</v>
      </c>
    </row>
    <row r="932" spans="1:8" x14ac:dyDescent="0.25">
      <c r="A932" t="s">
        <v>306</v>
      </c>
      <c r="B932">
        <v>136425</v>
      </c>
      <c r="C932" s="5">
        <v>3203.78</v>
      </c>
      <c r="D932" s="3">
        <v>44403</v>
      </c>
      <c r="E932" t="str">
        <f>"202107204662"</f>
        <v>202107204662</v>
      </c>
      <c r="F932" t="str">
        <f>"ACCT#8850283308/PCT#3"</f>
        <v>ACCT#8850283308/PCT#3</v>
      </c>
      <c r="G932" s="5">
        <v>686.1</v>
      </c>
      <c r="H932" t="str">
        <f>"ACCT#8850283308/PCT#3"</f>
        <v>ACCT#8850283308/PCT#3</v>
      </c>
    </row>
    <row r="933" spans="1:8" x14ac:dyDescent="0.25">
      <c r="E933" t="str">
        <f>"93255423"</f>
        <v>93255423</v>
      </c>
      <c r="F933" t="str">
        <f>"ACCT#8850283308/PCT#1"</f>
        <v>ACCT#8850283308/PCT#1</v>
      </c>
      <c r="G933" s="5">
        <v>1111.03</v>
      </c>
      <c r="H933" t="str">
        <f>"ACCT#8850283308/PCT#1"</f>
        <v>ACCT#8850283308/PCT#1</v>
      </c>
    </row>
    <row r="934" spans="1:8" x14ac:dyDescent="0.25">
      <c r="E934" t="str">
        <f>"P3381223"</f>
        <v>P3381223</v>
      </c>
      <c r="F934" t="str">
        <f>"ACCT#8850283308/PCT#2"</f>
        <v>ACCT#8850283308/PCT#2</v>
      </c>
      <c r="G934" s="5">
        <v>1406.65</v>
      </c>
      <c r="H934" t="str">
        <f>"ACCT#8850283308/PCT#2"</f>
        <v>ACCT#8850283308/PCT#2</v>
      </c>
    </row>
    <row r="935" spans="1:8" x14ac:dyDescent="0.25">
      <c r="A935" t="s">
        <v>307</v>
      </c>
      <c r="B935">
        <v>136426</v>
      </c>
      <c r="C935" s="5">
        <v>41.55</v>
      </c>
      <c r="D935" s="3">
        <v>44403</v>
      </c>
      <c r="E935" t="str">
        <f>"251898"</f>
        <v>251898</v>
      </c>
      <c r="F935" t="str">
        <f>"INV 251898"</f>
        <v>INV 251898</v>
      </c>
      <c r="G935" s="5">
        <v>41.55</v>
      </c>
      <c r="H935" t="str">
        <f>"INV 251898"</f>
        <v>INV 251898</v>
      </c>
    </row>
    <row r="936" spans="1:8" x14ac:dyDescent="0.25">
      <c r="A936" t="s">
        <v>308</v>
      </c>
      <c r="B936">
        <v>4758</v>
      </c>
      <c r="C936" s="5">
        <v>4113</v>
      </c>
      <c r="D936" s="3">
        <v>44390</v>
      </c>
      <c r="E936" t="str">
        <f>"208519"</f>
        <v>208519</v>
      </c>
      <c r="F936" t="str">
        <f>"INV 208519"</f>
        <v>INV 208519</v>
      </c>
      <c r="G936" s="5">
        <v>4113</v>
      </c>
      <c r="H936" t="str">
        <f>"INV 208519"</f>
        <v>INV 208519</v>
      </c>
    </row>
    <row r="937" spans="1:8" x14ac:dyDescent="0.25">
      <c r="A937" t="s">
        <v>308</v>
      </c>
      <c r="B937">
        <v>4843</v>
      </c>
      <c r="C937" s="5">
        <v>4210</v>
      </c>
      <c r="D937" s="3">
        <v>44404</v>
      </c>
      <c r="E937" t="str">
        <f>"208738"</f>
        <v>208738</v>
      </c>
      <c r="F937" t="str">
        <f>"INV 208738"</f>
        <v>INV 208738</v>
      </c>
      <c r="G937" s="5">
        <v>4210</v>
      </c>
      <c r="H937" t="str">
        <f>"INV 208738"</f>
        <v>INV 208738</v>
      </c>
    </row>
    <row r="938" spans="1:8" x14ac:dyDescent="0.25">
      <c r="A938" t="s">
        <v>309</v>
      </c>
      <c r="B938">
        <v>136244</v>
      </c>
      <c r="C938" s="5">
        <v>188.22</v>
      </c>
      <c r="D938" s="3">
        <v>44389</v>
      </c>
      <c r="E938" t="str">
        <f>"202107074378"</f>
        <v>202107074378</v>
      </c>
      <c r="F938" t="str">
        <f>"JAIL MEDICAL"</f>
        <v>JAIL MEDICAL</v>
      </c>
      <c r="G938" s="5">
        <v>188.22</v>
      </c>
      <c r="H938" t="str">
        <f>"JAIL MEDICAL"</f>
        <v>JAIL MEDICAL</v>
      </c>
    </row>
    <row r="939" spans="1:8" x14ac:dyDescent="0.25">
      <c r="A939" t="s">
        <v>310</v>
      </c>
      <c r="B939">
        <v>136427</v>
      </c>
      <c r="C939" s="5">
        <v>848</v>
      </c>
      <c r="D939" s="3">
        <v>44403</v>
      </c>
      <c r="E939" t="str">
        <f>"048868"</f>
        <v>048868</v>
      </c>
      <c r="F939" t="str">
        <f>"INV 048868"</f>
        <v>INV 048868</v>
      </c>
      <c r="G939" s="5">
        <v>848</v>
      </c>
      <c r="H939" t="str">
        <f>"INV 048868"</f>
        <v>INV 048868</v>
      </c>
    </row>
    <row r="940" spans="1:8" x14ac:dyDescent="0.25">
      <c r="A940" t="s">
        <v>311</v>
      </c>
      <c r="B940">
        <v>136428</v>
      </c>
      <c r="C940" s="5">
        <v>135</v>
      </c>
      <c r="D940" s="3">
        <v>44403</v>
      </c>
      <c r="E940" t="str">
        <f>"202107204722"</f>
        <v>202107204722</v>
      </c>
      <c r="F940" t="str">
        <f>"PER DIEM"</f>
        <v>PER DIEM</v>
      </c>
      <c r="G940" s="5">
        <v>135</v>
      </c>
      <c r="H940" t="str">
        <f>"PER DIEM"</f>
        <v>PER DIEM</v>
      </c>
    </row>
    <row r="941" spans="1:8" x14ac:dyDescent="0.25">
      <c r="A941" t="s">
        <v>312</v>
      </c>
      <c r="B941">
        <v>4779</v>
      </c>
      <c r="C941" s="5">
        <v>26.98</v>
      </c>
      <c r="D941" s="3">
        <v>44404</v>
      </c>
      <c r="E941" t="str">
        <f>"11G0121569859"</f>
        <v>11G0121569859</v>
      </c>
      <c r="F941" t="str">
        <f>"ACCT#0121569859/JP#4"</f>
        <v>ACCT#0121569859/JP#4</v>
      </c>
      <c r="G941" s="5">
        <v>12.99</v>
      </c>
      <c r="H941" t="str">
        <f>"ACCT#0121569859/JP#4"</f>
        <v>ACCT#0121569859/JP#4</v>
      </c>
    </row>
    <row r="942" spans="1:8" x14ac:dyDescent="0.25">
      <c r="E942" t="str">
        <f>"11G0121587851"</f>
        <v>11G0121587851</v>
      </c>
      <c r="F942" t="str">
        <f>"ACCT#0121587851/PCT#4"</f>
        <v>ACCT#0121587851/PCT#4</v>
      </c>
      <c r="G942" s="5">
        <v>13.99</v>
      </c>
      <c r="H942" t="str">
        <f>"ACCT#0121587851/PCT#4"</f>
        <v>ACCT#0121587851/PCT#4</v>
      </c>
    </row>
    <row r="943" spans="1:8" x14ac:dyDescent="0.25">
      <c r="A943" t="s">
        <v>313</v>
      </c>
      <c r="B943">
        <v>136429</v>
      </c>
      <c r="C943" s="5">
        <v>529.09</v>
      </c>
      <c r="D943" s="3">
        <v>44403</v>
      </c>
      <c r="E943" t="str">
        <f>"16-984"</f>
        <v>16-984</v>
      </c>
      <c r="F943" t="str">
        <f>"RESTITUTION/ LAKENYA ALEXANDER"</f>
        <v>RESTITUTION/ LAKENYA ALEXANDER</v>
      </c>
      <c r="G943" s="5">
        <v>529.09</v>
      </c>
      <c r="H943" t="str">
        <f>"RESTITUTION/ LAKENYA ALEXANDER"</f>
        <v>RESTITUTION/ LAKENYA ALEXANDER</v>
      </c>
    </row>
    <row r="944" spans="1:8" x14ac:dyDescent="0.25">
      <c r="A944" t="s">
        <v>314</v>
      </c>
      <c r="B944">
        <v>4735</v>
      </c>
      <c r="C944" s="5">
        <v>2000</v>
      </c>
      <c r="D944" s="3">
        <v>44390</v>
      </c>
      <c r="E944" t="str">
        <f>"67"</f>
        <v>67</v>
      </c>
      <c r="F944" t="str">
        <f>"SPAY/NEUTER SVCS"</f>
        <v>SPAY/NEUTER SVCS</v>
      </c>
      <c r="G944" s="5">
        <v>2000</v>
      </c>
      <c r="H944" t="str">
        <f>"SPAY/NEUTER SVCS"</f>
        <v>SPAY/NEUTER SVCS</v>
      </c>
    </row>
    <row r="945" spans="1:8" x14ac:dyDescent="0.25">
      <c r="A945" t="s">
        <v>314</v>
      </c>
      <c r="B945">
        <v>4819</v>
      </c>
      <c r="C945" s="5">
        <v>1500</v>
      </c>
      <c r="D945" s="3">
        <v>44404</v>
      </c>
      <c r="E945" t="str">
        <f>"70"</f>
        <v>70</v>
      </c>
      <c r="F945" t="str">
        <f>"SPAY/NEUTHER SVCS"</f>
        <v>SPAY/NEUTHER SVCS</v>
      </c>
      <c r="G945" s="5">
        <v>1500</v>
      </c>
      <c r="H945" t="str">
        <f>"SPAY/NEUTHER SVCS"</f>
        <v>SPAY/NEUTHER SVCS</v>
      </c>
    </row>
    <row r="946" spans="1:8" x14ac:dyDescent="0.25">
      <c r="A946" t="s">
        <v>315</v>
      </c>
      <c r="B946">
        <v>136245</v>
      </c>
      <c r="C946" s="5">
        <v>580.57000000000005</v>
      </c>
      <c r="D946" s="3">
        <v>44389</v>
      </c>
      <c r="E946" t="str">
        <f>"202107074416"</f>
        <v>202107074416</v>
      </c>
      <c r="F946" t="str">
        <f>"ACCT#19610"</f>
        <v>ACCT#19610</v>
      </c>
      <c r="G946" s="5">
        <v>580.57000000000005</v>
      </c>
      <c r="H946" t="str">
        <f>"ACCT#19610"</f>
        <v>ACCT#19610</v>
      </c>
    </row>
    <row r="947" spans="1:8" x14ac:dyDescent="0.25">
      <c r="A947" t="s">
        <v>316</v>
      </c>
      <c r="B947">
        <v>136112</v>
      </c>
      <c r="C947" s="5">
        <v>1687.78</v>
      </c>
      <c r="D947" s="3">
        <v>44378</v>
      </c>
      <c r="E947" t="str">
        <f>"301 002 872 245 8"</f>
        <v>301 002 872 245 8</v>
      </c>
      <c r="F947" t="str">
        <f>"ACCT#15 070 712 3 / 06292021"</f>
        <v>ACCT#15 070 712 3 / 06292021</v>
      </c>
      <c r="G947" s="5">
        <v>18.13</v>
      </c>
      <c r="H947" t="str">
        <f>"ACCT#15 070 712 3 / 06292021"</f>
        <v>ACCT#15 070 712 3 / 06292021</v>
      </c>
    </row>
    <row r="948" spans="1:8" x14ac:dyDescent="0.25">
      <c r="E948" t="str">
        <f>"301 002 872 246 6"</f>
        <v>301 002 872 246 6</v>
      </c>
      <c r="F948" t="str">
        <f>"ACCT#15 070 713 1 / 06292021"</f>
        <v>ACCT#15 070 713 1 / 06292021</v>
      </c>
      <c r="G948" s="5">
        <v>21.8</v>
      </c>
      <c r="H948" t="str">
        <f>"ACCT#15 070 713 1 / 06292021"</f>
        <v>ACCT#15 070 713 1 / 06292021</v>
      </c>
    </row>
    <row r="949" spans="1:8" x14ac:dyDescent="0.25">
      <c r="E949" t="str">
        <f>"301 002 872 247 4"</f>
        <v>301 002 872 247 4</v>
      </c>
      <c r="F949" t="str">
        <f>"ACCT#15 072 199 - 1 / 06292021"</f>
        <v>ACCT#15 072 199 - 1 / 06292021</v>
      </c>
      <c r="G949" s="5">
        <v>49.84</v>
      </c>
      <c r="H949" t="str">
        <f>"NRG ENERGY INC"</f>
        <v>NRG ENERGY INC</v>
      </c>
    </row>
    <row r="950" spans="1:8" x14ac:dyDescent="0.25">
      <c r="E950" t="str">
        <f>"301 002 872 248 2"</f>
        <v>301 002 872 248 2</v>
      </c>
      <c r="F950" t="str">
        <f>"ACCT#15 072 200 - 7 / 06292021"</f>
        <v>ACCT#15 072 200 - 7 / 06292021</v>
      </c>
      <c r="G950" s="5">
        <v>273.75</v>
      </c>
      <c r="H950" t="str">
        <f>"NRG ENERGY INC"</f>
        <v>NRG ENERGY INC</v>
      </c>
    </row>
    <row r="951" spans="1:8" x14ac:dyDescent="0.25">
      <c r="E951" t="str">
        <f>"301 002 872 249 0"</f>
        <v>301 002 872 249 0</v>
      </c>
      <c r="F951" t="str">
        <f>"ACCT#15 072 201  5 / 06292021"</f>
        <v>ACCT#15 072 201  5 / 06292021</v>
      </c>
      <c r="G951" s="5">
        <v>470.86</v>
      </c>
      <c r="H951" t="str">
        <f>"ACCT#15 072 201 - 5 / 0629202"</f>
        <v>ACCT#15 072 201 - 5 / 0629202</v>
      </c>
    </row>
    <row r="952" spans="1:8" x14ac:dyDescent="0.25">
      <c r="E952" t="str">
        <f>"301 002 872 250 8"</f>
        <v>301 002 872 250 8</v>
      </c>
      <c r="F952" t="str">
        <f>"ACCT#15 072 202 3 / 06292021"</f>
        <v>ACCT#15 072 202 3 / 06292021</v>
      </c>
      <c r="G952" s="5">
        <v>21.66</v>
      </c>
      <c r="H952" t="str">
        <f>"ACCT#15 072 202 3 / 06292021"</f>
        <v>ACCT#15 072 202 3 / 06292021</v>
      </c>
    </row>
    <row r="953" spans="1:8" x14ac:dyDescent="0.25">
      <c r="E953" t="str">
        <f>"304 000 998 857 0"</f>
        <v>304 000 998 857 0</v>
      </c>
      <c r="F953" t="str">
        <f>"ACCT#15 072 203 1 / 06292021"</f>
        <v>ACCT#15 072 203 1 / 06292021</v>
      </c>
      <c r="G953" s="5">
        <v>15.63</v>
      </c>
      <c r="H953" t="str">
        <f>"ACCT#15 072 203 1 / 06292021"</f>
        <v>ACCT#15 072 203 1 / 06292021</v>
      </c>
    </row>
    <row r="954" spans="1:8" x14ac:dyDescent="0.25">
      <c r="E954" t="str">
        <f>"304 000 998 858 8"</f>
        <v>304 000 998 858 8</v>
      </c>
      <c r="F954" t="str">
        <f>"ACCT#15 072 204 9 / 06292021"</f>
        <v>ACCT#15 072 204 9 / 06292021</v>
      </c>
      <c r="G954" s="5">
        <v>373.61</v>
      </c>
      <c r="H954" t="str">
        <f>"NRG ENERGY INC"</f>
        <v>NRG ENERGY INC</v>
      </c>
    </row>
    <row r="955" spans="1:8" x14ac:dyDescent="0.25">
      <c r="E955" t="str">
        <f>"306 000 820 357 3"</f>
        <v>306 000 820 357 3</v>
      </c>
      <c r="F955" t="str">
        <f>"ACCT#15 069 451 1 / 06282021"</f>
        <v>ACCT#15 069 451 1 / 06282021</v>
      </c>
      <c r="G955" s="5">
        <v>442.5</v>
      </c>
      <c r="H955" t="str">
        <f>"NRG ENERGY INC"</f>
        <v>NRG ENERGY INC</v>
      </c>
    </row>
    <row r="956" spans="1:8" x14ac:dyDescent="0.25">
      <c r="A956" t="s">
        <v>317</v>
      </c>
      <c r="B956">
        <v>136246</v>
      </c>
      <c r="C956" s="5">
        <v>9000</v>
      </c>
      <c r="D956" s="3">
        <v>44389</v>
      </c>
      <c r="E956" t="str">
        <f>"202107064356"</f>
        <v>202107064356</v>
      </c>
      <c r="F956" t="str">
        <f>"ACCT#34549337"</f>
        <v>ACCT#34549337</v>
      </c>
      <c r="G956" s="5">
        <v>9000</v>
      </c>
      <c r="H956" t="str">
        <f>"ACCT#34549337"</f>
        <v>ACCT#34549337</v>
      </c>
    </row>
    <row r="957" spans="1:8" x14ac:dyDescent="0.25">
      <c r="A957" t="s">
        <v>318</v>
      </c>
      <c r="B957">
        <v>136247</v>
      </c>
      <c r="C957" s="5">
        <v>102</v>
      </c>
      <c r="D957" s="3">
        <v>44389</v>
      </c>
      <c r="E957" t="str">
        <f>"11342"</f>
        <v>11342</v>
      </c>
      <c r="F957" t="str">
        <f>"TIRES/PCT#2"</f>
        <v>TIRES/PCT#2</v>
      </c>
      <c r="G957" s="5">
        <v>40</v>
      </c>
      <c r="H957" t="str">
        <f>"TIRES/PCT#2"</f>
        <v>TIRES/PCT#2</v>
      </c>
    </row>
    <row r="958" spans="1:8" x14ac:dyDescent="0.25">
      <c r="E958" t="str">
        <f>"11356"</f>
        <v>11356</v>
      </c>
      <c r="F958" t="str">
        <f>"TIRES/PCT#2"</f>
        <v>TIRES/PCT#2</v>
      </c>
      <c r="G958" s="5">
        <v>40</v>
      </c>
      <c r="H958" t="str">
        <f>"TIRES/PCT#2"</f>
        <v>TIRES/PCT#2</v>
      </c>
    </row>
    <row r="959" spans="1:8" x14ac:dyDescent="0.25">
      <c r="E959" t="str">
        <f>"12364"</f>
        <v>12364</v>
      </c>
      <c r="F959" t="str">
        <f>"TIRES/PCT#2"</f>
        <v>TIRES/PCT#2</v>
      </c>
      <c r="G959" s="5">
        <v>22</v>
      </c>
      <c r="H959" t="str">
        <f>"TIRES/PCT#2"</f>
        <v>TIRES/PCT#2</v>
      </c>
    </row>
    <row r="960" spans="1:8" x14ac:dyDescent="0.25">
      <c r="A960" t="s">
        <v>318</v>
      </c>
      <c r="B960">
        <v>136430</v>
      </c>
      <c r="C960" s="5">
        <v>22</v>
      </c>
      <c r="D960" s="3">
        <v>44403</v>
      </c>
      <c r="E960" t="str">
        <f>"11480"</f>
        <v>11480</v>
      </c>
      <c r="F960" t="str">
        <f>"TIRES/PCT#2"</f>
        <v>TIRES/PCT#2</v>
      </c>
      <c r="G960" s="5">
        <v>22</v>
      </c>
      <c r="H960" t="str">
        <f>"TIRES/PCT#2"</f>
        <v>TIRES/PCT#2</v>
      </c>
    </row>
    <row r="961" spans="1:8" x14ac:dyDescent="0.25">
      <c r="A961" t="s">
        <v>319</v>
      </c>
      <c r="B961">
        <v>136248</v>
      </c>
      <c r="C961" s="5">
        <v>445.5</v>
      </c>
      <c r="D961" s="3">
        <v>44389</v>
      </c>
      <c r="E961" t="str">
        <f>"99999901905471"</f>
        <v>99999901905471</v>
      </c>
      <c r="F961" t="str">
        <f>"MELOXICAM/ANIMAL SHELTER"</f>
        <v>MELOXICAM/ANIMAL SHELTER</v>
      </c>
      <c r="G961" s="5">
        <v>445.5</v>
      </c>
      <c r="H961" t="str">
        <f>"MELOXICAM/ANIMAL SHELTER"</f>
        <v>MELOXICAM/ANIMAL SHELTER</v>
      </c>
    </row>
    <row r="962" spans="1:8" x14ac:dyDescent="0.25">
      <c r="A962" t="s">
        <v>320</v>
      </c>
      <c r="B962">
        <v>4807</v>
      </c>
      <c r="C962" s="5">
        <v>400</v>
      </c>
      <c r="D962" s="3">
        <v>44404</v>
      </c>
      <c r="E962" t="str">
        <f>"BCSOJUNE21"</f>
        <v>BCSOJUNE21</v>
      </c>
      <c r="F962" t="str">
        <f>"INV BCSOJUNE21"</f>
        <v>INV BCSOJUNE21</v>
      </c>
      <c r="G962" s="5">
        <v>400</v>
      </c>
      <c r="H962" t="str">
        <f>"INV BCSOJUNE21"</f>
        <v>INV BCSOJUNE21</v>
      </c>
    </row>
    <row r="963" spans="1:8" x14ac:dyDescent="0.25">
      <c r="A963" t="s">
        <v>321</v>
      </c>
      <c r="B963">
        <v>136249</v>
      </c>
      <c r="C963" s="5">
        <v>225</v>
      </c>
      <c r="D963" s="3">
        <v>44389</v>
      </c>
      <c r="E963" t="str">
        <f>"202107074435"</f>
        <v>202107074435</v>
      </c>
      <c r="F963" t="str">
        <f>"REIMBURSE/ROGELIO MENDOZA"</f>
        <v>REIMBURSE/ROGELIO MENDOZA</v>
      </c>
      <c r="G963" s="5">
        <v>225</v>
      </c>
      <c r="H963" t="str">
        <f>"REIMBURSE/ROGELIO MENDOZA"</f>
        <v>REIMBURSE/ROGELIO MENDOZA</v>
      </c>
    </row>
    <row r="964" spans="1:8" x14ac:dyDescent="0.25">
      <c r="A964" t="s">
        <v>322</v>
      </c>
      <c r="B964">
        <v>136250</v>
      </c>
      <c r="C964" s="5">
        <v>186</v>
      </c>
      <c r="D964" s="3">
        <v>44389</v>
      </c>
      <c r="E964" t="str">
        <f>"202107064348"</f>
        <v>202107064348</v>
      </c>
      <c r="F964" t="str">
        <f>"LPHCP RECORDING FEES"</f>
        <v>LPHCP RECORDING FEES</v>
      </c>
      <c r="G964" s="5">
        <v>186</v>
      </c>
      <c r="H964" t="str">
        <f>"LPHCP RECORDING FEES"</f>
        <v>LPHCP RECORDING FEES</v>
      </c>
    </row>
    <row r="965" spans="1:8" x14ac:dyDescent="0.25">
      <c r="A965" t="s">
        <v>322</v>
      </c>
      <c r="B965">
        <v>136251</v>
      </c>
      <c r="C965" s="5">
        <v>295</v>
      </c>
      <c r="D965" s="3">
        <v>44389</v>
      </c>
      <c r="E965" t="str">
        <f>"202107074422"</f>
        <v>202107074422</v>
      </c>
      <c r="F965" t="str">
        <f>"DEVELOPMENT SVCS RECORDING FEE"</f>
        <v>DEVELOPMENT SVCS RECORDING FEE</v>
      </c>
      <c r="G965" s="5">
        <v>295</v>
      </c>
      <c r="H965" t="str">
        <f>"DEVELOPMENT SVCS RECORDING FEE"</f>
        <v>DEVELOPMENT SVCS RECORDING FEE</v>
      </c>
    </row>
    <row r="966" spans="1:8" x14ac:dyDescent="0.25">
      <c r="A966" t="s">
        <v>322</v>
      </c>
      <c r="B966">
        <v>136431</v>
      </c>
      <c r="C966" s="5">
        <v>122</v>
      </c>
      <c r="D966" s="3">
        <v>44403</v>
      </c>
      <c r="E966" t="str">
        <f>"202107204685"</f>
        <v>202107204685</v>
      </c>
      <c r="F966" t="str">
        <f>"DEVELOPMENT SVCS RECORDING FEE"</f>
        <v>DEVELOPMENT SVCS RECORDING FEE</v>
      </c>
      <c r="G966" s="5">
        <v>122</v>
      </c>
      <c r="H966" t="str">
        <f>"DEVELOPMENT SVCS RECORDING FEE"</f>
        <v>DEVELOPMENT SVCS RECORDING FEE</v>
      </c>
    </row>
    <row r="967" spans="1:8" x14ac:dyDescent="0.25">
      <c r="A967" t="s">
        <v>323</v>
      </c>
      <c r="B967">
        <v>136252</v>
      </c>
      <c r="C967" s="5">
        <v>4489.95</v>
      </c>
      <c r="D967" s="3">
        <v>44389</v>
      </c>
      <c r="E967" t="str">
        <f>"202107014238"</f>
        <v>202107014238</v>
      </c>
      <c r="F967" t="str">
        <f>"INDIGENT HEALTH"</f>
        <v>INDIGENT HEALTH</v>
      </c>
      <c r="G967" s="5">
        <v>4489.95</v>
      </c>
      <c r="H967" t="str">
        <f>"INDIGENT HEALTH"</f>
        <v>INDIGENT HEALTH</v>
      </c>
    </row>
    <row r="968" spans="1:8" x14ac:dyDescent="0.25">
      <c r="A968" t="s">
        <v>324</v>
      </c>
      <c r="B968">
        <v>4757</v>
      </c>
      <c r="C968" s="5">
        <v>205.1</v>
      </c>
      <c r="D968" s="3">
        <v>44390</v>
      </c>
      <c r="E968" t="str">
        <f>"202107014233"</f>
        <v>202107014233</v>
      </c>
      <c r="F968" t="str">
        <f>"INDIGENT HEALTH"</f>
        <v>INDIGENT HEALTH</v>
      </c>
      <c r="G968" s="5">
        <v>205.1</v>
      </c>
      <c r="H968" t="str">
        <f>"INDIGENT HEALTH"</f>
        <v>INDIGENT HEALTH</v>
      </c>
    </row>
    <row r="969" spans="1:8" x14ac:dyDescent="0.25">
      <c r="A969" t="s">
        <v>324</v>
      </c>
      <c r="B969">
        <v>4841</v>
      </c>
      <c r="C969" s="5">
        <v>79.58</v>
      </c>
      <c r="D969" s="3">
        <v>44404</v>
      </c>
      <c r="E969" t="str">
        <f>"202107204696"</f>
        <v>202107204696</v>
      </c>
      <c r="F969" t="str">
        <f>"INDIGENT HEALTH"</f>
        <v>INDIGENT HEALTH</v>
      </c>
      <c r="G969" s="5">
        <v>79.58</v>
      </c>
      <c r="H969" t="str">
        <f>"INDIGENT HEALTH"</f>
        <v>INDIGENT HEALTH</v>
      </c>
    </row>
    <row r="970" spans="1:8" x14ac:dyDescent="0.25">
      <c r="A970" t="s">
        <v>325</v>
      </c>
      <c r="B970">
        <v>4842</v>
      </c>
      <c r="C970" s="5">
        <v>260</v>
      </c>
      <c r="D970" s="3">
        <v>44404</v>
      </c>
      <c r="E970" t="str">
        <f>"25101"</f>
        <v>25101</v>
      </c>
      <c r="F970" t="str">
        <f>"Panic Buttons"</f>
        <v>Panic Buttons</v>
      </c>
      <c r="G970" s="5">
        <v>260</v>
      </c>
      <c r="H970" t="str">
        <f>"Panic Buttons"</f>
        <v>Panic Buttons</v>
      </c>
    </row>
    <row r="971" spans="1:8" x14ac:dyDescent="0.25">
      <c r="E971" t="str">
        <f>""</f>
        <v/>
      </c>
      <c r="F971" t="str">
        <f>""</f>
        <v/>
      </c>
      <c r="H971" t="str">
        <f>"Shipping"</f>
        <v>Shipping</v>
      </c>
    </row>
    <row r="972" spans="1:8" x14ac:dyDescent="0.25">
      <c r="A972" t="s">
        <v>326</v>
      </c>
      <c r="B972">
        <v>4715</v>
      </c>
      <c r="C972" s="5">
        <v>8152</v>
      </c>
      <c r="D972" s="3">
        <v>44390</v>
      </c>
      <c r="E972" t="str">
        <f>"3060165034"</f>
        <v>3060165034</v>
      </c>
      <c r="F972" t="str">
        <f>"INV PPDINV0016339"</f>
        <v>INV PPDINV0016339</v>
      </c>
      <c r="G972" s="5">
        <v>8152</v>
      </c>
      <c r="H972" t="str">
        <f>"INV PPDINV0016339"</f>
        <v>INV PPDINV0016339</v>
      </c>
    </row>
    <row r="973" spans="1:8" x14ac:dyDescent="0.25">
      <c r="A973" t="s">
        <v>326</v>
      </c>
      <c r="B973">
        <v>4796</v>
      </c>
      <c r="C973" s="5">
        <v>8157</v>
      </c>
      <c r="D973" s="3">
        <v>44404</v>
      </c>
      <c r="E973" t="str">
        <f>"21-27969"</f>
        <v>21-27969</v>
      </c>
      <c r="F973" t="str">
        <f>"INV PPDINV0016382"</f>
        <v>INV PPDINV0016382</v>
      </c>
      <c r="G973" s="5">
        <v>8157</v>
      </c>
      <c r="H973" t="str">
        <f>"INV PPDINV0016382"</f>
        <v>INV PPDINV0016382</v>
      </c>
    </row>
    <row r="974" spans="1:8" x14ac:dyDescent="0.25">
      <c r="A974" t="s">
        <v>327</v>
      </c>
      <c r="B974">
        <v>136253</v>
      </c>
      <c r="C974" s="5">
        <v>12492.32</v>
      </c>
      <c r="D974" s="3">
        <v>44389</v>
      </c>
      <c r="E974" t="str">
        <f>"202107014228"</f>
        <v>202107014228</v>
      </c>
      <c r="F974" t="str">
        <f>"INDIGENT HEALTH"</f>
        <v>INDIGENT HEALTH</v>
      </c>
      <c r="G974" s="5">
        <v>12492.32</v>
      </c>
      <c r="H974" t="str">
        <f>"INDIGENT HEALTH"</f>
        <v>INDIGENT HEALTH</v>
      </c>
    </row>
    <row r="975" spans="1:8" x14ac:dyDescent="0.25">
      <c r="E975" t="str">
        <f>""</f>
        <v/>
      </c>
      <c r="F975" t="str">
        <f>""</f>
        <v/>
      </c>
      <c r="H975" t="str">
        <f>"INDIGENT HEALTH"</f>
        <v>INDIGENT HEALTH</v>
      </c>
    </row>
    <row r="976" spans="1:8" x14ac:dyDescent="0.25">
      <c r="A976" t="s">
        <v>327</v>
      </c>
      <c r="B976">
        <v>136432</v>
      </c>
      <c r="C976" s="5">
        <v>4193.7299999999996</v>
      </c>
      <c r="D976" s="3">
        <v>44403</v>
      </c>
      <c r="E976" t="str">
        <f>"202107204692"</f>
        <v>202107204692</v>
      </c>
      <c r="F976" t="str">
        <f>"INDIGENT HEALTH"</f>
        <v>INDIGENT HEALTH</v>
      </c>
      <c r="G976" s="5">
        <v>793.73</v>
      </c>
      <c r="H976" t="str">
        <f>"INDIGENT HEALTH"</f>
        <v>INDIGENT HEALTH</v>
      </c>
    </row>
    <row r="977" spans="1:8" x14ac:dyDescent="0.25">
      <c r="E977" t="str">
        <f>"202107214733"</f>
        <v>202107214733</v>
      </c>
      <c r="F977" t="str">
        <f>"PRESCRIPTION ASSISTANCE"</f>
        <v>PRESCRIPTION ASSISTANCE</v>
      </c>
      <c r="G977" s="5">
        <v>3400</v>
      </c>
      <c r="H977" t="str">
        <f>"PRESCRIPTION ASSISTANCE"</f>
        <v>PRESCRIPTION ASSISTANCE</v>
      </c>
    </row>
    <row r="978" spans="1:8" x14ac:dyDescent="0.25">
      <c r="A978" t="s">
        <v>328</v>
      </c>
      <c r="B978">
        <v>136433</v>
      </c>
      <c r="C978" s="5">
        <v>50</v>
      </c>
      <c r="D978" s="3">
        <v>44403</v>
      </c>
      <c r="E978" t="str">
        <f>"14-962 6-10-21"</f>
        <v>14-962 6-10-21</v>
      </c>
      <c r="F978" t="str">
        <f>"RESTITUTION/ DEBRA MCCOMB"</f>
        <v>RESTITUTION/ DEBRA MCCOMB</v>
      </c>
      <c r="G978" s="5">
        <v>50</v>
      </c>
      <c r="H978" t="str">
        <f>"RESTITUTION/ DEBRA MCCOMB"</f>
        <v>RESTITUTION/ DEBRA MCCOMB</v>
      </c>
    </row>
    <row r="979" spans="1:8" x14ac:dyDescent="0.25">
      <c r="A979" t="s">
        <v>329</v>
      </c>
      <c r="B979">
        <v>136434</v>
      </c>
      <c r="C979" s="5">
        <v>221.02</v>
      </c>
      <c r="D979" s="3">
        <v>44403</v>
      </c>
      <c r="E979" t="str">
        <f>"5006387151"</f>
        <v>5006387151</v>
      </c>
      <c r="F979" t="str">
        <f>"ACCT#120050140/ANIMAL SHELTER"</f>
        <v>ACCT#120050140/ANIMAL SHELTER</v>
      </c>
      <c r="G979" s="5">
        <v>221.02</v>
      </c>
      <c r="H979" t="str">
        <f>"ACCT#120050140/ANIMAL SHELTER"</f>
        <v>ACCT#120050140/ANIMAL SHELTER</v>
      </c>
    </row>
    <row r="980" spans="1:8" x14ac:dyDescent="0.25">
      <c r="A980" t="s">
        <v>330</v>
      </c>
      <c r="B980">
        <v>136254</v>
      </c>
      <c r="C980" s="5">
        <v>173946.48</v>
      </c>
      <c r="D980" s="3">
        <v>44389</v>
      </c>
      <c r="E980" t="str">
        <f>"24424"</f>
        <v>24424</v>
      </c>
      <c r="F980" t="str">
        <f>"SHI Quote #20460980"</f>
        <v>SHI Quote #20460980</v>
      </c>
      <c r="G980" s="5">
        <v>165009.79999999999</v>
      </c>
      <c r="H980" t="str">
        <f>"SHI Quote #20460980"</f>
        <v>SHI Quote #20460980</v>
      </c>
    </row>
    <row r="981" spans="1:8" x14ac:dyDescent="0.25">
      <c r="E981" t="str">
        <f>""</f>
        <v/>
      </c>
      <c r="F981" t="str">
        <f>""</f>
        <v/>
      </c>
      <c r="H981" t="str">
        <f>"SHI Quote #20460980"</f>
        <v>SHI Quote #20460980</v>
      </c>
    </row>
    <row r="982" spans="1:8" x14ac:dyDescent="0.25">
      <c r="E982" t="str">
        <f>"24904"</f>
        <v>24904</v>
      </c>
      <c r="F982" t="str">
        <f>"NetApp Renewal"</f>
        <v>NetApp Renewal</v>
      </c>
      <c r="G982" s="5">
        <v>8252</v>
      </c>
      <c r="H982" t="str">
        <f>"NetAppRenewalPrepaid"</f>
        <v>NetAppRenewalPrepaid</v>
      </c>
    </row>
    <row r="983" spans="1:8" x14ac:dyDescent="0.25">
      <c r="E983" t="str">
        <f>""</f>
        <v/>
      </c>
      <c r="F983" t="str">
        <f>""</f>
        <v/>
      </c>
      <c r="H983" t="str">
        <f>"NetAppRenewalFY20-21"</f>
        <v>NetAppRenewalFY20-21</v>
      </c>
    </row>
    <row r="984" spans="1:8" x14ac:dyDescent="0.25">
      <c r="E984" t="str">
        <f>"24906"</f>
        <v>24906</v>
      </c>
      <c r="F984" t="str">
        <f>"Pro-Webcam"</f>
        <v>Pro-Webcam</v>
      </c>
      <c r="G984" s="5">
        <v>84.58</v>
      </c>
      <c r="H984" t="str">
        <f>"Pro-Webcam"</f>
        <v>Pro-Webcam</v>
      </c>
    </row>
    <row r="985" spans="1:8" x14ac:dyDescent="0.25">
      <c r="E985" t="str">
        <f>"24907"</f>
        <v>24907</v>
      </c>
      <c r="F985" t="str">
        <f>"Cisco Cube Renewal 1yr"</f>
        <v>Cisco Cube Renewal 1yr</v>
      </c>
      <c r="G985" s="5">
        <v>537.6</v>
      </c>
      <c r="H985" t="str">
        <f>"Cisco Cube Renewal 1yr"</f>
        <v>Cisco Cube Renewal 1yr</v>
      </c>
    </row>
    <row r="986" spans="1:8" x14ac:dyDescent="0.25">
      <c r="E986" t="str">
        <f>"24987"</f>
        <v>24987</v>
      </c>
      <c r="F986" t="str">
        <f>"HDMI cables (10)"</f>
        <v>HDMI cables (10)</v>
      </c>
      <c r="G986" s="5">
        <v>62.5</v>
      </c>
      <c r="H986" t="str">
        <f>"HDMI cables (10)"</f>
        <v>HDMI cables (10)</v>
      </c>
    </row>
    <row r="987" spans="1:8" x14ac:dyDescent="0.25">
      <c r="A987" t="s">
        <v>331</v>
      </c>
      <c r="B987">
        <v>136255</v>
      </c>
      <c r="C987" s="5">
        <v>1064.68</v>
      </c>
      <c r="D987" s="3">
        <v>44389</v>
      </c>
      <c r="E987" t="str">
        <f>"1290253"</f>
        <v>1290253</v>
      </c>
      <c r="F987" t="str">
        <f>"SHOPPA'S FARM SUPPLY"</f>
        <v>SHOPPA'S FARM SUPPLY</v>
      </c>
      <c r="G987" s="5">
        <v>1064.68</v>
      </c>
      <c r="H987" t="str">
        <f>"SHOPPA'S FARM SUPPLY"</f>
        <v>SHOPPA'S FARM SUPPLY</v>
      </c>
    </row>
    <row r="988" spans="1:8" x14ac:dyDescent="0.25">
      <c r="A988" t="s">
        <v>331</v>
      </c>
      <c r="B988">
        <v>136435</v>
      </c>
      <c r="C988" s="5">
        <v>1647.83</v>
      </c>
      <c r="D988" s="3">
        <v>44403</v>
      </c>
      <c r="E988" t="str">
        <f>"1321613"</f>
        <v>1321613</v>
      </c>
      <c r="F988" t="str">
        <f>"ACCT#550615/PCT#4"</f>
        <v>ACCT#550615/PCT#4</v>
      </c>
      <c r="G988" s="5">
        <v>-131.01</v>
      </c>
      <c r="H988" t="str">
        <f>"ACCT#550615/PCT#4"</f>
        <v>ACCT#550615/PCT#4</v>
      </c>
    </row>
    <row r="989" spans="1:8" x14ac:dyDescent="0.25">
      <c r="E989" t="str">
        <f>"1314040"</f>
        <v>1314040</v>
      </c>
      <c r="F989" t="str">
        <f>"ACCT#564591/PCT#1"</f>
        <v>ACCT#564591/PCT#1</v>
      </c>
      <c r="G989" s="5">
        <v>811.07</v>
      </c>
      <c r="H989" t="str">
        <f>"ACCT#564591/PCT#1"</f>
        <v>ACCT#564591/PCT#1</v>
      </c>
    </row>
    <row r="990" spans="1:8" x14ac:dyDescent="0.25">
      <c r="E990" t="str">
        <f>"1320650"</f>
        <v>1320650</v>
      </c>
      <c r="F990" t="str">
        <f>"ACCT#550615/PCT#4"</f>
        <v>ACCT#550615/PCT#4</v>
      </c>
      <c r="G990" s="5">
        <v>623.53</v>
      </c>
      <c r="H990" t="str">
        <f>"ACCT#550615/PCT#4"</f>
        <v>ACCT#550615/PCT#4</v>
      </c>
    </row>
    <row r="991" spans="1:8" x14ac:dyDescent="0.25">
      <c r="E991" t="str">
        <f>"1323556"</f>
        <v>1323556</v>
      </c>
      <c r="F991" t="str">
        <f>"ACCT#550615/ANIMAL SHELTER"</f>
        <v>ACCT#550615/ANIMAL SHELTER</v>
      </c>
      <c r="G991" s="5">
        <v>344.24</v>
      </c>
      <c r="H991" t="str">
        <f>"ACCT#550615/ANIMAL SHELTER"</f>
        <v>ACCT#550615/ANIMAL SHELTER</v>
      </c>
    </row>
    <row r="992" spans="1:8" x14ac:dyDescent="0.25">
      <c r="A992" t="s">
        <v>332</v>
      </c>
      <c r="B992">
        <v>136256</v>
      </c>
      <c r="C992" s="5">
        <v>597</v>
      </c>
      <c r="D992" s="3">
        <v>44389</v>
      </c>
      <c r="E992" t="str">
        <f>"8182347345"</f>
        <v>8182347345</v>
      </c>
      <c r="F992" t="str">
        <f>"INV 8182347345"</f>
        <v>INV 8182347345</v>
      </c>
      <c r="G992" s="5">
        <v>178.73</v>
      </c>
      <c r="H992" t="str">
        <f>"INV 8182347345 LE"</f>
        <v>INV 8182347345 LE</v>
      </c>
    </row>
    <row r="993" spans="1:8" x14ac:dyDescent="0.25">
      <c r="E993" t="str">
        <f>""</f>
        <v/>
      </c>
      <c r="F993" t="str">
        <f>""</f>
        <v/>
      </c>
      <c r="H993" t="str">
        <f>"INV 8182347345 JAIL"</f>
        <v>INV 8182347345 JAIL</v>
      </c>
    </row>
    <row r="994" spans="1:8" x14ac:dyDescent="0.25">
      <c r="E994" t="str">
        <f>"8182347694"</f>
        <v>8182347694</v>
      </c>
      <c r="F994" t="str">
        <f>"CUST#16151857"</f>
        <v>CUST#16151857</v>
      </c>
      <c r="G994" s="5">
        <v>186.76</v>
      </c>
      <c r="H994" t="str">
        <f>"CUST#16151857"</f>
        <v>CUST#16151857</v>
      </c>
    </row>
    <row r="995" spans="1:8" x14ac:dyDescent="0.25">
      <c r="E995" t="str">
        <f>""</f>
        <v/>
      </c>
      <c r="F995" t="str">
        <f>""</f>
        <v/>
      </c>
      <c r="H995" t="str">
        <f>"CUST#16151857"</f>
        <v>CUST#16151857</v>
      </c>
    </row>
    <row r="996" spans="1:8" x14ac:dyDescent="0.25">
      <c r="E996" t="str">
        <f>""</f>
        <v/>
      </c>
      <c r="F996" t="str">
        <f>""</f>
        <v/>
      </c>
      <c r="H996" t="str">
        <f>"CUST#16151857"</f>
        <v>CUST#16151857</v>
      </c>
    </row>
    <row r="997" spans="1:8" x14ac:dyDescent="0.25">
      <c r="E997" t="str">
        <f>"8182347924"</f>
        <v>8182347924</v>
      </c>
      <c r="F997" t="str">
        <f>"CUST#16158670/JP#4"</f>
        <v>CUST#16158670/JP#4</v>
      </c>
      <c r="G997" s="5">
        <v>150.91999999999999</v>
      </c>
      <c r="H997" t="str">
        <f>"CUST#16158670/JP#4"</f>
        <v>CUST#16158670/JP#4</v>
      </c>
    </row>
    <row r="998" spans="1:8" x14ac:dyDescent="0.25">
      <c r="E998" t="str">
        <f>"8182348033"</f>
        <v>8182348033</v>
      </c>
      <c r="F998" t="str">
        <f>"CUST#16160327/INDIGENT HEALTH"</f>
        <v>CUST#16160327/INDIGENT HEALTH</v>
      </c>
      <c r="G998" s="5">
        <v>80.59</v>
      </c>
      <c r="H998" t="str">
        <f>"CUST#16160327/INDIGENT HEALTH"</f>
        <v>CUST#16160327/INDIGENT HEALTH</v>
      </c>
    </row>
    <row r="999" spans="1:8" x14ac:dyDescent="0.25">
      <c r="E999" t="str">
        <f>""</f>
        <v/>
      </c>
      <c r="F999" t="str">
        <f>""</f>
        <v/>
      </c>
      <c r="H999" t="str">
        <f>"CUST#16160327/INDIGENT HEALTH"</f>
        <v>CUST#16160327/INDIGENT HEALTH</v>
      </c>
    </row>
    <row r="1000" spans="1:8" x14ac:dyDescent="0.25">
      <c r="A1000" t="s">
        <v>332</v>
      </c>
      <c r="B1000">
        <v>136436</v>
      </c>
      <c r="C1000" s="5">
        <v>93.77</v>
      </c>
      <c r="D1000" s="3">
        <v>44403</v>
      </c>
      <c r="E1000" t="str">
        <f>"8182348949"</f>
        <v>8182348949</v>
      </c>
      <c r="F1000" t="str">
        <f>"CUST#16156071/TAX OFFICE"</f>
        <v>CUST#16156071/TAX OFFICE</v>
      </c>
      <c r="G1000" s="5">
        <v>93.77</v>
      </c>
      <c r="H1000" t="str">
        <f>"CUST#16156071/TAX OFFICE"</f>
        <v>CUST#16156071/TAX OFFICE</v>
      </c>
    </row>
    <row r="1001" spans="1:8" x14ac:dyDescent="0.25">
      <c r="A1001" t="s">
        <v>333</v>
      </c>
      <c r="B1001">
        <v>136257</v>
      </c>
      <c r="C1001" s="5">
        <v>232.7</v>
      </c>
      <c r="D1001" s="3">
        <v>44389</v>
      </c>
      <c r="E1001" t="str">
        <f>"202107014240"</f>
        <v>202107014240</v>
      </c>
      <c r="F1001" t="str">
        <f>"INDIGENT HEALTH"</f>
        <v>INDIGENT HEALTH</v>
      </c>
      <c r="G1001" s="5">
        <v>232.7</v>
      </c>
      <c r="H1001" t="str">
        <f>"INDIGENT HEALTH"</f>
        <v>INDIGENT HEALTH</v>
      </c>
    </row>
    <row r="1002" spans="1:8" x14ac:dyDescent="0.25">
      <c r="A1002" t="s">
        <v>333</v>
      </c>
      <c r="B1002">
        <v>136437</v>
      </c>
      <c r="C1002" s="5">
        <v>983.04</v>
      </c>
      <c r="D1002" s="3">
        <v>44403</v>
      </c>
      <c r="E1002" t="str">
        <f>"202107204701"</f>
        <v>202107204701</v>
      </c>
      <c r="F1002" t="str">
        <f>"INDIGENT HEALTH"</f>
        <v>INDIGENT HEALTH</v>
      </c>
      <c r="G1002" s="5">
        <v>983.04</v>
      </c>
      <c r="H1002" t="str">
        <f>"INDIGENT HEALTH"</f>
        <v>INDIGENT HEALTH</v>
      </c>
    </row>
    <row r="1003" spans="1:8" x14ac:dyDescent="0.25">
      <c r="A1003" t="s">
        <v>334</v>
      </c>
      <c r="B1003">
        <v>136258</v>
      </c>
      <c r="C1003" s="5">
        <v>427.96</v>
      </c>
      <c r="D1003" s="3">
        <v>44389</v>
      </c>
      <c r="E1003" t="str">
        <f>"202107014241"</f>
        <v>202107014241</v>
      </c>
      <c r="F1003" t="str">
        <f>"INDIGENT HEALTH"</f>
        <v>INDIGENT HEALTH</v>
      </c>
      <c r="G1003" s="5">
        <v>427.96</v>
      </c>
      <c r="H1003" t="str">
        <f>"INDIGENT HEALTH"</f>
        <v>INDIGENT HEALTH</v>
      </c>
    </row>
    <row r="1004" spans="1:8" x14ac:dyDescent="0.25">
      <c r="A1004" t="s">
        <v>334</v>
      </c>
      <c r="B1004">
        <v>136438</v>
      </c>
      <c r="C1004" s="5">
        <v>143.54</v>
      </c>
      <c r="D1004" s="3">
        <v>44403</v>
      </c>
      <c r="E1004" t="str">
        <f>"202107204702"</f>
        <v>202107204702</v>
      </c>
      <c r="F1004" t="str">
        <f>"INDIGENT HEALTH"</f>
        <v>INDIGENT HEALTH</v>
      </c>
      <c r="G1004" s="5">
        <v>6.95</v>
      </c>
      <c r="H1004" t="str">
        <f>"INDIGENT HEALTH"</f>
        <v>INDIGENT HEALTH</v>
      </c>
    </row>
    <row r="1005" spans="1:8" x14ac:dyDescent="0.25">
      <c r="E1005" t="str">
        <f>"202107214738"</f>
        <v>202107214738</v>
      </c>
      <c r="F1005" t="str">
        <f>"JAIL MEDICAL"</f>
        <v>JAIL MEDICAL</v>
      </c>
      <c r="G1005" s="5">
        <v>136.59</v>
      </c>
      <c r="H1005" t="str">
        <f>"JAIL MEDICAL"</f>
        <v>JAIL MEDICAL</v>
      </c>
    </row>
    <row r="1006" spans="1:8" x14ac:dyDescent="0.25">
      <c r="A1006" t="s">
        <v>335</v>
      </c>
      <c r="B1006">
        <v>4826</v>
      </c>
      <c r="C1006" s="5">
        <v>277.06</v>
      </c>
      <c r="D1006" s="3">
        <v>44404</v>
      </c>
      <c r="E1006" t="str">
        <f>"PSMI001064"</f>
        <v>PSMI001064</v>
      </c>
      <c r="F1006" t="str">
        <f>"INV PSMI001064"</f>
        <v>INV PSMI001064</v>
      </c>
      <c r="G1006" s="5">
        <v>277.06</v>
      </c>
      <c r="H1006" t="str">
        <f>"INV PSMI001064"</f>
        <v>INV PSMI001064</v>
      </c>
    </row>
    <row r="1007" spans="1:8" x14ac:dyDescent="0.25">
      <c r="A1007" t="s">
        <v>336</v>
      </c>
      <c r="B1007">
        <v>136439</v>
      </c>
      <c r="C1007" s="5">
        <v>7088.31</v>
      </c>
      <c r="D1007" s="3">
        <v>44403</v>
      </c>
      <c r="E1007" t="str">
        <f>"36787"</f>
        <v>36787</v>
      </c>
      <c r="F1007" t="str">
        <f>"CULVERTS/PCT#1"</f>
        <v>CULVERTS/PCT#1</v>
      </c>
      <c r="G1007" s="5">
        <v>6822.6</v>
      </c>
      <c r="H1007" t="str">
        <f>"CULVERTS/PCT#1"</f>
        <v>CULVERTS/PCT#1</v>
      </c>
    </row>
    <row r="1008" spans="1:8" x14ac:dyDescent="0.25">
      <c r="E1008" t="str">
        <f>"36788"</f>
        <v>36788</v>
      </c>
      <c r="F1008" t="str">
        <f>"SUPPLIES/PCT#2"</f>
        <v>SUPPLIES/PCT#2</v>
      </c>
      <c r="G1008" s="5">
        <v>265.70999999999998</v>
      </c>
      <c r="H1008" t="str">
        <f>"SUPPLIES/PCT#2"</f>
        <v>SUPPLIES/PCT#2</v>
      </c>
    </row>
    <row r="1009" spans="1:8" x14ac:dyDescent="0.25">
      <c r="A1009" t="s">
        <v>337</v>
      </c>
      <c r="B1009">
        <v>136259</v>
      </c>
      <c r="C1009" s="5">
        <v>1705.14</v>
      </c>
      <c r="D1009" s="3">
        <v>44389</v>
      </c>
      <c r="E1009" t="str">
        <f>"202107064357"</f>
        <v>202107064357</v>
      </c>
      <c r="F1009" t="str">
        <f>"ACCT#260/PCT#2"</f>
        <v>ACCT#260/PCT#2</v>
      </c>
      <c r="G1009" s="5">
        <v>1705.14</v>
      </c>
      <c r="H1009" t="str">
        <f>"ACCT#260/PCT#2"</f>
        <v>ACCT#260/PCT#2</v>
      </c>
    </row>
    <row r="1010" spans="1:8" x14ac:dyDescent="0.25">
      <c r="A1010" t="s">
        <v>338</v>
      </c>
      <c r="B1010">
        <v>136440</v>
      </c>
      <c r="C1010" s="5">
        <v>490.42</v>
      </c>
      <c r="D1010" s="3">
        <v>44403</v>
      </c>
      <c r="E1010" t="str">
        <f>"21T-1151"</f>
        <v>21T-1151</v>
      </c>
      <c r="F1010" t="str">
        <f>"MY PERMIT NOW SOFTWARE/JUNE"</f>
        <v>MY PERMIT NOW SOFTWARE/JUNE</v>
      </c>
      <c r="G1010" s="5">
        <v>490.42</v>
      </c>
      <c r="H1010" t="str">
        <f>"MY PERMIT NOW SOFTWARE/JUNE"</f>
        <v>MY PERMIT NOW SOFTWARE/JUNE</v>
      </c>
    </row>
    <row r="1011" spans="1:8" x14ac:dyDescent="0.25">
      <c r="A1011" t="s">
        <v>339</v>
      </c>
      <c r="B1011">
        <v>136260</v>
      </c>
      <c r="C1011" s="5">
        <v>896.76</v>
      </c>
      <c r="D1011" s="3">
        <v>44389</v>
      </c>
      <c r="E1011" t="str">
        <f>"24931"</f>
        <v>24931</v>
      </c>
      <c r="F1011" t="str">
        <f>"Scanner For County Clerk"</f>
        <v>Scanner For County Clerk</v>
      </c>
      <c r="G1011" s="5">
        <v>896.76</v>
      </c>
      <c r="H1011" t="str">
        <f>"Fujitsu 7160"</f>
        <v>Fujitsu 7160</v>
      </c>
    </row>
    <row r="1012" spans="1:8" x14ac:dyDescent="0.25">
      <c r="A1012" t="s">
        <v>340</v>
      </c>
      <c r="B1012">
        <v>136261</v>
      </c>
      <c r="C1012" s="5">
        <v>2093.2399999999998</v>
      </c>
      <c r="D1012" s="3">
        <v>44389</v>
      </c>
      <c r="E1012" t="str">
        <f>"4240028467"</f>
        <v>4240028467</v>
      </c>
      <c r="F1012" t="str">
        <f>"INV 4240028467"</f>
        <v>INV 4240028467</v>
      </c>
      <c r="G1012" s="5">
        <v>427.36</v>
      </c>
      <c r="H1012" t="str">
        <f>"INV 4240028467"</f>
        <v>INV 4240028467</v>
      </c>
    </row>
    <row r="1013" spans="1:8" x14ac:dyDescent="0.25">
      <c r="E1013" t="str">
        <f>"4240028855"</f>
        <v>4240028855</v>
      </c>
      <c r="F1013" t="str">
        <f>"INV 4240028855"</f>
        <v>INV 4240028855</v>
      </c>
      <c r="G1013" s="5">
        <v>1046.72</v>
      </c>
      <c r="H1013" t="str">
        <f>"INV 4240028855"</f>
        <v>INV 4240028855</v>
      </c>
    </row>
    <row r="1014" spans="1:8" x14ac:dyDescent="0.25">
      <c r="E1014" t="str">
        <f>"4240028917"</f>
        <v>4240028917</v>
      </c>
      <c r="F1014" t="str">
        <f>"INV 4240028917"</f>
        <v>INV 4240028917</v>
      </c>
      <c r="G1014" s="5">
        <v>619.16</v>
      </c>
      <c r="H1014" t="str">
        <f>"INV 4240028917"</f>
        <v>INV 4240028917</v>
      </c>
    </row>
    <row r="1015" spans="1:8" x14ac:dyDescent="0.25">
      <c r="A1015" t="s">
        <v>340</v>
      </c>
      <c r="B1015">
        <v>136441</v>
      </c>
      <c r="C1015" s="5">
        <v>570.95000000000005</v>
      </c>
      <c r="D1015" s="3">
        <v>44403</v>
      </c>
      <c r="E1015" t="str">
        <f>"4650080213"</f>
        <v>4650080213</v>
      </c>
      <c r="F1015" t="str">
        <f>"CUST#0052158/PCT#2"</f>
        <v>CUST#0052158/PCT#2</v>
      </c>
      <c r="G1015" s="5">
        <v>48</v>
      </c>
      <c r="H1015" t="str">
        <f>"CUST#0052158/PCT#2"</f>
        <v>CUST#0052158/PCT#2</v>
      </c>
    </row>
    <row r="1016" spans="1:8" x14ac:dyDescent="0.25">
      <c r="E1016" t="str">
        <f>"4660031311"</f>
        <v>4660031311</v>
      </c>
      <c r="F1016" t="str">
        <f>"CUST#0052158/PCT#2"</f>
        <v>CUST#0052158/PCT#2</v>
      </c>
      <c r="G1016" s="5">
        <v>242.95</v>
      </c>
      <c r="H1016" t="str">
        <f>"CUST#0052158/PCT#2"</f>
        <v>CUST#0052158/PCT#2</v>
      </c>
    </row>
    <row r="1017" spans="1:8" x14ac:dyDescent="0.25">
      <c r="E1017" t="str">
        <f>"4660031641"</f>
        <v>4660031641</v>
      </c>
      <c r="F1017" t="str">
        <f>"CUST#0052158/PCT#2"</f>
        <v>CUST#0052158/PCT#2</v>
      </c>
      <c r="G1017" s="5">
        <v>280</v>
      </c>
      <c r="H1017" t="str">
        <f>"CUST#0052158/PCT#2"</f>
        <v>CUST#0052158/PCT#2</v>
      </c>
    </row>
    <row r="1018" spans="1:8" x14ac:dyDescent="0.25">
      <c r="A1018" t="s">
        <v>341</v>
      </c>
      <c r="B1018">
        <v>136262</v>
      </c>
      <c r="C1018" s="5">
        <v>28.44</v>
      </c>
      <c r="D1018" s="3">
        <v>44389</v>
      </c>
      <c r="E1018" t="str">
        <f>"9604456-061721"</f>
        <v>9604456-061721</v>
      </c>
      <c r="F1018" t="str">
        <f>"CUST#4666843904456/JP#2"</f>
        <v>CUST#4666843904456/JP#2</v>
      </c>
      <c r="G1018" s="5">
        <v>28.44</v>
      </c>
      <c r="H1018" t="str">
        <f>"CUST#4666843904456/JP#2"</f>
        <v>CUST#4666843904456/JP#2</v>
      </c>
    </row>
    <row r="1019" spans="1:8" x14ac:dyDescent="0.25">
      <c r="A1019" t="s">
        <v>342</v>
      </c>
      <c r="B1019">
        <v>136263</v>
      </c>
      <c r="C1019" s="5">
        <v>223.44</v>
      </c>
      <c r="D1019" s="3">
        <v>44389</v>
      </c>
      <c r="E1019" t="str">
        <f>"A1152467"</f>
        <v>A1152467</v>
      </c>
      <c r="F1019" t="str">
        <f>"ACCT#114382/ANIMAL SHELTER"</f>
        <v>ACCT#114382/ANIMAL SHELTER</v>
      </c>
      <c r="G1019" s="5">
        <v>223.44</v>
      </c>
      <c r="H1019" t="str">
        <f>"ACCT#114382/ANIMAL SHELTER"</f>
        <v>ACCT#114382/ANIMAL SHELTER</v>
      </c>
    </row>
    <row r="1020" spans="1:8" x14ac:dyDescent="0.25">
      <c r="A1020" t="s">
        <v>343</v>
      </c>
      <c r="B1020">
        <v>136264</v>
      </c>
      <c r="C1020" s="5">
        <v>85.98</v>
      </c>
      <c r="D1020" s="3">
        <v>44389</v>
      </c>
      <c r="E1020" t="str">
        <f>"85.98"</f>
        <v>85.98</v>
      </c>
      <c r="F1020" t="str">
        <f>"INDIGENT HEALTH"</f>
        <v>INDIGENT HEALTH</v>
      </c>
      <c r="G1020" s="5">
        <v>85.98</v>
      </c>
      <c r="H1020" t="str">
        <f>"INDIGENT HEALTH"</f>
        <v>INDIGENT HEALTH</v>
      </c>
    </row>
    <row r="1021" spans="1:8" x14ac:dyDescent="0.25">
      <c r="A1021" t="s">
        <v>343</v>
      </c>
      <c r="B1021">
        <v>136442</v>
      </c>
      <c r="C1021" s="5">
        <v>106.65</v>
      </c>
      <c r="D1021" s="3">
        <v>44403</v>
      </c>
      <c r="E1021" t="str">
        <f>"202107204699"</f>
        <v>202107204699</v>
      </c>
      <c r="F1021" t="str">
        <f>"INDIGENT HEALTH"</f>
        <v>INDIGENT HEALTH</v>
      </c>
      <c r="G1021" s="5">
        <v>106.65</v>
      </c>
      <c r="H1021" t="str">
        <f>"INDIGENT HEALTH"</f>
        <v>INDIGENT HEALTH</v>
      </c>
    </row>
    <row r="1022" spans="1:8" x14ac:dyDescent="0.25">
      <c r="A1022" t="s">
        <v>323</v>
      </c>
      <c r="B1022">
        <v>136265</v>
      </c>
      <c r="C1022" s="5">
        <v>353.57</v>
      </c>
      <c r="D1022" s="3">
        <v>44389</v>
      </c>
      <c r="E1022" t="str">
        <f>"202107014243"</f>
        <v>202107014243</v>
      </c>
      <c r="F1022" t="str">
        <f>"INDIGENT HEALTH"</f>
        <v>INDIGENT HEALTH</v>
      </c>
      <c r="G1022" s="5">
        <v>292.48</v>
      </c>
      <c r="H1022" t="str">
        <f>"INDIGENT HEALTH"</f>
        <v>INDIGENT HEALTH</v>
      </c>
    </row>
    <row r="1023" spans="1:8" x14ac:dyDescent="0.25">
      <c r="E1023" t="str">
        <f>"202107074377"</f>
        <v>202107074377</v>
      </c>
      <c r="F1023" t="str">
        <f>"JAIL MEDICAL"</f>
        <v>JAIL MEDICAL</v>
      </c>
      <c r="G1023" s="5">
        <v>61.09</v>
      </c>
      <c r="H1023" t="str">
        <f>"JAIL MEDICAL"</f>
        <v>JAIL MEDICAL</v>
      </c>
    </row>
    <row r="1024" spans="1:8" x14ac:dyDescent="0.25">
      <c r="A1024" t="s">
        <v>323</v>
      </c>
      <c r="B1024">
        <v>136443</v>
      </c>
      <c r="C1024" s="5">
        <v>37.04</v>
      </c>
      <c r="D1024" s="3">
        <v>44403</v>
      </c>
      <c r="E1024" t="str">
        <f>"202107214737"</f>
        <v>202107214737</v>
      </c>
      <c r="F1024" t="str">
        <f>"JAIL MEDICAL"</f>
        <v>JAIL MEDICAL</v>
      </c>
      <c r="G1024" s="5">
        <v>37.04</v>
      </c>
      <c r="H1024" t="str">
        <f>"JAIL MEDICAL"</f>
        <v>JAIL MEDICAL</v>
      </c>
    </row>
    <row r="1025" spans="1:8" x14ac:dyDescent="0.25">
      <c r="A1025" t="s">
        <v>344</v>
      </c>
      <c r="B1025">
        <v>136266</v>
      </c>
      <c r="C1025" s="5">
        <v>625.41</v>
      </c>
      <c r="D1025" s="3">
        <v>44389</v>
      </c>
      <c r="E1025" t="str">
        <f>"202107014242"</f>
        <v>202107014242</v>
      </c>
      <c r="F1025" t="str">
        <f>"INDIGENT HEALTH"</f>
        <v>INDIGENT HEALTH</v>
      </c>
      <c r="G1025" s="5">
        <v>625.41</v>
      </c>
      <c r="H1025" t="str">
        <f>"INDIGENT HEALTH"</f>
        <v>INDIGENT HEALTH</v>
      </c>
    </row>
    <row r="1026" spans="1:8" x14ac:dyDescent="0.25">
      <c r="E1026" t="str">
        <f>""</f>
        <v/>
      </c>
      <c r="F1026" t="str">
        <f>""</f>
        <v/>
      </c>
      <c r="H1026" t="str">
        <f>"INDIGENT HEALTH"</f>
        <v>INDIGENT HEALTH</v>
      </c>
    </row>
    <row r="1027" spans="1:8" x14ac:dyDescent="0.25">
      <c r="A1027" t="s">
        <v>345</v>
      </c>
      <c r="B1027">
        <v>136267</v>
      </c>
      <c r="C1027" s="5">
        <v>379.34</v>
      </c>
      <c r="D1027" s="3">
        <v>44389</v>
      </c>
      <c r="E1027" t="str">
        <f>"202107014244"</f>
        <v>202107014244</v>
      </c>
      <c r="F1027" t="str">
        <f>"INDIGENT HEALTH"</f>
        <v>INDIGENT HEALTH</v>
      </c>
      <c r="G1027" s="5">
        <v>379.34</v>
      </c>
      <c r="H1027" t="str">
        <f>"INDIGENT HEALTH"</f>
        <v>INDIGENT HEALTH</v>
      </c>
    </row>
    <row r="1028" spans="1:8" x14ac:dyDescent="0.25">
      <c r="E1028" t="str">
        <f>""</f>
        <v/>
      </c>
      <c r="F1028" t="str">
        <f>""</f>
        <v/>
      </c>
      <c r="H1028" t="str">
        <f>"INDIGENT HEALTH"</f>
        <v>INDIGENT HEALTH</v>
      </c>
    </row>
    <row r="1029" spans="1:8" x14ac:dyDescent="0.25">
      <c r="A1029" t="s">
        <v>345</v>
      </c>
      <c r="B1029">
        <v>136444</v>
      </c>
      <c r="C1029" s="5">
        <v>186.57</v>
      </c>
      <c r="D1029" s="3">
        <v>44403</v>
      </c>
      <c r="E1029" t="str">
        <f>"202107204703"</f>
        <v>202107204703</v>
      </c>
      <c r="F1029" t="str">
        <f>"INDIGENT HEALTH"</f>
        <v>INDIGENT HEALTH</v>
      </c>
      <c r="G1029" s="5">
        <v>186.57</v>
      </c>
      <c r="H1029" t="str">
        <f>"INDIGENT HEALTH"</f>
        <v>INDIGENT HEALTH</v>
      </c>
    </row>
    <row r="1030" spans="1:8" x14ac:dyDescent="0.25">
      <c r="A1030" t="s">
        <v>346</v>
      </c>
      <c r="B1030">
        <v>136268</v>
      </c>
      <c r="C1030" s="5">
        <v>3633.91</v>
      </c>
      <c r="D1030" s="3">
        <v>44389</v>
      </c>
      <c r="E1030" t="str">
        <f>"202107064363"</f>
        <v>202107064363</v>
      </c>
      <c r="F1030" t="str">
        <f>"Statement"</f>
        <v>Statement</v>
      </c>
      <c r="G1030" s="5">
        <v>3633.91</v>
      </c>
      <c r="H1030" t="str">
        <f>"3480959578"</f>
        <v>3480959578</v>
      </c>
    </row>
    <row r="1031" spans="1:8" x14ac:dyDescent="0.25">
      <c r="E1031" t="str">
        <f>""</f>
        <v/>
      </c>
      <c r="F1031" t="str">
        <f>""</f>
        <v/>
      </c>
      <c r="H1031" t="str">
        <f>"3480959580"</f>
        <v>3480959580</v>
      </c>
    </row>
    <row r="1032" spans="1:8" x14ac:dyDescent="0.25">
      <c r="E1032" t="str">
        <f>""</f>
        <v/>
      </c>
      <c r="F1032" t="str">
        <f>""</f>
        <v/>
      </c>
      <c r="H1032" t="str">
        <f>"3480959586"</f>
        <v>3480959586</v>
      </c>
    </row>
    <row r="1033" spans="1:8" x14ac:dyDescent="0.25">
      <c r="E1033" t="str">
        <f>""</f>
        <v/>
      </c>
      <c r="F1033" t="str">
        <f>""</f>
        <v/>
      </c>
      <c r="H1033" t="str">
        <f>"3480959588"</f>
        <v>3480959588</v>
      </c>
    </row>
    <row r="1034" spans="1:8" x14ac:dyDescent="0.25">
      <c r="E1034" t="str">
        <f>""</f>
        <v/>
      </c>
      <c r="F1034" t="str">
        <f>""</f>
        <v/>
      </c>
      <c r="H1034" t="str">
        <f>"3480959575"</f>
        <v>3480959575</v>
      </c>
    </row>
    <row r="1035" spans="1:8" x14ac:dyDescent="0.25">
      <c r="E1035" t="str">
        <f>""</f>
        <v/>
      </c>
      <c r="F1035" t="str">
        <f>""</f>
        <v/>
      </c>
      <c r="H1035" t="str">
        <f>"3480959577"</f>
        <v>3480959577</v>
      </c>
    </row>
    <row r="1036" spans="1:8" x14ac:dyDescent="0.25">
      <c r="E1036" t="str">
        <f>""</f>
        <v/>
      </c>
      <c r="F1036" t="str">
        <f>""</f>
        <v/>
      </c>
      <c r="H1036" t="str">
        <f>"7333323874"</f>
        <v>7333323874</v>
      </c>
    </row>
    <row r="1037" spans="1:8" x14ac:dyDescent="0.25">
      <c r="E1037" t="str">
        <f>""</f>
        <v/>
      </c>
      <c r="F1037" t="str">
        <f>""</f>
        <v/>
      </c>
      <c r="H1037" t="str">
        <f>"3480959583"</f>
        <v>3480959583</v>
      </c>
    </row>
    <row r="1038" spans="1:8" x14ac:dyDescent="0.25">
      <c r="E1038" t="str">
        <f>""</f>
        <v/>
      </c>
      <c r="F1038" t="str">
        <f>""</f>
        <v/>
      </c>
      <c r="H1038" t="str">
        <f>"3480959590"</f>
        <v>3480959590</v>
      </c>
    </row>
    <row r="1039" spans="1:8" x14ac:dyDescent="0.25">
      <c r="E1039" t="str">
        <f>""</f>
        <v/>
      </c>
      <c r="F1039" t="str">
        <f>""</f>
        <v/>
      </c>
      <c r="H1039" t="str">
        <f>"3480959591"</f>
        <v>3480959591</v>
      </c>
    </row>
    <row r="1040" spans="1:8" x14ac:dyDescent="0.25">
      <c r="E1040" t="str">
        <f>""</f>
        <v/>
      </c>
      <c r="F1040" t="str">
        <f>""</f>
        <v/>
      </c>
      <c r="H1040" t="str">
        <f>"3470959592"</f>
        <v>3470959592</v>
      </c>
    </row>
    <row r="1041" spans="1:8" x14ac:dyDescent="0.25">
      <c r="E1041" t="str">
        <f>""</f>
        <v/>
      </c>
      <c r="F1041" t="str">
        <f>""</f>
        <v/>
      </c>
      <c r="H1041" t="str">
        <f>"3480959593"</f>
        <v>3480959593</v>
      </c>
    </row>
    <row r="1042" spans="1:8" x14ac:dyDescent="0.25">
      <c r="E1042" t="str">
        <f>""</f>
        <v/>
      </c>
      <c r="F1042" t="str">
        <f>""</f>
        <v/>
      </c>
      <c r="H1042" t="str">
        <f>"3480959594"</f>
        <v>3480959594</v>
      </c>
    </row>
    <row r="1043" spans="1:8" x14ac:dyDescent="0.25">
      <c r="E1043" t="str">
        <f>""</f>
        <v/>
      </c>
      <c r="F1043" t="str">
        <f>""</f>
        <v/>
      </c>
      <c r="H1043" t="str">
        <f>"3480959596"</f>
        <v>3480959596</v>
      </c>
    </row>
    <row r="1044" spans="1:8" x14ac:dyDescent="0.25">
      <c r="E1044" t="str">
        <f>""</f>
        <v/>
      </c>
      <c r="F1044" t="str">
        <f>""</f>
        <v/>
      </c>
      <c r="H1044" t="str">
        <f>"3480959584"</f>
        <v>3480959584</v>
      </c>
    </row>
    <row r="1045" spans="1:8" x14ac:dyDescent="0.25">
      <c r="E1045" t="str">
        <f>""</f>
        <v/>
      </c>
      <c r="F1045" t="str">
        <f>""</f>
        <v/>
      </c>
      <c r="H1045" t="str">
        <f>"3480959585"</f>
        <v>3480959585</v>
      </c>
    </row>
    <row r="1046" spans="1:8" x14ac:dyDescent="0.25">
      <c r="E1046" t="str">
        <f>""</f>
        <v/>
      </c>
      <c r="F1046" t="str">
        <f>""</f>
        <v/>
      </c>
      <c r="H1046" t="str">
        <f>"3480959589"</f>
        <v>3480959589</v>
      </c>
    </row>
    <row r="1047" spans="1:8" x14ac:dyDescent="0.25">
      <c r="A1047" t="s">
        <v>346</v>
      </c>
      <c r="B1047">
        <v>136445</v>
      </c>
      <c r="C1047" s="5">
        <v>1834.67</v>
      </c>
      <c r="D1047" s="3">
        <v>44403</v>
      </c>
      <c r="E1047" t="str">
        <f>"8062890898"</f>
        <v>8062890898</v>
      </c>
      <c r="F1047" t="str">
        <f>"Statement"</f>
        <v>Statement</v>
      </c>
      <c r="G1047" s="5">
        <v>1834.67</v>
      </c>
      <c r="H1047" t="str">
        <f>"3482005957"</f>
        <v>3482005957</v>
      </c>
    </row>
    <row r="1048" spans="1:8" x14ac:dyDescent="0.25">
      <c r="E1048" t="str">
        <f>""</f>
        <v/>
      </c>
      <c r="F1048" t="str">
        <f>""</f>
        <v/>
      </c>
      <c r="H1048" t="str">
        <f>"3482005958"</f>
        <v>3482005958</v>
      </c>
    </row>
    <row r="1049" spans="1:8" x14ac:dyDescent="0.25">
      <c r="E1049" t="str">
        <f>""</f>
        <v/>
      </c>
      <c r="F1049" t="str">
        <f>""</f>
        <v/>
      </c>
      <c r="H1049" t="str">
        <f>"3482005959"</f>
        <v>3482005959</v>
      </c>
    </row>
    <row r="1050" spans="1:8" x14ac:dyDescent="0.25">
      <c r="E1050" t="str">
        <f>""</f>
        <v/>
      </c>
      <c r="F1050" t="str">
        <f>""</f>
        <v/>
      </c>
      <c r="H1050" t="str">
        <f>"3482005961"</f>
        <v>3482005961</v>
      </c>
    </row>
    <row r="1051" spans="1:8" x14ac:dyDescent="0.25">
      <c r="E1051" t="str">
        <f>""</f>
        <v/>
      </c>
      <c r="F1051" t="str">
        <f>""</f>
        <v/>
      </c>
      <c r="H1051" t="str">
        <f>"3482005960"</f>
        <v>3482005960</v>
      </c>
    </row>
    <row r="1052" spans="1:8" x14ac:dyDescent="0.25">
      <c r="E1052" t="str">
        <f>""</f>
        <v/>
      </c>
      <c r="F1052" t="str">
        <f>""</f>
        <v/>
      </c>
      <c r="H1052" t="str">
        <f>"3482005962"</f>
        <v>3482005962</v>
      </c>
    </row>
    <row r="1053" spans="1:8" x14ac:dyDescent="0.25">
      <c r="A1053" t="s">
        <v>347</v>
      </c>
      <c r="B1053">
        <v>136446</v>
      </c>
      <c r="C1053" s="5">
        <v>670</v>
      </c>
      <c r="D1053" s="3">
        <v>44403</v>
      </c>
      <c r="E1053" t="str">
        <f>"202107194649"</f>
        <v>202107194649</v>
      </c>
      <c r="F1053" t="str">
        <f>"JUNE 2021"</f>
        <v>JUNE 2021</v>
      </c>
      <c r="G1053" s="5">
        <v>670</v>
      </c>
      <c r="H1053" t="str">
        <f>"JUNE 2021"</f>
        <v>JUNE 2021</v>
      </c>
    </row>
    <row r="1054" spans="1:8" x14ac:dyDescent="0.25">
      <c r="A1054" t="s">
        <v>348</v>
      </c>
      <c r="B1054">
        <v>136447</v>
      </c>
      <c r="C1054" s="5">
        <v>874.93</v>
      </c>
      <c r="D1054" s="3">
        <v>44403</v>
      </c>
      <c r="E1054" t="str">
        <f>"4010216275"</f>
        <v>4010216275</v>
      </c>
      <c r="F1054" t="str">
        <f>"INV 4010216275"</f>
        <v>INV 4010216275</v>
      </c>
      <c r="G1054" s="5">
        <v>874.93</v>
      </c>
      <c r="H1054" t="str">
        <f>"INV 4010216275"</f>
        <v>INV 4010216275</v>
      </c>
    </row>
    <row r="1055" spans="1:8" x14ac:dyDescent="0.25">
      <c r="A1055" t="s">
        <v>349</v>
      </c>
      <c r="B1055">
        <v>136269</v>
      </c>
      <c r="C1055" s="5">
        <v>3518</v>
      </c>
      <c r="D1055" s="3">
        <v>44389</v>
      </c>
      <c r="E1055" t="str">
        <f>"23938"</f>
        <v>23938</v>
      </c>
      <c r="F1055" t="str">
        <f>"Stop Sticks for SO"</f>
        <v>Stop Sticks for SO</v>
      </c>
      <c r="G1055" s="5">
        <v>3518</v>
      </c>
      <c r="H1055" t="str">
        <f>"Cord Reel"</f>
        <v>Cord Reel</v>
      </c>
    </row>
    <row r="1056" spans="1:8" x14ac:dyDescent="0.25">
      <c r="E1056" t="str">
        <f>""</f>
        <v/>
      </c>
      <c r="F1056" t="str">
        <f>""</f>
        <v/>
      </c>
      <c r="H1056" t="str">
        <f>"StopStickRackKit-Red"</f>
        <v>StopStickRackKit-Red</v>
      </c>
    </row>
    <row r="1057" spans="1:8" x14ac:dyDescent="0.25">
      <c r="E1057" t="str">
        <f>""</f>
        <v/>
      </c>
      <c r="F1057" t="str">
        <f>""</f>
        <v/>
      </c>
      <c r="H1057" t="str">
        <f>"Shipping"</f>
        <v>Shipping</v>
      </c>
    </row>
    <row r="1058" spans="1:8" x14ac:dyDescent="0.25">
      <c r="A1058" t="s">
        <v>350</v>
      </c>
      <c r="B1058">
        <v>136270</v>
      </c>
      <c r="C1058" s="5">
        <v>11856.66</v>
      </c>
      <c r="D1058" s="3">
        <v>44389</v>
      </c>
      <c r="E1058" t="str">
        <f>"12716"</f>
        <v>12716</v>
      </c>
      <c r="F1058" t="str">
        <f>"STRATEGIC EQUIPMENT  LLC"</f>
        <v>STRATEGIC EQUIPMENT  LLC</v>
      </c>
      <c r="G1058" s="5">
        <v>11856.66</v>
      </c>
      <c r="H1058" t="str">
        <f>"Walkin Freezer"</f>
        <v>Walkin Freezer</v>
      </c>
    </row>
    <row r="1059" spans="1:8" x14ac:dyDescent="0.25">
      <c r="E1059" t="str">
        <f>""</f>
        <v/>
      </c>
      <c r="F1059" t="str">
        <f>""</f>
        <v/>
      </c>
      <c r="H1059" t="str">
        <f>"Labor and Install"</f>
        <v>Labor and Install</v>
      </c>
    </row>
    <row r="1060" spans="1:8" x14ac:dyDescent="0.25">
      <c r="E1060" t="str">
        <f>""</f>
        <v/>
      </c>
      <c r="F1060" t="str">
        <f>""</f>
        <v/>
      </c>
      <c r="H1060" t="str">
        <f>"Shipping"</f>
        <v>Shipping</v>
      </c>
    </row>
    <row r="1061" spans="1:8" x14ac:dyDescent="0.25">
      <c r="A1061" t="s">
        <v>351</v>
      </c>
      <c r="B1061">
        <v>4811</v>
      </c>
      <c r="C1061" s="5">
        <v>19500</v>
      </c>
      <c r="D1061" s="3">
        <v>44404</v>
      </c>
      <c r="E1061" t="str">
        <f>"1132"</f>
        <v>1132</v>
      </c>
      <c r="F1061" t="str">
        <f>"MOWING/PCT#1"</f>
        <v>MOWING/PCT#1</v>
      </c>
      <c r="G1061" s="5">
        <v>2600</v>
      </c>
      <c r="H1061" t="str">
        <f>"MOWING/PCT#1"</f>
        <v>MOWING/PCT#1</v>
      </c>
    </row>
    <row r="1062" spans="1:8" x14ac:dyDescent="0.25">
      <c r="E1062" t="str">
        <f>"1133"</f>
        <v>1133</v>
      </c>
      <c r="F1062" t="str">
        <f>"MOWING/PCT#2"</f>
        <v>MOWING/PCT#2</v>
      </c>
      <c r="G1062" s="5">
        <v>16900</v>
      </c>
      <c r="H1062" t="str">
        <f>"MOWING/PCT#2"</f>
        <v>MOWING/PCT#2</v>
      </c>
    </row>
    <row r="1063" spans="1:8" x14ac:dyDescent="0.25">
      <c r="A1063" t="s">
        <v>352</v>
      </c>
      <c r="B1063">
        <v>4736</v>
      </c>
      <c r="C1063" s="5">
        <v>3489.5</v>
      </c>
      <c r="D1063" s="3">
        <v>44390</v>
      </c>
      <c r="E1063" t="str">
        <f>"96106162"</f>
        <v>96106162</v>
      </c>
      <c r="F1063" t="str">
        <f>"ACCT#10187718/PCT#2"</f>
        <v>ACCT#10187718/PCT#2</v>
      </c>
      <c r="G1063" s="5">
        <v>3489.5</v>
      </c>
      <c r="H1063" t="str">
        <f>"ACCT#10187718/PCT#2"</f>
        <v>ACCT#10187718/PCT#2</v>
      </c>
    </row>
    <row r="1064" spans="1:8" x14ac:dyDescent="0.25">
      <c r="A1064" t="s">
        <v>352</v>
      </c>
      <c r="B1064">
        <v>4820</v>
      </c>
      <c r="C1064" s="5">
        <v>7789.76</v>
      </c>
      <c r="D1064" s="3">
        <v>44404</v>
      </c>
      <c r="E1064" t="str">
        <f>"96124799"</f>
        <v>96124799</v>
      </c>
      <c r="F1064" t="str">
        <f>"ACCT#10187930/PCT#2"</f>
        <v>ACCT#10187930/PCT#2</v>
      </c>
      <c r="G1064" s="5">
        <v>4252.74</v>
      </c>
      <c r="H1064" t="str">
        <f>"ACCT#10187930/PCT#2"</f>
        <v>ACCT#10187930/PCT#2</v>
      </c>
    </row>
    <row r="1065" spans="1:8" x14ac:dyDescent="0.25">
      <c r="E1065" t="str">
        <f>"96134393"</f>
        <v>96134393</v>
      </c>
      <c r="F1065" t="str">
        <f>"ACCT#10187718/PCT#2"</f>
        <v>ACCT#10187718/PCT#2</v>
      </c>
      <c r="G1065" s="5">
        <v>3537.02</v>
      </c>
      <c r="H1065" t="str">
        <f>"ACCT#10187718/PCT#2"</f>
        <v>ACCT#10187718/PCT#2</v>
      </c>
    </row>
    <row r="1066" spans="1:8" x14ac:dyDescent="0.25">
      <c r="A1066" t="s">
        <v>353</v>
      </c>
      <c r="B1066">
        <v>136448</v>
      </c>
      <c r="C1066" s="5">
        <v>350</v>
      </c>
      <c r="D1066" s="3">
        <v>44403</v>
      </c>
      <c r="E1066" t="str">
        <f>"C2191"</f>
        <v>C2191</v>
      </c>
      <c r="F1066" t="str">
        <f>"INV C2191"</f>
        <v>INV C2191</v>
      </c>
      <c r="G1066" s="5">
        <v>350</v>
      </c>
      <c r="H1066" t="str">
        <f>"INV C2191"</f>
        <v>INV C2191</v>
      </c>
    </row>
    <row r="1067" spans="1:8" x14ac:dyDescent="0.25">
      <c r="A1067" t="s">
        <v>354</v>
      </c>
      <c r="B1067">
        <v>136271</v>
      </c>
      <c r="C1067" s="5">
        <v>180</v>
      </c>
      <c r="D1067" s="3">
        <v>44389</v>
      </c>
      <c r="E1067" t="str">
        <f>"9452454116"</f>
        <v>9452454116</v>
      </c>
      <c r="F1067" t="str">
        <f>"INV 9452454116"</f>
        <v>INV 9452454116</v>
      </c>
      <c r="G1067" s="5">
        <v>180</v>
      </c>
      <c r="H1067" t="str">
        <f>"INV 9452454116"</f>
        <v>INV 9452454116</v>
      </c>
    </row>
    <row r="1068" spans="1:8" x14ac:dyDescent="0.25">
      <c r="A1068" t="s">
        <v>355</v>
      </c>
      <c r="B1068">
        <v>136272</v>
      </c>
      <c r="C1068" s="5">
        <v>855</v>
      </c>
      <c r="D1068" s="3">
        <v>44389</v>
      </c>
      <c r="E1068" t="str">
        <f>"200018143"</f>
        <v>200018143</v>
      </c>
      <c r="F1068" t="str">
        <f>"CONFERENCE/ELLEN OWENS"</f>
        <v>CONFERENCE/ELLEN OWENS</v>
      </c>
      <c r="G1068" s="5">
        <v>285</v>
      </c>
      <c r="H1068" t="str">
        <f>"CONFERENCE/ELLEN OWENS"</f>
        <v>CONFERENCE/ELLEN OWENS</v>
      </c>
    </row>
    <row r="1069" spans="1:8" x14ac:dyDescent="0.25">
      <c r="E1069" t="str">
        <f>"200018144"</f>
        <v>200018144</v>
      </c>
      <c r="F1069" t="str">
        <f>"CONFERENCE/ESEMRALDA OSORIO"</f>
        <v>CONFERENCE/ESEMRALDA OSORIO</v>
      </c>
      <c r="G1069" s="5">
        <v>285</v>
      </c>
      <c r="H1069" t="str">
        <f>"CONFERENCE/ESEMRALDA OSORIO"</f>
        <v>CONFERENCE/ESEMRALDA OSORIO</v>
      </c>
    </row>
    <row r="1070" spans="1:8" x14ac:dyDescent="0.25">
      <c r="E1070" t="str">
        <f>"200018145"</f>
        <v>200018145</v>
      </c>
      <c r="F1070" t="str">
        <f>"CONFERENCE/PATSY MIRELES"</f>
        <v>CONFERENCE/PATSY MIRELES</v>
      </c>
      <c r="G1070" s="5">
        <v>285</v>
      </c>
      <c r="H1070" t="str">
        <f>"CONFERENCE/PATSY MIRELES"</f>
        <v>CONFERENCE/PATSY MIRELES</v>
      </c>
    </row>
    <row r="1071" spans="1:8" x14ac:dyDescent="0.25">
      <c r="A1071" t="s">
        <v>356</v>
      </c>
      <c r="B1071">
        <v>136449</v>
      </c>
      <c r="C1071" s="5">
        <v>75</v>
      </c>
      <c r="D1071" s="3">
        <v>44403</v>
      </c>
      <c r="E1071" t="str">
        <f>"13683"</f>
        <v>13683</v>
      </c>
      <c r="F1071" t="str">
        <f>"SERVICE"</f>
        <v>SERVICE</v>
      </c>
      <c r="G1071" s="5">
        <v>75</v>
      </c>
      <c r="H1071" t="str">
        <f>"SERVICE"</f>
        <v>SERVICE</v>
      </c>
    </row>
    <row r="1072" spans="1:8" x14ac:dyDescent="0.25">
      <c r="A1072" t="s">
        <v>357</v>
      </c>
      <c r="B1072">
        <v>136450</v>
      </c>
      <c r="C1072" s="5">
        <v>225</v>
      </c>
      <c r="D1072" s="3">
        <v>44403</v>
      </c>
      <c r="E1072" t="str">
        <f>"12917"</f>
        <v>12917</v>
      </c>
      <c r="F1072" t="str">
        <f>"SERVICE"</f>
        <v>SERVICE</v>
      </c>
      <c r="G1072" s="5">
        <v>225</v>
      </c>
      <c r="H1072" t="str">
        <f>"SERVICE"</f>
        <v>SERVICE</v>
      </c>
    </row>
    <row r="1073" spans="1:8" x14ac:dyDescent="0.25">
      <c r="A1073" t="s">
        <v>358</v>
      </c>
      <c r="B1073">
        <v>136451</v>
      </c>
      <c r="C1073" s="5">
        <v>75</v>
      </c>
      <c r="D1073" s="3">
        <v>44403</v>
      </c>
      <c r="E1073" t="str">
        <f>"12917"</f>
        <v>12917</v>
      </c>
      <c r="F1073" t="str">
        <f>"SERVICE"</f>
        <v>SERVICE</v>
      </c>
      <c r="G1073" s="5">
        <v>75</v>
      </c>
      <c r="H1073" t="str">
        <f>"SERVICE"</f>
        <v>SERVICE</v>
      </c>
    </row>
    <row r="1074" spans="1:8" x14ac:dyDescent="0.25">
      <c r="A1074" t="s">
        <v>359</v>
      </c>
      <c r="B1074">
        <v>4723</v>
      </c>
      <c r="C1074" s="5">
        <v>54.24</v>
      </c>
      <c r="D1074" s="3">
        <v>44390</v>
      </c>
      <c r="E1074" t="str">
        <f>"21070103"</f>
        <v>21070103</v>
      </c>
      <c r="F1074" t="str">
        <f>"SERVICE CONTRACT 7/1/21"</f>
        <v>SERVICE CONTRACT 7/1/21</v>
      </c>
      <c r="G1074" s="5">
        <v>54.24</v>
      </c>
      <c r="H1074" t="str">
        <f>"SERVICE CONTRACT 7/1/21"</f>
        <v>SERVICE CONTRACT 7/1/21</v>
      </c>
    </row>
    <row r="1075" spans="1:8" x14ac:dyDescent="0.25">
      <c r="A1075" t="s">
        <v>359</v>
      </c>
      <c r="B1075">
        <v>4805</v>
      </c>
      <c r="C1075" s="5">
        <v>74.959999999999994</v>
      </c>
      <c r="D1075" s="3">
        <v>44404</v>
      </c>
      <c r="E1075" t="str">
        <f>"21050401"</f>
        <v>21050401</v>
      </c>
      <c r="F1075" t="str">
        <f>"SERVICE CONTRACT APRIL/MAY"</f>
        <v>SERVICE CONTRACT APRIL/MAY</v>
      </c>
      <c r="G1075" s="5">
        <v>74.959999999999994</v>
      </c>
      <c r="H1075" t="str">
        <f>"SERVICE CONTRACT APRIL/MAY"</f>
        <v>SERVICE CONTRACT APRIL/MAY</v>
      </c>
    </row>
    <row r="1076" spans="1:8" x14ac:dyDescent="0.25">
      <c r="A1076" t="s">
        <v>360</v>
      </c>
      <c r="B1076">
        <v>136452</v>
      </c>
      <c r="C1076" s="5">
        <v>1100</v>
      </c>
      <c r="D1076" s="3">
        <v>44403</v>
      </c>
      <c r="E1076" t="str">
        <f>"188695"</f>
        <v>188695</v>
      </c>
      <c r="F1076" t="str">
        <f>"INV188695"</f>
        <v>INV188695</v>
      </c>
      <c r="G1076" s="5">
        <v>150</v>
      </c>
      <c r="H1076" t="str">
        <f>"INV188695"</f>
        <v>INV188695</v>
      </c>
    </row>
    <row r="1077" spans="1:8" x14ac:dyDescent="0.25">
      <c r="E1077" t="str">
        <f>"189367"</f>
        <v>189367</v>
      </c>
      <c r="F1077" t="str">
        <f>"TDCAA/CONNIE RABEL"</f>
        <v>TDCAA/CONNIE RABEL</v>
      </c>
      <c r="G1077" s="5">
        <v>350</v>
      </c>
      <c r="H1077" t="str">
        <f>"TDCAA/CONNIE RABEL"</f>
        <v>TDCAA/CONNIE RABEL</v>
      </c>
    </row>
    <row r="1078" spans="1:8" x14ac:dyDescent="0.25">
      <c r="E1078" t="str">
        <f>"202107204724"</f>
        <v>202107204724</v>
      </c>
      <c r="F1078" t="str">
        <f>"TRAINING"</f>
        <v>TRAINING</v>
      </c>
      <c r="G1078" s="5">
        <v>600</v>
      </c>
      <c r="H1078" t="str">
        <f>"CONFERENCE - M. COOK"</f>
        <v>CONFERENCE - M. COOK</v>
      </c>
    </row>
    <row r="1079" spans="1:8" x14ac:dyDescent="0.25">
      <c r="E1079" t="str">
        <f>""</f>
        <v/>
      </c>
      <c r="F1079" t="str">
        <f>""</f>
        <v/>
      </c>
      <c r="H1079" t="str">
        <f>"UPDATES - M. COOK"</f>
        <v>UPDATES - M. COOK</v>
      </c>
    </row>
    <row r="1080" spans="1:8" x14ac:dyDescent="0.25">
      <c r="A1080" t="s">
        <v>361</v>
      </c>
      <c r="B1080">
        <v>4851</v>
      </c>
      <c r="C1080" s="5">
        <v>221</v>
      </c>
      <c r="D1080" s="3">
        <v>44404</v>
      </c>
      <c r="E1080" t="str">
        <f>"2108064"</f>
        <v>2108064</v>
      </c>
      <c r="F1080" t="str">
        <f>"MONTHLY CONTRACT/JULY"</f>
        <v>MONTHLY CONTRACT/JULY</v>
      </c>
      <c r="G1080" s="5">
        <v>221</v>
      </c>
      <c r="H1080" t="str">
        <f>"MONTHLY CONTRACT/JULY"</f>
        <v>MONTHLY CONTRACT/JULY</v>
      </c>
    </row>
    <row r="1081" spans="1:8" x14ac:dyDescent="0.25">
      <c r="A1081" t="s">
        <v>362</v>
      </c>
      <c r="B1081">
        <v>136273</v>
      </c>
      <c r="C1081" s="5">
        <v>565.49</v>
      </c>
      <c r="D1081" s="3">
        <v>44389</v>
      </c>
      <c r="E1081" t="str">
        <f>"444686"</f>
        <v>444686</v>
      </c>
      <c r="F1081" t="str">
        <f>"INV 444686"</f>
        <v>INV 444686</v>
      </c>
      <c r="G1081" s="5">
        <v>565.49</v>
      </c>
      <c r="H1081" t="str">
        <f>"INV 444686"</f>
        <v>INV 444686</v>
      </c>
    </row>
    <row r="1082" spans="1:8" x14ac:dyDescent="0.25">
      <c r="A1082" t="s">
        <v>363</v>
      </c>
      <c r="B1082">
        <v>136274</v>
      </c>
      <c r="C1082" s="5">
        <v>13047.88</v>
      </c>
      <c r="D1082" s="3">
        <v>44389</v>
      </c>
      <c r="E1082" t="str">
        <f>"1093738-IN"</f>
        <v>1093738-IN</v>
      </c>
      <c r="F1082" t="str">
        <f>"ACCT#01-0112917/WILDFIRE MIT"</f>
        <v>ACCT#01-0112917/WILDFIRE MIT</v>
      </c>
      <c r="G1082" s="5">
        <v>464.9</v>
      </c>
      <c r="H1082" t="str">
        <f>"ACCT#01-0112917/WILDFIRE MIT"</f>
        <v>ACCT#01-0112917/WILDFIRE MIT</v>
      </c>
    </row>
    <row r="1083" spans="1:8" x14ac:dyDescent="0.25">
      <c r="E1083" t="str">
        <f>"1094446-IN"</f>
        <v>1094446-IN</v>
      </c>
      <c r="F1083" t="str">
        <f>"ACCT#01-0112917/PCT#1"</f>
        <v>ACCT#01-0112917/PCT#1</v>
      </c>
      <c r="G1083" s="5">
        <v>202.6</v>
      </c>
      <c r="H1083" t="str">
        <f>"ACCT#01-0112917/PCT#1"</f>
        <v>ACCT#01-0112917/PCT#1</v>
      </c>
    </row>
    <row r="1084" spans="1:8" x14ac:dyDescent="0.25">
      <c r="E1084" t="str">
        <f>"1103040"</f>
        <v>1103040</v>
      </c>
      <c r="F1084" t="str">
        <f>"ACCT#01-0112917/PCT#1"</f>
        <v>ACCT#01-0112917/PCT#1</v>
      </c>
      <c r="G1084" s="5">
        <v>175.94</v>
      </c>
      <c r="H1084" t="str">
        <f>"ACCT#01-0112917/PCT#1"</f>
        <v>ACCT#01-0112917/PCT#1</v>
      </c>
    </row>
    <row r="1085" spans="1:8" x14ac:dyDescent="0.25">
      <c r="E1085" t="str">
        <f>"1103251-IN"</f>
        <v>1103251-IN</v>
      </c>
      <c r="F1085" t="str">
        <f>"ACCT#01-0112917/PCT#4"</f>
        <v>ACCT#01-0112917/PCT#4</v>
      </c>
      <c r="G1085" s="5">
        <v>4503.62</v>
      </c>
      <c r="H1085" t="str">
        <f>"ACCT#01-0112917/PCT#4"</f>
        <v>ACCT#01-0112917/PCT#4</v>
      </c>
    </row>
    <row r="1086" spans="1:8" x14ac:dyDescent="0.25">
      <c r="E1086" t="str">
        <f>"1103292"</f>
        <v>1103292</v>
      </c>
      <c r="F1086" t="str">
        <f>"ACCT#01-0112917/PCT#1"</f>
        <v>ACCT#01-0112917/PCT#1</v>
      </c>
      <c r="G1086" s="5">
        <v>4596.8100000000004</v>
      </c>
      <c r="H1086" t="str">
        <f>"ACCT#01-0112917/PCT#1"</f>
        <v>ACCT#01-0112917/PCT#1</v>
      </c>
    </row>
    <row r="1087" spans="1:8" x14ac:dyDescent="0.25">
      <c r="E1087" t="str">
        <f>"1104839-IN"</f>
        <v>1104839-IN</v>
      </c>
      <c r="F1087" t="str">
        <f>"ACCT#01-0112917/PCT#3"</f>
        <v>ACCT#01-0112917/PCT#3</v>
      </c>
      <c r="G1087" s="5">
        <v>3104.01</v>
      </c>
      <c r="H1087" t="str">
        <f>"ACCT#01-0112917/PCT#3"</f>
        <v>ACCT#01-0112917/PCT#3</v>
      </c>
    </row>
    <row r="1088" spans="1:8" x14ac:dyDescent="0.25">
      <c r="A1088" t="s">
        <v>363</v>
      </c>
      <c r="B1088">
        <v>136453</v>
      </c>
      <c r="C1088" s="5">
        <v>5440.6</v>
      </c>
      <c r="D1088" s="3">
        <v>44403</v>
      </c>
      <c r="E1088" t="str">
        <f>"1107199-IN"</f>
        <v>1107199-IN</v>
      </c>
      <c r="F1088" t="str">
        <f>"ACCT#01-0112917/PCT#4"</f>
        <v>ACCT#01-0112917/PCT#4</v>
      </c>
      <c r="G1088" s="5">
        <v>5440.6</v>
      </c>
      <c r="H1088" t="str">
        <f>"ACCT#01-0112917/PCT#4"</f>
        <v>ACCT#01-0112917/PCT#4</v>
      </c>
    </row>
    <row r="1089" spans="1:8" x14ac:dyDescent="0.25">
      <c r="A1089" t="s">
        <v>364</v>
      </c>
      <c r="B1089">
        <v>136275</v>
      </c>
      <c r="C1089" s="5">
        <v>222.4</v>
      </c>
      <c r="D1089" s="3">
        <v>44389</v>
      </c>
      <c r="E1089" t="str">
        <f>"202107014245"</f>
        <v>202107014245</v>
      </c>
      <c r="F1089" t="str">
        <f>"INDIGENT HEALTH"</f>
        <v>INDIGENT HEALTH</v>
      </c>
      <c r="G1089" s="5">
        <v>222.4</v>
      </c>
      <c r="H1089" t="str">
        <f>"INDIGENT HEALTH"</f>
        <v>INDIGENT HEALTH</v>
      </c>
    </row>
    <row r="1090" spans="1:8" x14ac:dyDescent="0.25">
      <c r="E1090" t="str">
        <f>""</f>
        <v/>
      </c>
      <c r="F1090" t="str">
        <f>""</f>
        <v/>
      </c>
      <c r="H1090" t="str">
        <f>"INDIGENT HEALTH"</f>
        <v>INDIGENT HEALTH</v>
      </c>
    </row>
    <row r="1091" spans="1:8" x14ac:dyDescent="0.25">
      <c r="A1091" t="s">
        <v>364</v>
      </c>
      <c r="B1091">
        <v>136454</v>
      </c>
      <c r="C1091" s="5">
        <v>625.23</v>
      </c>
      <c r="D1091" s="3">
        <v>44403</v>
      </c>
      <c r="E1091" t="str">
        <f>"202107204704"</f>
        <v>202107204704</v>
      </c>
      <c r="F1091" t="str">
        <f>"INDIGENT HEALTH"</f>
        <v>INDIGENT HEALTH</v>
      </c>
      <c r="G1091" s="5">
        <v>625.23</v>
      </c>
      <c r="H1091" t="str">
        <f>"INDIGENT HEALTH"</f>
        <v>INDIGENT HEALTH</v>
      </c>
    </row>
    <row r="1092" spans="1:8" x14ac:dyDescent="0.25">
      <c r="A1092" t="s">
        <v>365</v>
      </c>
      <c r="B1092">
        <v>136276</v>
      </c>
      <c r="C1092" s="5">
        <v>321</v>
      </c>
      <c r="D1092" s="3">
        <v>44389</v>
      </c>
      <c r="E1092" t="str">
        <f>"202107064360"</f>
        <v>202107064360</v>
      </c>
      <c r="F1092" t="str">
        <f>"JULY BOND RENEWALS"</f>
        <v>JULY BOND RENEWALS</v>
      </c>
      <c r="G1092" s="5">
        <v>250</v>
      </c>
      <c r="H1092" t="str">
        <f>"JULY BOND RENEWALS"</f>
        <v>JULY BOND RENEWALS</v>
      </c>
    </row>
    <row r="1093" spans="1:8" x14ac:dyDescent="0.25">
      <c r="E1093" t="str">
        <f>"7019"</f>
        <v>7019</v>
      </c>
      <c r="F1093" t="str">
        <f>"INV 7019"</f>
        <v>INV 7019</v>
      </c>
      <c r="G1093" s="5">
        <v>71</v>
      </c>
      <c r="H1093" t="str">
        <f>"INV 7019"</f>
        <v>INV 7019</v>
      </c>
    </row>
    <row r="1094" spans="1:8" x14ac:dyDescent="0.25">
      <c r="A1094" t="s">
        <v>365</v>
      </c>
      <c r="B1094">
        <v>136455</v>
      </c>
      <c r="C1094" s="5">
        <v>200</v>
      </c>
      <c r="D1094" s="3">
        <v>44403</v>
      </c>
      <c r="E1094" t="str">
        <f>"202107204723"</f>
        <v>202107204723</v>
      </c>
      <c r="F1094" t="str">
        <f>"AUGUST BOND RENEWALS"</f>
        <v>AUGUST BOND RENEWALS</v>
      </c>
      <c r="G1094" s="5">
        <v>200</v>
      </c>
      <c r="H1094" t="str">
        <f>"AUGUST BOND RENEWALS"</f>
        <v>AUGUST BOND RENEWALS</v>
      </c>
    </row>
    <row r="1095" spans="1:8" x14ac:dyDescent="0.25">
      <c r="A1095" t="s">
        <v>366</v>
      </c>
      <c r="B1095">
        <v>136113</v>
      </c>
      <c r="C1095" s="5">
        <v>6510.62</v>
      </c>
      <c r="D1095" s="3">
        <v>44385</v>
      </c>
      <c r="E1095" t="str">
        <f>"D-2021-3-0110"</f>
        <v>D-2021-3-0110</v>
      </c>
      <c r="F1095" t="str">
        <f>"UNEMPLOYMENT QTR END 06/30/21"</f>
        <v>UNEMPLOYMENT QTR END 06/30/21</v>
      </c>
      <c r="G1095" s="5">
        <v>6510.62</v>
      </c>
      <c r="H1095" t="str">
        <f t="shared" ref="H1095:H1133" si="16">"UNEMPLOYMENT QTR END 06/30/21"</f>
        <v>UNEMPLOYMENT QTR END 06/30/21</v>
      </c>
    </row>
    <row r="1096" spans="1:8" x14ac:dyDescent="0.25">
      <c r="E1096" t="str">
        <f>""</f>
        <v/>
      </c>
      <c r="F1096" t="str">
        <f>""</f>
        <v/>
      </c>
      <c r="H1096" t="str">
        <f t="shared" si="16"/>
        <v>UNEMPLOYMENT QTR END 06/30/21</v>
      </c>
    </row>
    <row r="1097" spans="1:8" x14ac:dyDescent="0.25">
      <c r="E1097" t="str">
        <f>""</f>
        <v/>
      </c>
      <c r="F1097" t="str">
        <f>""</f>
        <v/>
      </c>
      <c r="H1097" t="str">
        <f t="shared" si="16"/>
        <v>UNEMPLOYMENT QTR END 06/30/21</v>
      </c>
    </row>
    <row r="1098" spans="1:8" x14ac:dyDescent="0.25">
      <c r="E1098" t="str">
        <f>""</f>
        <v/>
      </c>
      <c r="F1098" t="str">
        <f>""</f>
        <v/>
      </c>
      <c r="H1098" t="str">
        <f t="shared" si="16"/>
        <v>UNEMPLOYMENT QTR END 06/30/21</v>
      </c>
    </row>
    <row r="1099" spans="1:8" x14ac:dyDescent="0.25">
      <c r="E1099" t="str">
        <f>""</f>
        <v/>
      </c>
      <c r="F1099" t="str">
        <f>""</f>
        <v/>
      </c>
      <c r="H1099" t="str">
        <f t="shared" si="16"/>
        <v>UNEMPLOYMENT QTR END 06/30/21</v>
      </c>
    </row>
    <row r="1100" spans="1:8" x14ac:dyDescent="0.25">
      <c r="E1100" t="str">
        <f>""</f>
        <v/>
      </c>
      <c r="F1100" t="str">
        <f>""</f>
        <v/>
      </c>
      <c r="H1100" t="str">
        <f t="shared" si="16"/>
        <v>UNEMPLOYMENT QTR END 06/30/21</v>
      </c>
    </row>
    <row r="1101" spans="1:8" x14ac:dyDescent="0.25">
      <c r="E1101" t="str">
        <f>""</f>
        <v/>
      </c>
      <c r="F1101" t="str">
        <f>""</f>
        <v/>
      </c>
      <c r="H1101" t="str">
        <f t="shared" si="16"/>
        <v>UNEMPLOYMENT QTR END 06/30/21</v>
      </c>
    </row>
    <row r="1102" spans="1:8" x14ac:dyDescent="0.25">
      <c r="E1102" t="str">
        <f>""</f>
        <v/>
      </c>
      <c r="F1102" t="str">
        <f>""</f>
        <v/>
      </c>
      <c r="H1102" t="str">
        <f t="shared" si="16"/>
        <v>UNEMPLOYMENT QTR END 06/30/21</v>
      </c>
    </row>
    <row r="1103" spans="1:8" x14ac:dyDescent="0.25">
      <c r="E1103" t="str">
        <f>""</f>
        <v/>
      </c>
      <c r="F1103" t="str">
        <f>""</f>
        <v/>
      </c>
      <c r="H1103" t="str">
        <f t="shared" si="16"/>
        <v>UNEMPLOYMENT QTR END 06/30/21</v>
      </c>
    </row>
    <row r="1104" spans="1:8" x14ac:dyDescent="0.25">
      <c r="E1104" t="str">
        <f>""</f>
        <v/>
      </c>
      <c r="F1104" t="str">
        <f>""</f>
        <v/>
      </c>
      <c r="H1104" t="str">
        <f t="shared" si="16"/>
        <v>UNEMPLOYMENT QTR END 06/30/21</v>
      </c>
    </row>
    <row r="1105" spans="5:8" x14ac:dyDescent="0.25">
      <c r="E1105" t="str">
        <f>""</f>
        <v/>
      </c>
      <c r="F1105" t="str">
        <f>""</f>
        <v/>
      </c>
      <c r="H1105" t="str">
        <f t="shared" si="16"/>
        <v>UNEMPLOYMENT QTR END 06/30/21</v>
      </c>
    </row>
    <row r="1106" spans="5:8" x14ac:dyDescent="0.25">
      <c r="E1106" t="str">
        <f>""</f>
        <v/>
      </c>
      <c r="F1106" t="str">
        <f>""</f>
        <v/>
      </c>
      <c r="H1106" t="str">
        <f t="shared" si="16"/>
        <v>UNEMPLOYMENT QTR END 06/30/21</v>
      </c>
    </row>
    <row r="1107" spans="5:8" x14ac:dyDescent="0.25">
      <c r="E1107" t="str">
        <f>""</f>
        <v/>
      </c>
      <c r="F1107" t="str">
        <f>""</f>
        <v/>
      </c>
      <c r="H1107" t="str">
        <f t="shared" si="16"/>
        <v>UNEMPLOYMENT QTR END 06/30/21</v>
      </c>
    </row>
    <row r="1108" spans="5:8" x14ac:dyDescent="0.25">
      <c r="E1108" t="str">
        <f>""</f>
        <v/>
      </c>
      <c r="F1108" t="str">
        <f>""</f>
        <v/>
      </c>
      <c r="H1108" t="str">
        <f t="shared" si="16"/>
        <v>UNEMPLOYMENT QTR END 06/30/21</v>
      </c>
    </row>
    <row r="1109" spans="5:8" x14ac:dyDescent="0.25">
      <c r="E1109" t="str">
        <f>""</f>
        <v/>
      </c>
      <c r="F1109" t="str">
        <f>""</f>
        <v/>
      </c>
      <c r="H1109" t="str">
        <f t="shared" si="16"/>
        <v>UNEMPLOYMENT QTR END 06/30/21</v>
      </c>
    </row>
    <row r="1110" spans="5:8" x14ac:dyDescent="0.25">
      <c r="E1110" t="str">
        <f>""</f>
        <v/>
      </c>
      <c r="F1110" t="str">
        <f>""</f>
        <v/>
      </c>
      <c r="H1110" t="str">
        <f t="shared" si="16"/>
        <v>UNEMPLOYMENT QTR END 06/30/21</v>
      </c>
    </row>
    <row r="1111" spans="5:8" x14ac:dyDescent="0.25">
      <c r="E1111" t="str">
        <f>""</f>
        <v/>
      </c>
      <c r="F1111" t="str">
        <f>""</f>
        <v/>
      </c>
      <c r="H1111" t="str">
        <f t="shared" si="16"/>
        <v>UNEMPLOYMENT QTR END 06/30/21</v>
      </c>
    </row>
    <row r="1112" spans="5:8" x14ac:dyDescent="0.25">
      <c r="E1112" t="str">
        <f>""</f>
        <v/>
      </c>
      <c r="F1112" t="str">
        <f>""</f>
        <v/>
      </c>
      <c r="H1112" t="str">
        <f t="shared" si="16"/>
        <v>UNEMPLOYMENT QTR END 06/30/21</v>
      </c>
    </row>
    <row r="1113" spans="5:8" x14ac:dyDescent="0.25">
      <c r="E1113" t="str">
        <f>""</f>
        <v/>
      </c>
      <c r="F1113" t="str">
        <f>""</f>
        <v/>
      </c>
      <c r="H1113" t="str">
        <f t="shared" si="16"/>
        <v>UNEMPLOYMENT QTR END 06/30/21</v>
      </c>
    </row>
    <row r="1114" spans="5:8" x14ac:dyDescent="0.25">
      <c r="E1114" t="str">
        <f>""</f>
        <v/>
      </c>
      <c r="F1114" t="str">
        <f>""</f>
        <v/>
      </c>
      <c r="H1114" t="str">
        <f t="shared" si="16"/>
        <v>UNEMPLOYMENT QTR END 06/30/21</v>
      </c>
    </row>
    <row r="1115" spans="5:8" x14ac:dyDescent="0.25">
      <c r="E1115" t="str">
        <f>""</f>
        <v/>
      </c>
      <c r="F1115" t="str">
        <f>""</f>
        <v/>
      </c>
      <c r="H1115" t="str">
        <f t="shared" si="16"/>
        <v>UNEMPLOYMENT QTR END 06/30/21</v>
      </c>
    </row>
    <row r="1116" spans="5:8" x14ac:dyDescent="0.25">
      <c r="E1116" t="str">
        <f>""</f>
        <v/>
      </c>
      <c r="F1116" t="str">
        <f>""</f>
        <v/>
      </c>
      <c r="H1116" t="str">
        <f t="shared" si="16"/>
        <v>UNEMPLOYMENT QTR END 06/30/21</v>
      </c>
    </row>
    <row r="1117" spans="5:8" x14ac:dyDescent="0.25">
      <c r="E1117" t="str">
        <f>""</f>
        <v/>
      </c>
      <c r="F1117" t="str">
        <f>""</f>
        <v/>
      </c>
      <c r="H1117" t="str">
        <f t="shared" si="16"/>
        <v>UNEMPLOYMENT QTR END 06/30/21</v>
      </c>
    </row>
    <row r="1118" spans="5:8" x14ac:dyDescent="0.25">
      <c r="E1118" t="str">
        <f>""</f>
        <v/>
      </c>
      <c r="F1118" t="str">
        <f>""</f>
        <v/>
      </c>
      <c r="H1118" t="str">
        <f t="shared" si="16"/>
        <v>UNEMPLOYMENT QTR END 06/30/21</v>
      </c>
    </row>
    <row r="1119" spans="5:8" x14ac:dyDescent="0.25">
      <c r="E1119" t="str">
        <f>""</f>
        <v/>
      </c>
      <c r="F1119" t="str">
        <f>""</f>
        <v/>
      </c>
      <c r="H1119" t="str">
        <f t="shared" si="16"/>
        <v>UNEMPLOYMENT QTR END 06/30/21</v>
      </c>
    </row>
    <row r="1120" spans="5:8" x14ac:dyDescent="0.25">
      <c r="E1120" t="str">
        <f>""</f>
        <v/>
      </c>
      <c r="F1120" t="str">
        <f>""</f>
        <v/>
      </c>
      <c r="H1120" t="str">
        <f t="shared" si="16"/>
        <v>UNEMPLOYMENT QTR END 06/30/21</v>
      </c>
    </row>
    <row r="1121" spans="1:8" x14ac:dyDescent="0.25">
      <c r="E1121" t="str">
        <f>""</f>
        <v/>
      </c>
      <c r="F1121" t="str">
        <f>""</f>
        <v/>
      </c>
      <c r="H1121" t="str">
        <f t="shared" si="16"/>
        <v>UNEMPLOYMENT QTR END 06/30/21</v>
      </c>
    </row>
    <row r="1122" spans="1:8" x14ac:dyDescent="0.25">
      <c r="E1122" t="str">
        <f>""</f>
        <v/>
      </c>
      <c r="F1122" t="str">
        <f>""</f>
        <v/>
      </c>
      <c r="H1122" t="str">
        <f t="shared" si="16"/>
        <v>UNEMPLOYMENT QTR END 06/30/21</v>
      </c>
    </row>
    <row r="1123" spans="1:8" x14ac:dyDescent="0.25">
      <c r="E1123" t="str">
        <f>""</f>
        <v/>
      </c>
      <c r="F1123" t="str">
        <f>""</f>
        <v/>
      </c>
      <c r="H1123" t="str">
        <f t="shared" si="16"/>
        <v>UNEMPLOYMENT QTR END 06/30/21</v>
      </c>
    </row>
    <row r="1124" spans="1:8" x14ac:dyDescent="0.25">
      <c r="E1124" t="str">
        <f>""</f>
        <v/>
      </c>
      <c r="F1124" t="str">
        <f>""</f>
        <v/>
      </c>
      <c r="H1124" t="str">
        <f t="shared" si="16"/>
        <v>UNEMPLOYMENT QTR END 06/30/21</v>
      </c>
    </row>
    <row r="1125" spans="1:8" x14ac:dyDescent="0.25">
      <c r="E1125" t="str">
        <f>""</f>
        <v/>
      </c>
      <c r="F1125" t="str">
        <f>""</f>
        <v/>
      </c>
      <c r="H1125" t="str">
        <f t="shared" si="16"/>
        <v>UNEMPLOYMENT QTR END 06/30/21</v>
      </c>
    </row>
    <row r="1126" spans="1:8" x14ac:dyDescent="0.25">
      <c r="E1126" t="str">
        <f>""</f>
        <v/>
      </c>
      <c r="F1126" t="str">
        <f>""</f>
        <v/>
      </c>
      <c r="H1126" t="str">
        <f t="shared" si="16"/>
        <v>UNEMPLOYMENT QTR END 06/30/21</v>
      </c>
    </row>
    <row r="1127" spans="1:8" x14ac:dyDescent="0.25">
      <c r="E1127" t="str">
        <f>""</f>
        <v/>
      </c>
      <c r="F1127" t="str">
        <f>""</f>
        <v/>
      </c>
      <c r="H1127" t="str">
        <f t="shared" si="16"/>
        <v>UNEMPLOYMENT QTR END 06/30/21</v>
      </c>
    </row>
    <row r="1128" spans="1:8" x14ac:dyDescent="0.25">
      <c r="E1128" t="str">
        <f>""</f>
        <v/>
      </c>
      <c r="F1128" t="str">
        <f>""</f>
        <v/>
      </c>
      <c r="H1128" t="str">
        <f t="shared" si="16"/>
        <v>UNEMPLOYMENT QTR END 06/30/21</v>
      </c>
    </row>
    <row r="1129" spans="1:8" x14ac:dyDescent="0.25">
      <c r="E1129" t="str">
        <f>""</f>
        <v/>
      </c>
      <c r="F1129" t="str">
        <f>""</f>
        <v/>
      </c>
      <c r="H1129" t="str">
        <f t="shared" si="16"/>
        <v>UNEMPLOYMENT QTR END 06/30/21</v>
      </c>
    </row>
    <row r="1130" spans="1:8" x14ac:dyDescent="0.25">
      <c r="E1130" t="str">
        <f>""</f>
        <v/>
      </c>
      <c r="F1130" t="str">
        <f>""</f>
        <v/>
      </c>
      <c r="H1130" t="str">
        <f t="shared" si="16"/>
        <v>UNEMPLOYMENT QTR END 06/30/21</v>
      </c>
    </row>
    <row r="1131" spans="1:8" x14ac:dyDescent="0.25">
      <c r="E1131" t="str">
        <f>""</f>
        <v/>
      </c>
      <c r="F1131" t="str">
        <f>""</f>
        <v/>
      </c>
      <c r="H1131" t="str">
        <f t="shared" si="16"/>
        <v>UNEMPLOYMENT QTR END 06/30/21</v>
      </c>
    </row>
    <row r="1132" spans="1:8" x14ac:dyDescent="0.25">
      <c r="E1132" t="str">
        <f>""</f>
        <v/>
      </c>
      <c r="F1132" t="str">
        <f>""</f>
        <v/>
      </c>
      <c r="H1132" t="str">
        <f t="shared" si="16"/>
        <v>UNEMPLOYMENT QTR END 06/30/21</v>
      </c>
    </row>
    <row r="1133" spans="1:8" x14ac:dyDescent="0.25">
      <c r="E1133" t="str">
        <f>""</f>
        <v/>
      </c>
      <c r="F1133" t="str">
        <f>""</f>
        <v/>
      </c>
      <c r="H1133" t="str">
        <f t="shared" si="16"/>
        <v>UNEMPLOYMENT QTR END 06/30/21</v>
      </c>
    </row>
    <row r="1134" spans="1:8" x14ac:dyDescent="0.25">
      <c r="A1134" t="s">
        <v>367</v>
      </c>
      <c r="B1134">
        <v>136456</v>
      </c>
      <c r="C1134" s="5">
        <v>425</v>
      </c>
      <c r="D1134" s="3">
        <v>44403</v>
      </c>
      <c r="E1134" t="str">
        <f>"202107204668"</f>
        <v>202107204668</v>
      </c>
      <c r="F1134" t="str">
        <f>"PROBATE TRAINING"</f>
        <v>PROBATE TRAINING</v>
      </c>
      <c r="G1134" s="5">
        <v>425</v>
      </c>
      <c r="H1134" t="str">
        <f>"PROBATE TRAINING"</f>
        <v>PROBATE TRAINING</v>
      </c>
    </row>
    <row r="1135" spans="1:8" x14ac:dyDescent="0.25">
      <c r="A1135" t="s">
        <v>368</v>
      </c>
      <c r="B1135">
        <v>136277</v>
      </c>
      <c r="C1135" s="5">
        <v>740.52</v>
      </c>
      <c r="D1135" s="3">
        <v>44389</v>
      </c>
      <c r="E1135" t="str">
        <f>"260868"</f>
        <v>260868</v>
      </c>
      <c r="F1135" t="str">
        <f>"CUST#1574/PCT#4"</f>
        <v>CUST#1574/PCT#4</v>
      </c>
      <c r="G1135" s="5">
        <v>740.52</v>
      </c>
      <c r="H1135" t="str">
        <f>"CUST#1574/PCT#4"</f>
        <v>CUST#1574/PCT#4</v>
      </c>
    </row>
    <row r="1136" spans="1:8" x14ac:dyDescent="0.25">
      <c r="A1136" t="s">
        <v>368</v>
      </c>
      <c r="B1136">
        <v>136457</v>
      </c>
      <c r="C1136" s="5">
        <v>723.7</v>
      </c>
      <c r="D1136" s="3">
        <v>44403</v>
      </c>
      <c r="E1136" t="str">
        <f>"263771"</f>
        <v>263771</v>
      </c>
      <c r="F1136" t="str">
        <f>"CUST#1574/PCT#4"</f>
        <v>CUST#1574/PCT#4</v>
      </c>
      <c r="G1136" s="5">
        <v>723.7</v>
      </c>
      <c r="H1136" t="str">
        <f>"CUST#1574/PCT#4"</f>
        <v>CUST#1574/PCT#4</v>
      </c>
    </row>
    <row r="1137" spans="1:8" x14ac:dyDescent="0.25">
      <c r="A1137" t="s">
        <v>369</v>
      </c>
      <c r="B1137">
        <v>4822</v>
      </c>
      <c r="C1137" s="5">
        <v>110</v>
      </c>
      <c r="D1137" s="3">
        <v>44404</v>
      </c>
      <c r="E1137" t="str">
        <f>"18219"</f>
        <v>18219</v>
      </c>
      <c r="F1137" t="str">
        <f>"ACCT#1267/ANIMAL SHELTER"</f>
        <v>ACCT#1267/ANIMAL SHELTER</v>
      </c>
      <c r="G1137" s="5">
        <v>110</v>
      </c>
      <c r="H1137" t="str">
        <f>"ACCT#1267/ANIMAL SHELTER"</f>
        <v>ACCT#1267/ANIMAL SHELTER</v>
      </c>
    </row>
    <row r="1138" spans="1:8" x14ac:dyDescent="0.25">
      <c r="A1138" t="s">
        <v>370</v>
      </c>
      <c r="B1138">
        <v>136278</v>
      </c>
      <c r="C1138" s="5">
        <v>22</v>
      </c>
      <c r="D1138" s="3">
        <v>44389</v>
      </c>
      <c r="E1138" t="str">
        <f>"CRS-202105-216223"</f>
        <v>CRS-202105-216223</v>
      </c>
      <c r="F1138" t="str">
        <f>"ID#17738/HR"</f>
        <v>ID#17738/HR</v>
      </c>
      <c r="G1138" s="5">
        <v>22</v>
      </c>
      <c r="H1138" t="str">
        <f>"ID#17738/HR"</f>
        <v>ID#17738/HR</v>
      </c>
    </row>
    <row r="1139" spans="1:8" x14ac:dyDescent="0.25">
      <c r="A1139" t="s">
        <v>370</v>
      </c>
      <c r="B1139">
        <v>136458</v>
      </c>
      <c r="C1139" s="5">
        <v>14</v>
      </c>
      <c r="D1139" s="3">
        <v>44403</v>
      </c>
      <c r="E1139" t="str">
        <f>"CRS2021-218207"</f>
        <v>CRS2021-218207</v>
      </c>
      <c r="F1139" t="str">
        <f>"ID#17738/HR"</f>
        <v>ID#17738/HR</v>
      </c>
      <c r="G1139" s="5">
        <v>14</v>
      </c>
      <c r="H1139" t="str">
        <f>"ID#17738/HR"</f>
        <v>ID#17738/HR</v>
      </c>
    </row>
    <row r="1140" spans="1:8" x14ac:dyDescent="0.25">
      <c r="A1140" t="s">
        <v>371</v>
      </c>
      <c r="B1140">
        <v>136279</v>
      </c>
      <c r="C1140" s="5">
        <v>155</v>
      </c>
      <c r="D1140" s="3">
        <v>44389</v>
      </c>
      <c r="E1140" t="str">
        <f>"6043383"</f>
        <v>6043383</v>
      </c>
      <c r="F1140" t="str">
        <f>"CUST#1-238865"</f>
        <v>CUST#1-238865</v>
      </c>
      <c r="G1140" s="5">
        <v>155</v>
      </c>
      <c r="H1140" t="str">
        <f>"CUST#1-238865"</f>
        <v>CUST#1-238865</v>
      </c>
    </row>
    <row r="1141" spans="1:8" x14ac:dyDescent="0.25">
      <c r="A1141" t="s">
        <v>372</v>
      </c>
      <c r="B1141">
        <v>136459</v>
      </c>
      <c r="C1141" s="5">
        <v>150</v>
      </c>
      <c r="D1141" s="3">
        <v>44403</v>
      </c>
      <c r="E1141" t="str">
        <f>"200017070"</f>
        <v>200017070</v>
      </c>
      <c r="F1141" t="str">
        <f>"CFM EXAM FEE/ABRAM BARKER"</f>
        <v>CFM EXAM FEE/ABRAM BARKER</v>
      </c>
      <c r="G1141" s="5">
        <v>150</v>
      </c>
      <c r="H1141" t="str">
        <f>"CFM EXAM FEE/ABRAM BARKER"</f>
        <v>CFM EXAM FEE/ABRAM BARKER</v>
      </c>
    </row>
    <row r="1142" spans="1:8" x14ac:dyDescent="0.25">
      <c r="A1142" t="s">
        <v>373</v>
      </c>
      <c r="B1142">
        <v>136460</v>
      </c>
      <c r="C1142" s="5">
        <v>790</v>
      </c>
      <c r="D1142" s="3">
        <v>44403</v>
      </c>
      <c r="E1142" t="str">
        <f>"202107204717"</f>
        <v>202107204717</v>
      </c>
      <c r="F1142" t="str">
        <f>"TRAINING"</f>
        <v>TRAINING</v>
      </c>
      <c r="G1142" s="5">
        <v>790</v>
      </c>
      <c r="H1142" t="str">
        <f>"TRAINING - EADES CAR"</f>
        <v>TRAINING - EADES CAR</v>
      </c>
    </row>
    <row r="1143" spans="1:8" x14ac:dyDescent="0.25">
      <c r="E1143" t="str">
        <f>""</f>
        <v/>
      </c>
      <c r="F1143" t="str">
        <f>""</f>
        <v/>
      </c>
      <c r="H1143" t="str">
        <f>"TRAINING - PLOCICA"</f>
        <v>TRAINING - PLOCICA</v>
      </c>
    </row>
    <row r="1144" spans="1:8" x14ac:dyDescent="0.25">
      <c r="A1144" t="s">
        <v>374</v>
      </c>
      <c r="B1144">
        <v>136461</v>
      </c>
      <c r="C1144" s="5">
        <v>14949</v>
      </c>
      <c r="D1144" s="3">
        <v>44403</v>
      </c>
      <c r="E1144" t="str">
        <f>"21-26095"</f>
        <v>21-26095</v>
      </c>
      <c r="F1144" t="str">
        <f>"THLA MBRSHP/APRIL21-MARCH22"</f>
        <v>THLA MBRSHP/APRIL21-MARCH22</v>
      </c>
      <c r="G1144" s="5">
        <v>14949</v>
      </c>
      <c r="H1144" t="str">
        <f>"THLA MBRSHP/APRIL21-MARCH22"</f>
        <v>THLA MBRSHP/APRIL21-MARCH22</v>
      </c>
    </row>
    <row r="1145" spans="1:8" x14ac:dyDescent="0.25">
      <c r="A1145" t="s">
        <v>375</v>
      </c>
      <c r="B1145">
        <v>136280</v>
      </c>
      <c r="C1145" s="5">
        <v>150</v>
      </c>
      <c r="D1145" s="3">
        <v>44389</v>
      </c>
      <c r="E1145" t="str">
        <f>"57659"</f>
        <v>57659</v>
      </c>
      <c r="F1145" t="str">
        <f>"TRAINING DENA TINER"</f>
        <v>TRAINING DENA TINER</v>
      </c>
      <c r="G1145" s="5">
        <v>50</v>
      </c>
      <c r="H1145" t="str">
        <f>"TRAINING DENA TINER"</f>
        <v>TRAINING DENA TINER</v>
      </c>
    </row>
    <row r="1146" spans="1:8" x14ac:dyDescent="0.25">
      <c r="E1146" t="str">
        <f>"57660"</f>
        <v>57660</v>
      </c>
      <c r="F1146" t="str">
        <f>"TRAINING/AMELIA BROWN"</f>
        <v>TRAINING/AMELIA BROWN</v>
      </c>
      <c r="G1146" s="5">
        <v>50</v>
      </c>
      <c r="H1146" t="str">
        <f>"TRAINING/AMELIA BROWN"</f>
        <v>TRAINING/AMELIA BROWN</v>
      </c>
    </row>
    <row r="1147" spans="1:8" x14ac:dyDescent="0.25">
      <c r="E1147" t="str">
        <f>"57661"</f>
        <v>57661</v>
      </c>
      <c r="F1147" t="str">
        <f>"TRAINING/DIANE MONTOYA"</f>
        <v>TRAINING/DIANE MONTOYA</v>
      </c>
      <c r="G1147" s="5">
        <v>50</v>
      </c>
      <c r="H1147" t="str">
        <f>"TRAINING/DIANE MONTOYA"</f>
        <v>TRAINING/DIANE MONTOYA</v>
      </c>
    </row>
    <row r="1148" spans="1:8" x14ac:dyDescent="0.25">
      <c r="A1148" t="s">
        <v>375</v>
      </c>
      <c r="B1148">
        <v>136462</v>
      </c>
      <c r="C1148" s="5">
        <v>680</v>
      </c>
      <c r="D1148" s="3">
        <v>44403</v>
      </c>
      <c r="E1148" t="str">
        <f>"57894"</f>
        <v>57894</v>
      </c>
      <c r="F1148" t="str">
        <f>"TRAINING/AUGUST MEDUNA"</f>
        <v>TRAINING/AUGUST MEDUNA</v>
      </c>
      <c r="G1148" s="5">
        <v>315</v>
      </c>
      <c r="H1148" t="str">
        <f>"TRAINING/AUGUST MEDUNA"</f>
        <v>TRAINING/AUGUST MEDUNA</v>
      </c>
    </row>
    <row r="1149" spans="1:8" x14ac:dyDescent="0.25">
      <c r="E1149" t="str">
        <f>"57930"</f>
        <v>57930</v>
      </c>
      <c r="F1149" t="str">
        <f>"TRAINING/JOEY DZIENOWSKI"</f>
        <v>TRAINING/JOEY DZIENOWSKI</v>
      </c>
      <c r="G1149" s="5">
        <v>315</v>
      </c>
      <c r="H1149" t="str">
        <f>"TRAINING/JOEY DZIENOWSKI"</f>
        <v>TRAINING/JOEY DZIENOWSKI</v>
      </c>
    </row>
    <row r="1150" spans="1:8" x14ac:dyDescent="0.25">
      <c r="E1150" t="str">
        <f>"57956"</f>
        <v>57956</v>
      </c>
      <c r="F1150" t="str">
        <f>"TRAINING/RAYMAH DAVIS"</f>
        <v>TRAINING/RAYMAH DAVIS</v>
      </c>
      <c r="G1150" s="5">
        <v>50</v>
      </c>
      <c r="H1150" t="str">
        <f>"TRAINING/RAYMAH DAVIS"</f>
        <v>TRAINING/RAYMAH DAVIS</v>
      </c>
    </row>
    <row r="1151" spans="1:8" x14ac:dyDescent="0.25">
      <c r="A1151" t="s">
        <v>376</v>
      </c>
      <c r="B1151">
        <v>136281</v>
      </c>
      <c r="C1151" s="5">
        <v>3849.6</v>
      </c>
      <c r="D1151" s="3">
        <v>44389</v>
      </c>
      <c r="E1151" t="str">
        <f>"200959354"</f>
        <v>200959354</v>
      </c>
      <c r="F1151" t="str">
        <f>"CUST#255120/PCT#2"</f>
        <v>CUST#255120/PCT#2</v>
      </c>
      <c r="G1151" s="5">
        <v>2443.8000000000002</v>
      </c>
      <c r="H1151" t="str">
        <f>"CUST#255120/PCT#2"</f>
        <v>CUST#255120/PCT#2</v>
      </c>
    </row>
    <row r="1152" spans="1:8" x14ac:dyDescent="0.25">
      <c r="E1152" t="str">
        <f>"200967843"</f>
        <v>200967843</v>
      </c>
      <c r="F1152" t="str">
        <f>"TICKET#142991/PCT#1"</f>
        <v>TICKET#142991/PCT#1</v>
      </c>
      <c r="G1152" s="5">
        <v>1405.8</v>
      </c>
      <c r="H1152" t="str">
        <f>"TICKET#142991/PCT#1"</f>
        <v>TICKET#142991/PCT#1</v>
      </c>
    </row>
    <row r="1153" spans="1:8" x14ac:dyDescent="0.25">
      <c r="A1153" t="s">
        <v>376</v>
      </c>
      <c r="B1153">
        <v>136463</v>
      </c>
      <c r="C1153" s="5">
        <v>1588.8</v>
      </c>
      <c r="D1153" s="3">
        <v>44403</v>
      </c>
      <c r="E1153" t="str">
        <f>"200969167"</f>
        <v>200969167</v>
      </c>
      <c r="F1153" t="str">
        <f>"CUST#255120/PCT#2"</f>
        <v>CUST#255120/PCT#2</v>
      </c>
      <c r="G1153" s="5">
        <v>1588.8</v>
      </c>
      <c r="H1153" t="str">
        <f>"CUST#255120/PCT#2"</f>
        <v>CUST#255120/PCT#2</v>
      </c>
    </row>
    <row r="1154" spans="1:8" x14ac:dyDescent="0.25">
      <c r="A1154" t="s">
        <v>377</v>
      </c>
      <c r="B1154">
        <v>136282</v>
      </c>
      <c r="C1154" s="5">
        <v>1007.75</v>
      </c>
      <c r="D1154" s="3">
        <v>44389</v>
      </c>
      <c r="E1154" t="str">
        <f>"1CO-2618-12"</f>
        <v>1CO-2618-12</v>
      </c>
      <c r="F1154" t="str">
        <f>"A-8382102/J. GUERRA"</f>
        <v>A-8382102/J. GUERRA</v>
      </c>
      <c r="G1154" s="5">
        <v>114.75</v>
      </c>
      <c r="H1154" t="str">
        <f>"A-8382102/J. GUERRA"</f>
        <v>A-8382102/J. GUERRA</v>
      </c>
    </row>
    <row r="1155" spans="1:8" x14ac:dyDescent="0.25">
      <c r="E1155" t="str">
        <f>"ICO-2406-21"</f>
        <v>ICO-2406-21</v>
      </c>
      <c r="F1155" t="str">
        <f>"A8329899/PHILIP DORMONT"</f>
        <v>A8329899/PHILIP DORMONT</v>
      </c>
      <c r="G1155" s="5">
        <v>157.25</v>
      </c>
      <c r="H1155" t="str">
        <f>"A8329899/PHILIP DORMONT"</f>
        <v>A8329899/PHILIP DORMONT</v>
      </c>
    </row>
    <row r="1156" spans="1:8" x14ac:dyDescent="0.25">
      <c r="E1156" t="str">
        <f>"J2-13214"</f>
        <v>J2-13214</v>
      </c>
      <c r="F1156" t="str">
        <f>"A-13214/KELAN JERMAINE"</f>
        <v>A-13214/KELAN JERMAINE</v>
      </c>
      <c r="G1156" s="5">
        <v>81</v>
      </c>
      <c r="H1156" t="str">
        <f>"A-13214/KELAN JERMAINE"</f>
        <v>A-13214/KELAN JERMAINE</v>
      </c>
    </row>
    <row r="1157" spans="1:8" x14ac:dyDescent="0.25">
      <c r="E1157" t="str">
        <f>"J2-68418"</f>
        <v>J2-68418</v>
      </c>
      <c r="F1157" t="str">
        <f>"A8286545/CARLOS AVINAIN"</f>
        <v>A8286545/CARLOS AVINAIN</v>
      </c>
      <c r="G1157" s="5">
        <v>114.75</v>
      </c>
      <c r="H1157" t="str">
        <f>"A8286545/CARLOS AVINAIN"</f>
        <v>A8286545/CARLOS AVINAIN</v>
      </c>
    </row>
    <row r="1158" spans="1:8" x14ac:dyDescent="0.25">
      <c r="E1158" t="str">
        <f>"J2-69509"</f>
        <v>J2-69509</v>
      </c>
      <c r="F1158" t="str">
        <f>"A-12753/JORGE CARRILLO"</f>
        <v>A-12753/JORGE CARRILLO</v>
      </c>
      <c r="G1158" s="5">
        <v>114.75</v>
      </c>
      <c r="H1158" t="str">
        <f>"A-12753/JORGE CARRILLO"</f>
        <v>A-12753/JORGE CARRILLO</v>
      </c>
    </row>
    <row r="1159" spans="1:8" x14ac:dyDescent="0.25">
      <c r="E1159" t="str">
        <f>"J2-69797"</f>
        <v>J2-69797</v>
      </c>
      <c r="F1159" t="str">
        <f>"A-13212/JEREMY JIMENEZ"</f>
        <v>A-13212/JEREMY JIMENEZ</v>
      </c>
      <c r="G1159" s="5">
        <v>81</v>
      </c>
      <c r="H1159" t="str">
        <f>"A-13212/JEREMY JIMENEZ"</f>
        <v>A-13212/JEREMY JIMENEZ</v>
      </c>
    </row>
    <row r="1160" spans="1:8" x14ac:dyDescent="0.25">
      <c r="E1160" t="str">
        <f>"j2-69818"</f>
        <v>j2-69818</v>
      </c>
      <c r="F1160" t="str">
        <f>"A8353814/DAKOTA CAMPBELL"</f>
        <v>A8353814/DAKOTA CAMPBELL</v>
      </c>
      <c r="G1160" s="5">
        <v>114.75</v>
      </c>
      <c r="H1160" t="str">
        <f>"A8353814/DAKOTA CAMPBELL"</f>
        <v>A8353814/DAKOTA CAMPBELL</v>
      </c>
    </row>
    <row r="1161" spans="1:8" x14ac:dyDescent="0.25">
      <c r="E1161" t="str">
        <f>"J2-69965"</f>
        <v>J2-69965</v>
      </c>
      <c r="F1161" t="str">
        <f>"A83232162/RACHEL FILOR"</f>
        <v>A83232162/RACHEL FILOR</v>
      </c>
      <c r="G1161" s="5">
        <v>114.75</v>
      </c>
      <c r="H1161" t="str">
        <f>"A83232162/RACHEL FILOR"</f>
        <v>A83232162/RACHEL FILOR</v>
      </c>
    </row>
    <row r="1162" spans="1:8" x14ac:dyDescent="0.25">
      <c r="E1162" t="str">
        <f>"J2-69967"</f>
        <v>J2-69967</v>
      </c>
      <c r="F1162" t="str">
        <f>"A8329240/LAUREN FILOR"</f>
        <v>A8329240/LAUREN FILOR</v>
      </c>
      <c r="G1162" s="5">
        <v>114.75</v>
      </c>
      <c r="H1162" t="str">
        <f>"A8329240/LAUREN FILOR"</f>
        <v>A8329240/LAUREN FILOR</v>
      </c>
    </row>
    <row r="1163" spans="1:8" x14ac:dyDescent="0.25">
      <c r="A1163" t="s">
        <v>377</v>
      </c>
      <c r="B1163">
        <v>136464</v>
      </c>
      <c r="C1163" s="5">
        <v>930.75</v>
      </c>
      <c r="D1163" s="3">
        <v>44403</v>
      </c>
      <c r="E1163" t="str">
        <f>"1C0-2811-21"</f>
        <v>1C0-2811-21</v>
      </c>
      <c r="F1163" t="str">
        <f>"A8382144/VIKTORIA HAIDE"</f>
        <v>A8382144/VIKTORIA HAIDE</v>
      </c>
      <c r="G1163" s="5">
        <v>157.25</v>
      </c>
      <c r="H1163" t="str">
        <f>"A8382144/VIKTORIA HAIDE"</f>
        <v>A8382144/VIKTORIA HAIDE</v>
      </c>
    </row>
    <row r="1164" spans="1:8" x14ac:dyDescent="0.25">
      <c r="E1164" t="str">
        <f>"ICO-0705-21"</f>
        <v>ICO-0705-21</v>
      </c>
      <c r="F1164" t="str">
        <f>"A8361116/GERMAN MORALES"</f>
        <v>A8361116/GERMAN MORALES</v>
      </c>
      <c r="G1164" s="5">
        <v>114.75</v>
      </c>
      <c r="H1164" t="str">
        <f>"A8361116/GERMAN MORALES"</f>
        <v>A8361116/GERMAN MORALES</v>
      </c>
    </row>
    <row r="1165" spans="1:8" x14ac:dyDescent="0.25">
      <c r="E1165" t="str">
        <f>"ICO-2368-21"</f>
        <v>ICO-2368-21</v>
      </c>
      <c r="F1165" t="str">
        <f>"A8329898/BENJAMIN RUGGIERO"</f>
        <v>A8329898/BENJAMIN RUGGIERO</v>
      </c>
      <c r="G1165" s="5">
        <v>157.25</v>
      </c>
      <c r="H1165" t="str">
        <f>"A8329898/BENJAMIN RUGGIERO"</f>
        <v>A8329898/BENJAMIN RUGGIERO</v>
      </c>
    </row>
    <row r="1166" spans="1:8" x14ac:dyDescent="0.25">
      <c r="E1166" t="str">
        <f>"J2-70105"</f>
        <v>J2-70105</v>
      </c>
      <c r="F1166" t="str">
        <f>"A8382106/NICHOLAS CLAYBURN"</f>
        <v>A8382106/NICHOLAS CLAYBURN</v>
      </c>
      <c r="G1166" s="5">
        <v>157.25</v>
      </c>
      <c r="H1166" t="str">
        <f>"A8382106/NICHOLAS CLAYBURN"</f>
        <v>A8382106/NICHOLAS CLAYBURN</v>
      </c>
    </row>
    <row r="1167" spans="1:8" x14ac:dyDescent="0.25">
      <c r="E1167" t="str">
        <f>"J2-70223"</f>
        <v>J2-70223</v>
      </c>
      <c r="F1167" t="str">
        <f>"A8382109/JESUS GUTIERREZ"</f>
        <v>A8382109/JESUS GUTIERREZ</v>
      </c>
      <c r="G1167" s="5">
        <v>114.75</v>
      </c>
      <c r="H1167" t="str">
        <f>"A8382109/JESUS GUTIERREZ"</f>
        <v>A8382109/JESUS GUTIERREZ</v>
      </c>
    </row>
    <row r="1168" spans="1:8" x14ac:dyDescent="0.25">
      <c r="E1168" t="str">
        <f>"J2-70224"</f>
        <v>J2-70224</v>
      </c>
      <c r="F1168" t="str">
        <f>"A8382147/KATHY MARBURGER"</f>
        <v>A8382147/KATHY MARBURGER</v>
      </c>
      <c r="G1168" s="5">
        <v>114.75</v>
      </c>
      <c r="H1168" t="str">
        <f>"A8382147/KATHY MARBURGER"</f>
        <v>A8382147/KATHY MARBURGER</v>
      </c>
    </row>
    <row r="1169" spans="1:8" x14ac:dyDescent="0.25">
      <c r="E1169" t="str">
        <f>"J2-70225"</f>
        <v>J2-70225</v>
      </c>
      <c r="F1169" t="str">
        <f>"A8382745/ADAM AGUILAR"</f>
        <v>A8382745/ADAM AGUILAR</v>
      </c>
      <c r="G1169" s="5">
        <v>114.75</v>
      </c>
      <c r="H1169" t="str">
        <f>"A8382745/ADAM AGUILAR"</f>
        <v>A8382745/ADAM AGUILAR</v>
      </c>
    </row>
    <row r="1170" spans="1:8" x14ac:dyDescent="0.25">
      <c r="A1170" t="s">
        <v>378</v>
      </c>
      <c r="B1170">
        <v>4727</v>
      </c>
      <c r="C1170" s="5">
        <v>1643.5</v>
      </c>
      <c r="D1170" s="3">
        <v>44390</v>
      </c>
      <c r="E1170" t="str">
        <f>"230605"</f>
        <v>230605</v>
      </c>
      <c r="F1170" t="str">
        <f>"ACCT#188757/PCT#4"</f>
        <v>ACCT#188757/PCT#4</v>
      </c>
      <c r="G1170" s="5">
        <v>95.5</v>
      </c>
      <c r="H1170" t="str">
        <f>"ACCT#188757/PCT#4"</f>
        <v>ACCT#188757/PCT#4</v>
      </c>
    </row>
    <row r="1171" spans="1:8" x14ac:dyDescent="0.25">
      <c r="E1171" t="str">
        <f>"230618"</f>
        <v>230618</v>
      </c>
      <c r="F1171" t="str">
        <f>"SCCT#188757/HEALTH DEPT."</f>
        <v>SCCT#188757/HEALTH DEPT.</v>
      </c>
      <c r="G1171" s="5">
        <v>69</v>
      </c>
      <c r="H1171" t="str">
        <f>"SCCT#188757/HEALTH DEPT."</f>
        <v>SCCT#188757/HEALTH DEPT.</v>
      </c>
    </row>
    <row r="1172" spans="1:8" x14ac:dyDescent="0.25">
      <c r="E1172" t="str">
        <f>"230799"</f>
        <v>230799</v>
      </c>
      <c r="F1172" t="str">
        <f>"ACCT#188757/TAX OFFICE"</f>
        <v>ACCT#188757/TAX OFFICE</v>
      </c>
      <c r="G1172" s="5">
        <v>102</v>
      </c>
      <c r="H1172" t="str">
        <f>"ACCT#188757/TAX OFFICE"</f>
        <v>ACCT#188757/TAX OFFICE</v>
      </c>
    </row>
    <row r="1173" spans="1:8" x14ac:dyDescent="0.25">
      <c r="E1173" t="str">
        <f>"231353"</f>
        <v>231353</v>
      </c>
      <c r="F1173" t="str">
        <f>"ACCT#188757/JUVENILE PROBATION"</f>
        <v>ACCT#188757/JUVENILE PROBATION</v>
      </c>
      <c r="G1173" s="5">
        <v>132</v>
      </c>
      <c r="H1173" t="str">
        <f>"ACCT#188757/JUVENILE PROBATION"</f>
        <v>ACCT#188757/JUVENILE PROBATION</v>
      </c>
    </row>
    <row r="1174" spans="1:8" x14ac:dyDescent="0.25">
      <c r="E1174" t="str">
        <f>"231388"</f>
        <v>231388</v>
      </c>
      <c r="F1174" t="str">
        <f>"ACCT#188757/EXTENSION HABITAT"</f>
        <v>ACCT#188757/EXTENSION HABITAT</v>
      </c>
      <c r="G1174" s="5">
        <v>89</v>
      </c>
      <c r="H1174" t="str">
        <f>"ACCT#188757/EXTENSION HABITAT"</f>
        <v>ACCT#188757/EXTENSION HABITAT</v>
      </c>
    </row>
    <row r="1175" spans="1:8" x14ac:dyDescent="0.25">
      <c r="E1175" t="str">
        <f>"231408"</f>
        <v>231408</v>
      </c>
      <c r="F1175" t="str">
        <f>"ACCT#188757/HISTORIC JAIL"</f>
        <v>ACCT#188757/HISTORIC JAIL</v>
      </c>
      <c r="G1175" s="5">
        <v>76</v>
      </c>
      <c r="H1175" t="str">
        <f>"ACCT#188757/HISTORIC JAIL"</f>
        <v>ACCT#188757/HISTORIC JAIL</v>
      </c>
    </row>
    <row r="1176" spans="1:8" x14ac:dyDescent="0.25">
      <c r="E1176" t="str">
        <f>"231464"</f>
        <v>231464</v>
      </c>
      <c r="F1176" t="str">
        <f>"ACCT#188757/COURTHOUSE"</f>
        <v>ACCT#188757/COURTHOUSE</v>
      </c>
      <c r="G1176" s="5">
        <v>594</v>
      </c>
      <c r="H1176" t="str">
        <f>"ACCT#188757/COURTHOUSE"</f>
        <v>ACCT#188757/COURTHOUSE</v>
      </c>
    </row>
    <row r="1177" spans="1:8" x14ac:dyDescent="0.25">
      <c r="E1177" t="str">
        <f>"233438"</f>
        <v>233438</v>
      </c>
      <c r="F1177" t="str">
        <f>"ACCT#188757/COURTHOUSE"</f>
        <v>ACCT#188757/COURTHOUSE</v>
      </c>
      <c r="G1177" s="5">
        <v>486</v>
      </c>
      <c r="H1177" t="str">
        <f>"ACCT#188757/COURTHOUSE"</f>
        <v>ACCT#188757/COURTHOUSE</v>
      </c>
    </row>
    <row r="1178" spans="1:8" x14ac:dyDescent="0.25">
      <c r="A1178" t="s">
        <v>378</v>
      </c>
      <c r="B1178">
        <v>4809</v>
      </c>
      <c r="C1178" s="5">
        <v>586</v>
      </c>
      <c r="D1178" s="3">
        <v>44404</v>
      </c>
      <c r="E1178" t="str">
        <f>"234874"</f>
        <v>234874</v>
      </c>
      <c r="F1178" t="str">
        <f>"CUST#188757/ANIMAL SHELTER"</f>
        <v>CUST#188757/ANIMAL SHELTER</v>
      </c>
      <c r="G1178" s="5">
        <v>290</v>
      </c>
      <c r="H1178" t="str">
        <f>"CUST#188757/ANIMAL SHELTER"</f>
        <v>CUST#188757/ANIMAL SHELTER</v>
      </c>
    </row>
    <row r="1179" spans="1:8" x14ac:dyDescent="0.25">
      <c r="E1179" t="str">
        <f>"234884"</f>
        <v>234884</v>
      </c>
      <c r="F1179" t="str">
        <f>"ACCT#188757/DPS/TDL"</f>
        <v>ACCT#188757/DPS/TDL</v>
      </c>
      <c r="G1179" s="5">
        <v>76</v>
      </c>
      <c r="H1179" t="str">
        <f>"ACCT#188757/DPS/TDL"</f>
        <v>ACCT#188757/DPS/TDL</v>
      </c>
    </row>
    <row r="1180" spans="1:8" x14ac:dyDescent="0.25">
      <c r="E1180" t="str">
        <f>"234999"</f>
        <v>234999</v>
      </c>
      <c r="F1180" t="str">
        <f>"ACCT#188757/CEDAR CREEK PARK"</f>
        <v>ACCT#188757/CEDAR CREEK PARK</v>
      </c>
      <c r="G1180" s="5">
        <v>125</v>
      </c>
      <c r="H1180" t="str">
        <f>"ACCT#188757/CEDAR CREEK PARK"</f>
        <v>ACCT#188757/CEDAR CREEK PARK</v>
      </c>
    </row>
    <row r="1181" spans="1:8" x14ac:dyDescent="0.25">
      <c r="E1181" t="str">
        <f>"235804"</f>
        <v>235804</v>
      </c>
      <c r="F1181" t="str">
        <f>"ACCT#188757/STONY POINT PARK"</f>
        <v>ACCT#188757/STONY POINT PARK</v>
      </c>
      <c r="G1181" s="5">
        <v>95</v>
      </c>
      <c r="H1181" t="str">
        <f>"ACCT#188757/STONY POINT PARK"</f>
        <v>ACCT#188757/STONY POINT PARK</v>
      </c>
    </row>
    <row r="1182" spans="1:8" x14ac:dyDescent="0.25">
      <c r="A1182" t="s">
        <v>379</v>
      </c>
      <c r="B1182">
        <v>4803</v>
      </c>
      <c r="C1182" s="5">
        <v>1600</v>
      </c>
      <c r="D1182" s="3">
        <v>44404</v>
      </c>
      <c r="E1182" t="str">
        <f>"202107154555"</f>
        <v>202107154555</v>
      </c>
      <c r="F1182" t="str">
        <f>"57-254 312102018"</f>
        <v>57-254 312102018</v>
      </c>
      <c r="G1182" s="5">
        <v>500</v>
      </c>
      <c r="H1182" t="str">
        <f>"57-254 312102018"</f>
        <v>57-254 312102018</v>
      </c>
    </row>
    <row r="1183" spans="1:8" x14ac:dyDescent="0.25">
      <c r="E1183" t="str">
        <f>"202107154556"</f>
        <v>202107154556</v>
      </c>
      <c r="F1183" t="str">
        <f>"57-058 02-08182"</f>
        <v>57-058 02-08182</v>
      </c>
      <c r="G1183" s="5">
        <v>375</v>
      </c>
      <c r="H1183" t="str">
        <f>"57-058 02-08182"</f>
        <v>57-058 02-08182</v>
      </c>
    </row>
    <row r="1184" spans="1:8" x14ac:dyDescent="0.25">
      <c r="E1184" t="str">
        <f>"202107154557"</f>
        <v>202107154557</v>
      </c>
      <c r="F1184" t="str">
        <f>"57-045 56-499"</f>
        <v>57-045 56-499</v>
      </c>
      <c r="G1184" s="5">
        <v>375</v>
      </c>
      <c r="H1184" t="str">
        <f>"57-045 56-499"</f>
        <v>57-045 56-499</v>
      </c>
    </row>
    <row r="1185" spans="1:8" x14ac:dyDescent="0.25">
      <c r="E1185" t="str">
        <f>"202107154558"</f>
        <v>202107154558</v>
      </c>
      <c r="F1185" t="str">
        <f>"56-157"</f>
        <v>56-157</v>
      </c>
      <c r="G1185" s="5">
        <v>250</v>
      </c>
      <c r="H1185" t="str">
        <f>"56-157"</f>
        <v>56-157</v>
      </c>
    </row>
    <row r="1186" spans="1:8" x14ac:dyDescent="0.25">
      <c r="E1186" t="str">
        <f>"202107154559"</f>
        <v>202107154559</v>
      </c>
      <c r="F1186" t="str">
        <f>"57-475"</f>
        <v>57-475</v>
      </c>
      <c r="G1186" s="5">
        <v>100</v>
      </c>
      <c r="H1186" t="str">
        <f>"57-475"</f>
        <v>57-475</v>
      </c>
    </row>
    <row r="1187" spans="1:8" x14ac:dyDescent="0.25">
      <c r="A1187" t="s">
        <v>380</v>
      </c>
      <c r="B1187">
        <v>136465</v>
      </c>
      <c r="C1187" s="5">
        <v>370</v>
      </c>
      <c r="D1187" s="3">
        <v>44403</v>
      </c>
      <c r="E1187" t="str">
        <f>"504896"</f>
        <v>504896</v>
      </c>
      <c r="F1187" t="str">
        <f>"INV 504896 / 885568"</f>
        <v>INV 504896 / 885568</v>
      </c>
      <c r="G1187" s="5">
        <v>370</v>
      </c>
      <c r="H1187" t="str">
        <f>"INV 504896"</f>
        <v>INV 504896</v>
      </c>
    </row>
    <row r="1188" spans="1:8" x14ac:dyDescent="0.25">
      <c r="E1188" t="str">
        <f>""</f>
        <v/>
      </c>
      <c r="F1188" t="str">
        <f>""</f>
        <v/>
      </c>
      <c r="H1188" t="str">
        <f>"INV 885568"</f>
        <v>INV 885568</v>
      </c>
    </row>
    <row r="1189" spans="1:8" x14ac:dyDescent="0.25">
      <c r="A1189" t="s">
        <v>381</v>
      </c>
      <c r="B1189">
        <v>4793</v>
      </c>
      <c r="C1189" s="5">
        <v>1800</v>
      </c>
      <c r="D1189" s="3">
        <v>44404</v>
      </c>
      <c r="E1189" t="str">
        <f>"202107134528"</f>
        <v>202107134528</v>
      </c>
      <c r="F1189" t="str">
        <f>"02-0622.5 C170035"</f>
        <v>02-0622.5 C170035</v>
      </c>
      <c r="G1189" s="5">
        <v>600</v>
      </c>
      <c r="H1189" t="str">
        <f>"02-0622.5 C170035"</f>
        <v>02-0622.5 C170035</v>
      </c>
    </row>
    <row r="1190" spans="1:8" x14ac:dyDescent="0.25">
      <c r="E1190" t="str">
        <f>"202107194620"</f>
        <v>202107194620</v>
      </c>
      <c r="F1190" t="str">
        <f>"16-989 16-990"</f>
        <v>16-989 16-990</v>
      </c>
      <c r="G1190" s="5">
        <v>1200</v>
      </c>
      <c r="H1190" t="str">
        <f>"16-989 16-990"</f>
        <v>16-989 16-990</v>
      </c>
    </row>
    <row r="1191" spans="1:8" x14ac:dyDescent="0.25">
      <c r="A1191" t="s">
        <v>382</v>
      </c>
      <c r="B1191">
        <v>136466</v>
      </c>
      <c r="C1191" s="5">
        <v>250</v>
      </c>
      <c r="D1191" s="3">
        <v>44403</v>
      </c>
      <c r="E1191" t="str">
        <f>"13-607"</f>
        <v>13-607</v>
      </c>
      <c r="F1191" t="str">
        <f>"RESTITUTION/MARGARET HILL"</f>
        <v>RESTITUTION/MARGARET HILL</v>
      </c>
      <c r="G1191" s="5">
        <v>250</v>
      </c>
      <c r="H1191" t="str">
        <f>"RESTITUTION/MARGARET HILL"</f>
        <v>RESTITUTION/MARGARET HILL</v>
      </c>
    </row>
    <row r="1192" spans="1:8" x14ac:dyDescent="0.25">
      <c r="A1192" t="s">
        <v>383</v>
      </c>
      <c r="B1192">
        <v>136467</v>
      </c>
      <c r="C1192" s="5">
        <v>828.07</v>
      </c>
      <c r="D1192" s="3">
        <v>44403</v>
      </c>
      <c r="E1192" t="str">
        <f>"844605002"</f>
        <v>844605002</v>
      </c>
      <c r="F1192" t="str">
        <f>"ACCT#1000310962/ONLINE SOFTWAR"</f>
        <v>ACCT#1000310962/ONLINE SOFTWAR</v>
      </c>
      <c r="G1192" s="5">
        <v>828.07</v>
      </c>
      <c r="H1192" t="str">
        <f>"ACCT#1000310962/ONLINE SOFTWAR"</f>
        <v>ACCT#1000310962/ONLINE SOFTWAR</v>
      </c>
    </row>
    <row r="1193" spans="1:8" x14ac:dyDescent="0.25">
      <c r="A1193" t="s">
        <v>384</v>
      </c>
      <c r="B1193">
        <v>4760</v>
      </c>
      <c r="C1193" s="5">
        <v>120</v>
      </c>
      <c r="D1193" s="3">
        <v>44390</v>
      </c>
      <c r="E1193" t="str">
        <f>"202106304221"</f>
        <v>202106304221</v>
      </c>
      <c r="F1193" t="str">
        <f>"TRAVEL ADVANCE/TIM SPARKMAN"</f>
        <v>TRAVEL ADVANCE/TIM SPARKMAN</v>
      </c>
      <c r="G1193" s="5">
        <v>120</v>
      </c>
      <c r="H1193" t="str">
        <f>"TRAVEL ADVANCE/TIM SPARKMAN"</f>
        <v>TRAVEL ADVANCE/TIM SPARKMAN</v>
      </c>
    </row>
    <row r="1194" spans="1:8" x14ac:dyDescent="0.25">
      <c r="A1194" t="s">
        <v>385</v>
      </c>
      <c r="B1194">
        <v>136283</v>
      </c>
      <c r="C1194" s="5">
        <v>647.41</v>
      </c>
      <c r="D1194" s="3">
        <v>44389</v>
      </c>
      <c r="E1194" t="str">
        <f>"202107064349"</f>
        <v>202107064349</v>
      </c>
      <c r="F1194" t="str">
        <f>"ACCT#8260160170167100"</f>
        <v>ACCT#8260160170167100</v>
      </c>
      <c r="G1194" s="5">
        <v>2.94</v>
      </c>
      <c r="H1194" t="str">
        <f>"ACCT#8260160170167100"</f>
        <v>ACCT#8260160170167100</v>
      </c>
    </row>
    <row r="1195" spans="1:8" x14ac:dyDescent="0.25">
      <c r="E1195" t="str">
        <f>"202107064350"</f>
        <v>202107064350</v>
      </c>
      <c r="F1195" t="str">
        <f>"ACCT#8260160170167100"</f>
        <v>ACCT#8260160170167100</v>
      </c>
      <c r="G1195" s="5">
        <v>644.47</v>
      </c>
      <c r="H1195" t="str">
        <f>"ACCT#8260160170167100"</f>
        <v>ACCT#8260160170167100</v>
      </c>
    </row>
    <row r="1196" spans="1:8" x14ac:dyDescent="0.25">
      <c r="A1196" t="s">
        <v>385</v>
      </c>
      <c r="B1196">
        <v>136468</v>
      </c>
      <c r="C1196" s="5">
        <v>3735.06</v>
      </c>
      <c r="D1196" s="3">
        <v>44403</v>
      </c>
      <c r="E1196" t="str">
        <f>"0164314070921"</f>
        <v>0164314070921</v>
      </c>
      <c r="F1196" t="str">
        <f>"ACCT#8260161110164314"</f>
        <v>ACCT#8260161110164314</v>
      </c>
      <c r="G1196" s="5">
        <v>668.89</v>
      </c>
      <c r="H1196" t="str">
        <f>"ACCT#8260161110164314"</f>
        <v>ACCT#8260161110164314</v>
      </c>
    </row>
    <row r="1197" spans="1:8" x14ac:dyDescent="0.25">
      <c r="E1197" t="str">
        <f>"202107204659"</f>
        <v>202107204659</v>
      </c>
      <c r="F1197" t="str">
        <f>"ACCT#8260163000003669"</f>
        <v>ACCT#8260163000003669</v>
      </c>
      <c r="G1197" s="5">
        <v>3066.17</v>
      </c>
      <c r="H1197" t="str">
        <f>"ACCT#8260163000003669"</f>
        <v>ACCT#8260163000003669</v>
      </c>
    </row>
    <row r="1198" spans="1:8" x14ac:dyDescent="0.25">
      <c r="E1198" t="str">
        <f>""</f>
        <v/>
      </c>
      <c r="F1198" t="str">
        <f>""</f>
        <v/>
      </c>
      <c r="H1198" t="str">
        <f>"ACCT#8260163000003669"</f>
        <v>ACCT#8260163000003669</v>
      </c>
    </row>
    <row r="1199" spans="1:8" x14ac:dyDescent="0.25">
      <c r="A1199" t="s">
        <v>386</v>
      </c>
      <c r="B1199">
        <v>136284</v>
      </c>
      <c r="C1199" s="5">
        <v>1501</v>
      </c>
      <c r="D1199" s="3">
        <v>44389</v>
      </c>
      <c r="E1199" t="str">
        <f>"033232"</f>
        <v>033232</v>
      </c>
      <c r="F1199" t="str">
        <f>"CUST#00017525/DRUM LINER"</f>
        <v>CUST#00017525/DRUM LINER</v>
      </c>
      <c r="G1199" s="5">
        <v>647.5</v>
      </c>
      <c r="H1199" t="str">
        <f>"CUST#00017525/DRUM LINER"</f>
        <v>CUST#00017525/DRUM LINER</v>
      </c>
    </row>
    <row r="1200" spans="1:8" x14ac:dyDescent="0.25">
      <c r="E1200" t="str">
        <f>"033261"</f>
        <v>033261</v>
      </c>
      <c r="F1200" t="str">
        <f>"CUST#0001725/GENERAL SVCS"</f>
        <v>CUST#0001725/GENERAL SVCS</v>
      </c>
      <c r="G1200" s="5">
        <v>853.5</v>
      </c>
      <c r="H1200" t="str">
        <f>"CUST#0001725/GENERAL SVCS"</f>
        <v>CUST#0001725/GENERAL SVCS</v>
      </c>
    </row>
    <row r="1201" spans="1:8" x14ac:dyDescent="0.25">
      <c r="A1201" t="s">
        <v>387</v>
      </c>
      <c r="B1201">
        <v>136469</v>
      </c>
      <c r="C1201" s="5">
        <v>1095</v>
      </c>
      <c r="D1201" s="3">
        <v>44403</v>
      </c>
      <c r="E1201" t="str">
        <f>"202107204719"</f>
        <v>202107204719</v>
      </c>
      <c r="F1201" t="str">
        <f>"TRAINING"</f>
        <v>TRAINING</v>
      </c>
      <c r="G1201" s="5">
        <v>1095</v>
      </c>
      <c r="H1201" t="str">
        <f>"TRAIN - J. DAVENPORT"</f>
        <v>TRAIN - J. DAVENPORT</v>
      </c>
    </row>
    <row r="1202" spans="1:8" x14ac:dyDescent="0.25">
      <c r="E1202" t="str">
        <f>""</f>
        <v/>
      </c>
      <c r="F1202" t="str">
        <f>""</f>
        <v/>
      </c>
      <c r="H1202" t="str">
        <f>"TRAIN -  A. BERGER"</f>
        <v>TRAIN -  A. BERGER</v>
      </c>
    </row>
    <row r="1203" spans="1:8" x14ac:dyDescent="0.25">
      <c r="E1203" t="str">
        <f>""</f>
        <v/>
      </c>
      <c r="F1203" t="str">
        <f>""</f>
        <v/>
      </c>
      <c r="H1203" t="str">
        <f>"TRAIN - R. MCMILLAN"</f>
        <v>TRAIN - R. MCMILLAN</v>
      </c>
    </row>
    <row r="1204" spans="1:8" x14ac:dyDescent="0.25">
      <c r="A1204" t="s">
        <v>388</v>
      </c>
      <c r="B1204">
        <v>136285</v>
      </c>
      <c r="C1204" s="5">
        <v>105</v>
      </c>
      <c r="D1204" s="3">
        <v>44389</v>
      </c>
      <c r="E1204" t="str">
        <f>"202107074402"</f>
        <v>202107074402</v>
      </c>
      <c r="F1204" t="str">
        <f>"REIMBURSEMENT/TOMMY"</f>
        <v>REIMBURSEMENT/TOMMY</v>
      </c>
      <c r="G1204" s="5">
        <v>105</v>
      </c>
      <c r="H1204" t="str">
        <f>"REIMBURSEMENT/TOMMY"</f>
        <v>REIMBURSEMENT/TOMMY</v>
      </c>
    </row>
    <row r="1205" spans="1:8" x14ac:dyDescent="0.25">
      <c r="A1205" t="s">
        <v>389</v>
      </c>
      <c r="B1205">
        <v>136286</v>
      </c>
      <c r="C1205" s="5">
        <v>530.33000000000004</v>
      </c>
      <c r="D1205" s="3">
        <v>44389</v>
      </c>
      <c r="E1205" t="str">
        <f>"202106294211"</f>
        <v>202106294211</v>
      </c>
      <c r="F1205" t="str">
        <f>"Statement"</f>
        <v>Statement</v>
      </c>
      <c r="G1205" s="5">
        <v>530.33000000000004</v>
      </c>
      <c r="H1205" t="str">
        <f>"100707989"</f>
        <v>100707989</v>
      </c>
    </row>
    <row r="1206" spans="1:8" x14ac:dyDescent="0.25">
      <c r="E1206" t="str">
        <f>""</f>
        <v/>
      </c>
      <c r="F1206" t="str">
        <f>""</f>
        <v/>
      </c>
      <c r="H1206" t="str">
        <f>"300697651"</f>
        <v>300697651</v>
      </c>
    </row>
    <row r="1207" spans="1:8" x14ac:dyDescent="0.25">
      <c r="A1207" t="s">
        <v>390</v>
      </c>
      <c r="B1207">
        <v>136287</v>
      </c>
      <c r="C1207" s="5">
        <v>155</v>
      </c>
      <c r="D1207" s="3">
        <v>44389</v>
      </c>
      <c r="E1207" t="str">
        <f>"13289"</f>
        <v>13289</v>
      </c>
      <c r="F1207" t="str">
        <f t="shared" ref="F1207:F1216" si="17">"SERVICE"</f>
        <v>SERVICE</v>
      </c>
      <c r="G1207" s="5">
        <v>75</v>
      </c>
      <c r="H1207" t="str">
        <f t="shared" ref="H1207:H1216" si="18">"SERVICE"</f>
        <v>SERVICE</v>
      </c>
    </row>
    <row r="1208" spans="1:8" x14ac:dyDescent="0.25">
      <c r="E1208" t="str">
        <f>"13617"</f>
        <v>13617</v>
      </c>
      <c r="F1208" t="str">
        <f t="shared" si="17"/>
        <v>SERVICE</v>
      </c>
      <c r="G1208" s="5">
        <v>80</v>
      </c>
      <c r="H1208" t="str">
        <f t="shared" si="18"/>
        <v>SERVICE</v>
      </c>
    </row>
    <row r="1209" spans="1:8" x14ac:dyDescent="0.25">
      <c r="A1209" t="s">
        <v>390</v>
      </c>
      <c r="B1209">
        <v>136470</v>
      </c>
      <c r="C1209" s="5">
        <v>1280</v>
      </c>
      <c r="D1209" s="3">
        <v>44403</v>
      </c>
      <c r="E1209" t="str">
        <f>"11-328 5-19-21"</f>
        <v>11-328 5-19-21</v>
      </c>
      <c r="F1209" t="str">
        <f t="shared" si="17"/>
        <v>SERVICE</v>
      </c>
      <c r="G1209" s="5">
        <v>50</v>
      </c>
      <c r="H1209" t="str">
        <f t="shared" si="18"/>
        <v>SERVICE</v>
      </c>
    </row>
    <row r="1210" spans="1:8" x14ac:dyDescent="0.25">
      <c r="E1210" t="str">
        <f>"12330"</f>
        <v>12330</v>
      </c>
      <c r="F1210" t="str">
        <f t="shared" si="17"/>
        <v>SERVICE</v>
      </c>
      <c r="G1210" s="5">
        <v>300</v>
      </c>
      <c r="H1210" t="str">
        <f t="shared" si="18"/>
        <v>SERVICE</v>
      </c>
    </row>
    <row r="1211" spans="1:8" x14ac:dyDescent="0.25">
      <c r="E1211" t="str">
        <f>"12738"</f>
        <v>12738</v>
      </c>
      <c r="F1211" t="str">
        <f t="shared" si="17"/>
        <v>SERVICE</v>
      </c>
      <c r="G1211" s="5">
        <v>225</v>
      </c>
      <c r="H1211" t="str">
        <f t="shared" si="18"/>
        <v>SERVICE</v>
      </c>
    </row>
    <row r="1212" spans="1:8" x14ac:dyDescent="0.25">
      <c r="E1212" t="str">
        <f>"12917"</f>
        <v>12917</v>
      </c>
      <c r="F1212" t="str">
        <f t="shared" si="17"/>
        <v>SERVICE</v>
      </c>
      <c r="G1212" s="5">
        <v>150</v>
      </c>
      <c r="H1212" t="str">
        <f t="shared" si="18"/>
        <v>SERVICE</v>
      </c>
    </row>
    <row r="1213" spans="1:8" x14ac:dyDescent="0.25">
      <c r="E1213" t="str">
        <f>"12926"</f>
        <v>12926</v>
      </c>
      <c r="F1213" t="str">
        <f t="shared" si="17"/>
        <v>SERVICE</v>
      </c>
      <c r="G1213" s="5">
        <v>75</v>
      </c>
      <c r="H1213" t="str">
        <f t="shared" si="18"/>
        <v>SERVICE</v>
      </c>
    </row>
    <row r="1214" spans="1:8" x14ac:dyDescent="0.25">
      <c r="E1214" t="str">
        <f>"13406"</f>
        <v>13406</v>
      </c>
      <c r="F1214" t="str">
        <f t="shared" si="17"/>
        <v>SERVICE</v>
      </c>
      <c r="G1214" s="5">
        <v>160</v>
      </c>
      <c r="H1214" t="str">
        <f t="shared" si="18"/>
        <v>SERVICE</v>
      </c>
    </row>
    <row r="1215" spans="1:8" x14ac:dyDescent="0.25">
      <c r="E1215" t="str">
        <f>"13694"</f>
        <v>13694</v>
      </c>
      <c r="F1215" t="str">
        <f t="shared" si="17"/>
        <v>SERVICE</v>
      </c>
      <c r="G1215" s="5">
        <v>160</v>
      </c>
      <c r="H1215" t="str">
        <f t="shared" si="18"/>
        <v>SERVICE</v>
      </c>
    </row>
    <row r="1216" spans="1:8" x14ac:dyDescent="0.25">
      <c r="E1216" t="str">
        <f>"13702"</f>
        <v>13702</v>
      </c>
      <c r="F1216" t="str">
        <f t="shared" si="17"/>
        <v>SERVICE</v>
      </c>
      <c r="G1216" s="5">
        <v>160</v>
      </c>
      <c r="H1216" t="str">
        <f t="shared" si="18"/>
        <v>SERVICE</v>
      </c>
    </row>
    <row r="1217" spans="1:8" x14ac:dyDescent="0.25">
      <c r="A1217" t="s">
        <v>391</v>
      </c>
      <c r="B1217">
        <v>136288</v>
      </c>
      <c r="C1217" s="5">
        <v>79.62</v>
      </c>
      <c r="D1217" s="3">
        <v>44389</v>
      </c>
      <c r="E1217" t="str">
        <f>"202107074376"</f>
        <v>202107074376</v>
      </c>
      <c r="F1217" t="str">
        <f>"JAIL MEDICAL"</f>
        <v>JAIL MEDICAL</v>
      </c>
      <c r="G1217" s="5">
        <v>79.62</v>
      </c>
      <c r="H1217" t="str">
        <f>"JAIL MEDICAL"</f>
        <v>JAIL MEDICAL</v>
      </c>
    </row>
    <row r="1218" spans="1:8" x14ac:dyDescent="0.25">
      <c r="A1218" t="s">
        <v>392</v>
      </c>
      <c r="B1218">
        <v>136471</v>
      </c>
      <c r="C1218" s="5">
        <v>38755</v>
      </c>
      <c r="D1218" s="3">
        <v>44403</v>
      </c>
      <c r="E1218" t="str">
        <f>"3300004772"</f>
        <v>3300004772</v>
      </c>
      <c r="F1218" t="str">
        <f>"AUTOPSY/PCT#4"</f>
        <v>AUTOPSY/PCT#4</v>
      </c>
      <c r="G1218" s="5">
        <v>6670</v>
      </c>
      <c r="H1218" t="str">
        <f>"AUTOPSY/PCT#4"</f>
        <v>AUTOPSY/PCT#4</v>
      </c>
    </row>
    <row r="1219" spans="1:8" x14ac:dyDescent="0.25">
      <c r="E1219" t="str">
        <f>"3300004796"</f>
        <v>3300004796</v>
      </c>
      <c r="F1219" t="str">
        <f>"AUTOPSY/PCT#3"</f>
        <v>AUTOPSY/PCT#3</v>
      </c>
      <c r="G1219" s="5">
        <v>16675</v>
      </c>
      <c r="H1219" t="str">
        <f>"AUTOPSY/PCT#3"</f>
        <v>AUTOPSY/PCT#3</v>
      </c>
    </row>
    <row r="1220" spans="1:8" x14ac:dyDescent="0.25">
      <c r="E1220" t="str">
        <f>"3300004806"</f>
        <v>3300004806</v>
      </c>
      <c r="F1220" t="str">
        <f>"AUTOPSY FEE/PCT#2"</f>
        <v>AUTOPSY FEE/PCT#2</v>
      </c>
      <c r="G1220" s="5">
        <v>6670</v>
      </c>
      <c r="H1220" t="str">
        <f>"AUTOPSY FEE/PCT#2"</f>
        <v>AUTOPSY FEE/PCT#2</v>
      </c>
    </row>
    <row r="1221" spans="1:8" x14ac:dyDescent="0.25">
      <c r="E1221" t="str">
        <f>"3300004808"</f>
        <v>3300004808</v>
      </c>
      <c r="F1221" t="str">
        <f>"AUTOPSY/PCT#4"</f>
        <v>AUTOPSY/PCT#4</v>
      </c>
      <c r="G1221" s="5">
        <v>7705</v>
      </c>
      <c r="H1221" t="str">
        <f>"AUTOPSY/PCT#4"</f>
        <v>AUTOPSY/PCT#4</v>
      </c>
    </row>
    <row r="1222" spans="1:8" x14ac:dyDescent="0.25">
      <c r="E1222" t="str">
        <f>"3300004856"</f>
        <v>3300004856</v>
      </c>
      <c r="F1222" t="str">
        <f>"AUTOPSY FEE/PCT#1"</f>
        <v>AUTOPSY FEE/PCT#1</v>
      </c>
      <c r="G1222" s="5">
        <v>1035</v>
      </c>
      <c r="H1222" t="str">
        <f>"AUTOPSY FEE/PCT#1"</f>
        <v>AUTOPSY FEE/PCT#1</v>
      </c>
    </row>
    <row r="1223" spans="1:8" x14ac:dyDescent="0.25">
      <c r="A1223" t="s">
        <v>393</v>
      </c>
      <c r="B1223">
        <v>136306</v>
      </c>
      <c r="C1223" s="5">
        <v>1210.72</v>
      </c>
      <c r="D1223" s="3">
        <v>44391</v>
      </c>
      <c r="E1223" t="str">
        <f>" T72852"</f>
        <v xml:space="preserve"> T72852</v>
      </c>
      <c r="F1223" t="str">
        <f>"BULL ROCK/PCT#1"</f>
        <v>BULL ROCK/PCT#1</v>
      </c>
      <c r="G1223" s="5">
        <v>783.02</v>
      </c>
      <c r="H1223" t="str">
        <f>"TRAVIS MATERIALS GROUP LTD"</f>
        <v>TRAVIS MATERIALS GROUP LTD</v>
      </c>
    </row>
    <row r="1224" spans="1:8" x14ac:dyDescent="0.25">
      <c r="E1224" t="str">
        <f>"T 72932"</f>
        <v>T 72932</v>
      </c>
      <c r="F1224" t="str">
        <f>"BULL ROCK/PCT#1"</f>
        <v>BULL ROCK/PCT#1</v>
      </c>
      <c r="G1224" s="5">
        <v>427.7</v>
      </c>
      <c r="H1224" t="str">
        <f>"BULL ROCK/PCT#1"</f>
        <v>BULL ROCK/PCT#1</v>
      </c>
    </row>
    <row r="1225" spans="1:8" x14ac:dyDescent="0.25">
      <c r="A1225" t="s">
        <v>394</v>
      </c>
      <c r="B1225">
        <v>136289</v>
      </c>
      <c r="C1225" s="5">
        <v>1616.22</v>
      </c>
      <c r="D1225" s="3">
        <v>44389</v>
      </c>
      <c r="E1225" t="str">
        <f>"202107014239"</f>
        <v>202107014239</v>
      </c>
      <c r="F1225" t="str">
        <f>"INDIGENT HEALTH"</f>
        <v>INDIGENT HEALTH</v>
      </c>
      <c r="G1225" s="5">
        <v>1616.22</v>
      </c>
      <c r="H1225" t="str">
        <f>"INDIGENT HEALTH"</f>
        <v>INDIGENT HEALTH</v>
      </c>
    </row>
    <row r="1226" spans="1:8" x14ac:dyDescent="0.25">
      <c r="E1226" t="str">
        <f>""</f>
        <v/>
      </c>
      <c r="F1226" t="str">
        <f>""</f>
        <v/>
      </c>
      <c r="H1226" t="str">
        <f>"INDIGENT HEALTH"</f>
        <v>INDIGENT HEALTH</v>
      </c>
    </row>
    <row r="1227" spans="1:8" x14ac:dyDescent="0.25">
      <c r="A1227" t="s">
        <v>395</v>
      </c>
      <c r="B1227">
        <v>4770</v>
      </c>
      <c r="C1227" s="5">
        <v>1000</v>
      </c>
      <c r="D1227" s="3">
        <v>44390</v>
      </c>
      <c r="E1227" t="str">
        <f>"202106294175"</f>
        <v>202106294175</v>
      </c>
      <c r="F1227" t="str">
        <f>"57-726"</f>
        <v>57-726</v>
      </c>
      <c r="G1227" s="5">
        <v>250</v>
      </c>
      <c r="H1227" t="str">
        <f>"57-726"</f>
        <v>57-726</v>
      </c>
    </row>
    <row r="1228" spans="1:8" x14ac:dyDescent="0.25">
      <c r="E1228" t="str">
        <f>"202106294176"</f>
        <v>202106294176</v>
      </c>
      <c r="F1228" t="str">
        <f>"31008201914"</f>
        <v>31008201914</v>
      </c>
      <c r="G1228" s="5">
        <v>250</v>
      </c>
      <c r="H1228" t="str">
        <f>"31008201914"</f>
        <v>31008201914</v>
      </c>
    </row>
    <row r="1229" spans="1:8" x14ac:dyDescent="0.25">
      <c r="E1229" t="str">
        <f>"202106294177"</f>
        <v>202106294177</v>
      </c>
      <c r="F1229" t="str">
        <f>"57141"</f>
        <v>57141</v>
      </c>
      <c r="G1229" s="5">
        <v>250</v>
      </c>
      <c r="H1229" t="str">
        <f>"57141"</f>
        <v>57141</v>
      </c>
    </row>
    <row r="1230" spans="1:8" x14ac:dyDescent="0.25">
      <c r="E1230" t="str">
        <f>"202106294178"</f>
        <v>202106294178</v>
      </c>
      <c r="F1230" t="str">
        <f>"57064"</f>
        <v>57064</v>
      </c>
      <c r="G1230" s="5">
        <v>250</v>
      </c>
      <c r="H1230" t="str">
        <f>"57064"</f>
        <v>57064</v>
      </c>
    </row>
    <row r="1231" spans="1:8" x14ac:dyDescent="0.25">
      <c r="A1231" t="s">
        <v>395</v>
      </c>
      <c r="B1231">
        <v>4855</v>
      </c>
      <c r="C1231" s="5">
        <v>1400</v>
      </c>
      <c r="D1231" s="3">
        <v>44404</v>
      </c>
      <c r="E1231" t="str">
        <f>"202107154566"</f>
        <v>202107154566</v>
      </c>
      <c r="F1231" t="str">
        <f>"17-102"</f>
        <v>17-102</v>
      </c>
      <c r="G1231" s="5">
        <v>400</v>
      </c>
      <c r="H1231" t="str">
        <f>"17-102"</f>
        <v>17-102</v>
      </c>
    </row>
    <row r="1232" spans="1:8" x14ac:dyDescent="0.25">
      <c r="E1232" t="str">
        <f>"202107154571"</f>
        <v>202107154571</v>
      </c>
      <c r="F1232" t="str">
        <f>"16-121"</f>
        <v>16-121</v>
      </c>
      <c r="G1232" s="5">
        <v>400</v>
      </c>
      <c r="H1232" t="str">
        <f>"16-121"</f>
        <v>16-121</v>
      </c>
    </row>
    <row r="1233" spans="1:8" x14ac:dyDescent="0.25">
      <c r="E1233" t="str">
        <f>"202107154576"</f>
        <v>202107154576</v>
      </c>
      <c r="F1233" t="str">
        <f>"16-847"</f>
        <v>16-847</v>
      </c>
      <c r="G1233" s="5">
        <v>600</v>
      </c>
      <c r="H1233" t="str">
        <f>"16-847"</f>
        <v>16-847</v>
      </c>
    </row>
    <row r="1234" spans="1:8" x14ac:dyDescent="0.25">
      <c r="A1234" t="s">
        <v>396</v>
      </c>
      <c r="B1234">
        <v>4705</v>
      </c>
      <c r="C1234" s="5">
        <v>1010</v>
      </c>
      <c r="D1234" s="3">
        <v>44390</v>
      </c>
      <c r="E1234" t="str">
        <f>"C211720303"</f>
        <v>C211720303</v>
      </c>
      <c r="F1234" t="str">
        <f t="shared" ref="F1234:F1243" si="19">"ACCT#33036/ANIMAL SHELTER"</f>
        <v>ACCT#33036/ANIMAL SHELTER</v>
      </c>
      <c r="G1234" s="5">
        <v>347</v>
      </c>
      <c r="H1234" t="str">
        <f t="shared" ref="H1234:H1243" si="20">"ACCT#33036/ANIMAL SHELTER"</f>
        <v>ACCT#33036/ANIMAL SHELTER</v>
      </c>
    </row>
    <row r="1235" spans="1:8" x14ac:dyDescent="0.25">
      <c r="E1235" t="str">
        <f>"C211740604"</f>
        <v>C211740604</v>
      </c>
      <c r="F1235" t="str">
        <f t="shared" si="19"/>
        <v>ACCT#33036/ANIMAL SHELTER</v>
      </c>
      <c r="G1235" s="5">
        <v>247</v>
      </c>
      <c r="H1235" t="str">
        <f t="shared" si="20"/>
        <v>ACCT#33036/ANIMAL SHELTER</v>
      </c>
    </row>
    <row r="1236" spans="1:8" x14ac:dyDescent="0.25">
      <c r="E1236" t="str">
        <f>"C211790252"</f>
        <v>C211790252</v>
      </c>
      <c r="F1236" t="str">
        <f t="shared" si="19"/>
        <v>ACCT#33036/ANIMAL SHELTER</v>
      </c>
      <c r="G1236" s="5">
        <v>127</v>
      </c>
      <c r="H1236" t="str">
        <f t="shared" si="20"/>
        <v>ACCT#33036/ANIMAL SHELTER</v>
      </c>
    </row>
    <row r="1237" spans="1:8" x14ac:dyDescent="0.25">
      <c r="E1237" t="str">
        <f>"C211790254"</f>
        <v>C211790254</v>
      </c>
      <c r="F1237" t="str">
        <f t="shared" si="19"/>
        <v>ACCT#33036/ANIMAL SHELTER</v>
      </c>
      <c r="G1237" s="5">
        <v>147</v>
      </c>
      <c r="H1237" t="str">
        <f t="shared" si="20"/>
        <v>ACCT#33036/ANIMAL SHELTER</v>
      </c>
    </row>
    <row r="1238" spans="1:8" x14ac:dyDescent="0.25">
      <c r="E1238" t="str">
        <f>"C211870200"</f>
        <v>C211870200</v>
      </c>
      <c r="F1238" t="str">
        <f t="shared" si="19"/>
        <v>ACCT#33036/ANIMAL SHELTER</v>
      </c>
      <c r="G1238" s="5">
        <v>142</v>
      </c>
      <c r="H1238" t="str">
        <f t="shared" si="20"/>
        <v>ACCT#33036/ANIMAL SHELTER</v>
      </c>
    </row>
    <row r="1239" spans="1:8" x14ac:dyDescent="0.25">
      <c r="A1239" t="s">
        <v>396</v>
      </c>
      <c r="B1239">
        <v>4784</v>
      </c>
      <c r="C1239" s="5">
        <v>787</v>
      </c>
      <c r="D1239" s="3">
        <v>44404</v>
      </c>
      <c r="E1239" t="str">
        <f>"21189-0295"</f>
        <v>21189-0295</v>
      </c>
      <c r="F1239" t="str">
        <f t="shared" si="19"/>
        <v>ACCT#33036/ANIMAL SHELTER</v>
      </c>
      <c r="G1239" s="5">
        <v>322</v>
      </c>
      <c r="H1239" t="str">
        <f t="shared" si="20"/>
        <v>ACCT#33036/ANIMAL SHELTER</v>
      </c>
    </row>
    <row r="1240" spans="1:8" x14ac:dyDescent="0.25">
      <c r="E1240" t="str">
        <f>"21190-0301"</f>
        <v>21190-0301</v>
      </c>
      <c r="F1240" t="str">
        <f t="shared" si="19"/>
        <v>ACCT#33036/ANIMAL SHELTER</v>
      </c>
      <c r="G1240" s="5">
        <v>37</v>
      </c>
      <c r="H1240" t="str">
        <f t="shared" si="20"/>
        <v>ACCT#33036/ANIMAL SHELTER</v>
      </c>
    </row>
    <row r="1241" spans="1:8" x14ac:dyDescent="0.25">
      <c r="E1241" t="str">
        <f>"21193-0347"</f>
        <v>21193-0347</v>
      </c>
      <c r="F1241" t="str">
        <f t="shared" si="19"/>
        <v>ACCT#33036/ANIMAL SHELTER</v>
      </c>
      <c r="G1241" s="5">
        <v>107</v>
      </c>
      <c r="H1241" t="str">
        <f t="shared" si="20"/>
        <v>ACCT#33036/ANIMAL SHELTER</v>
      </c>
    </row>
    <row r="1242" spans="1:8" x14ac:dyDescent="0.25">
      <c r="E1242" t="str">
        <f>"21194-0507"</f>
        <v>21194-0507</v>
      </c>
      <c r="F1242" t="str">
        <f t="shared" si="19"/>
        <v>ACCT#33036/ANIMAL SHELTER</v>
      </c>
      <c r="G1242" s="5">
        <v>97</v>
      </c>
      <c r="H1242" t="str">
        <f t="shared" si="20"/>
        <v>ACCT#33036/ANIMAL SHELTER</v>
      </c>
    </row>
    <row r="1243" spans="1:8" x14ac:dyDescent="0.25">
      <c r="E1243" t="str">
        <f>"21196-0587"</f>
        <v>21196-0587</v>
      </c>
      <c r="F1243" t="str">
        <f t="shared" si="19"/>
        <v>ACCT#33036/ANIMAL SHELTER</v>
      </c>
      <c r="G1243" s="5">
        <v>187</v>
      </c>
      <c r="H1243" t="str">
        <f t="shared" si="20"/>
        <v>ACCT#33036/ANIMAL SHELTER</v>
      </c>
    </row>
    <row r="1244" spans="1:8" x14ac:dyDescent="0.25">
      <c r="E1244" t="str">
        <f>"21197-0325"</f>
        <v>21197-0325</v>
      </c>
      <c r="F1244" t="str">
        <f>"ACCT#33036/ANIMAL SERVICES"</f>
        <v>ACCT#33036/ANIMAL SERVICES</v>
      </c>
      <c r="G1244" s="5">
        <v>37</v>
      </c>
      <c r="H1244" t="str">
        <f>"ACCT#33036/ANIMAL SERVICES"</f>
        <v>ACCT#33036/ANIMAL SERVICES</v>
      </c>
    </row>
    <row r="1245" spans="1:8" x14ac:dyDescent="0.25">
      <c r="A1245" t="s">
        <v>397</v>
      </c>
      <c r="B1245">
        <v>136472</v>
      </c>
      <c r="C1245" s="5">
        <v>7401.58</v>
      </c>
      <c r="D1245" s="3">
        <v>44403</v>
      </c>
      <c r="E1245" t="str">
        <f>"020-129174"</f>
        <v>020-129174</v>
      </c>
      <c r="F1245" t="str">
        <f>"CUST#42161/101615"</f>
        <v>CUST#42161/101615</v>
      </c>
      <c r="G1245" s="5">
        <v>590.89</v>
      </c>
      <c r="H1245" t="str">
        <f>"CUST#42161/101615"</f>
        <v>CUST#42161/101615</v>
      </c>
    </row>
    <row r="1246" spans="1:8" x14ac:dyDescent="0.25">
      <c r="E1246" t="str">
        <f>"130-121412"</f>
        <v>130-121412</v>
      </c>
      <c r="F1246" t="str">
        <f>"CUST#42161"</f>
        <v>CUST#42161</v>
      </c>
      <c r="G1246" s="5">
        <v>2499.52</v>
      </c>
      <c r="H1246" t="str">
        <f>"CUST#42161"</f>
        <v>CUST#42161</v>
      </c>
    </row>
    <row r="1247" spans="1:8" x14ac:dyDescent="0.25">
      <c r="E1247" t="str">
        <f>"130-121477"</f>
        <v>130-121477</v>
      </c>
      <c r="F1247" t="str">
        <f>"ORDER#15241"</f>
        <v>ORDER#15241</v>
      </c>
      <c r="G1247" s="5">
        <v>668.53</v>
      </c>
      <c r="H1247" t="str">
        <f>"ORDER#15241"</f>
        <v>ORDER#15241</v>
      </c>
    </row>
    <row r="1248" spans="1:8" x14ac:dyDescent="0.25">
      <c r="E1248" t="str">
        <f>"130-121477-1"</f>
        <v>130-121477-1</v>
      </c>
      <c r="F1248" t="str">
        <f>"ORDER#15241"</f>
        <v>ORDER#15241</v>
      </c>
      <c r="G1248" s="5">
        <v>3642.64</v>
      </c>
      <c r="H1248" t="str">
        <f>"ORDER#15241"</f>
        <v>ORDER#15241</v>
      </c>
    </row>
    <row r="1249" spans="1:8" x14ac:dyDescent="0.25">
      <c r="A1249" t="s">
        <v>398</v>
      </c>
      <c r="B1249">
        <v>4781</v>
      </c>
      <c r="C1249" s="5">
        <v>66.38</v>
      </c>
      <c r="D1249" s="3">
        <v>44404</v>
      </c>
      <c r="E1249" t="str">
        <f>"135940180"</f>
        <v>135940180</v>
      </c>
      <c r="F1249" t="str">
        <f>"INV 135940180"</f>
        <v>INV 135940180</v>
      </c>
      <c r="G1249" s="5">
        <v>66.38</v>
      </c>
      <c r="H1249" t="str">
        <f>"INV 135940180"</f>
        <v>INV 135940180</v>
      </c>
    </row>
    <row r="1250" spans="1:8" x14ac:dyDescent="0.25">
      <c r="A1250" t="s">
        <v>399</v>
      </c>
      <c r="B1250">
        <v>4846</v>
      </c>
      <c r="C1250" s="5">
        <v>1650</v>
      </c>
      <c r="D1250" s="3">
        <v>44404</v>
      </c>
      <c r="E1250" t="str">
        <f>"79395263"</f>
        <v>79395263</v>
      </c>
      <c r="F1250" t="str">
        <f>"INV 79395263-00"</f>
        <v>INV 79395263-00</v>
      </c>
      <c r="G1250" s="5">
        <v>825</v>
      </c>
      <c r="H1250" t="str">
        <f>"INV 79395263-00"</f>
        <v>INV 79395263-00</v>
      </c>
    </row>
    <row r="1251" spans="1:8" x14ac:dyDescent="0.25">
      <c r="E1251" t="str">
        <f>"79713886-00"</f>
        <v>79713886-00</v>
      </c>
      <c r="F1251" t="str">
        <f>"INV 79713886-00"</f>
        <v>INV 79713886-00</v>
      </c>
      <c r="G1251" s="5">
        <v>825</v>
      </c>
      <c r="H1251" t="str">
        <f>"INV 79713886-00"</f>
        <v>INV 79713886-00</v>
      </c>
    </row>
    <row r="1252" spans="1:8" x14ac:dyDescent="0.25">
      <c r="A1252" t="s">
        <v>400</v>
      </c>
      <c r="B1252">
        <v>136290</v>
      </c>
      <c r="C1252" s="5">
        <v>1401.65</v>
      </c>
      <c r="D1252" s="3">
        <v>44389</v>
      </c>
      <c r="E1252" t="str">
        <f>"202107074379"</f>
        <v>202107074379</v>
      </c>
      <c r="F1252" t="str">
        <f>"JAIL MEDICAL"</f>
        <v>JAIL MEDICAL</v>
      </c>
      <c r="G1252" s="5">
        <v>1401.65</v>
      </c>
      <c r="H1252" t="str">
        <f>"JAIL MEDICAL"</f>
        <v>JAIL MEDICAL</v>
      </c>
    </row>
    <row r="1253" spans="1:8" x14ac:dyDescent="0.25">
      <c r="A1253" t="s">
        <v>401</v>
      </c>
      <c r="B1253">
        <v>136291</v>
      </c>
      <c r="C1253" s="5">
        <v>274.39999999999998</v>
      </c>
      <c r="D1253" s="3">
        <v>44389</v>
      </c>
      <c r="E1253" t="str">
        <f>"202107014246"</f>
        <v>202107014246</v>
      </c>
      <c r="F1253" t="str">
        <f>"INDIGENT HEALTH"</f>
        <v>INDIGENT HEALTH</v>
      </c>
      <c r="G1253" s="5">
        <v>274.39999999999998</v>
      </c>
      <c r="H1253" t="str">
        <f>"INDIGENT HEALTH"</f>
        <v>INDIGENT HEALTH</v>
      </c>
    </row>
    <row r="1254" spans="1:8" x14ac:dyDescent="0.25">
      <c r="E1254" t="str">
        <f>""</f>
        <v/>
      </c>
      <c r="F1254" t="str">
        <f>""</f>
        <v/>
      </c>
      <c r="H1254" t="str">
        <f>"INDIGENT HEALTH"</f>
        <v>INDIGENT HEALTH</v>
      </c>
    </row>
    <row r="1255" spans="1:8" x14ac:dyDescent="0.25">
      <c r="A1255" t="s">
        <v>401</v>
      </c>
      <c r="B1255">
        <v>136473</v>
      </c>
      <c r="C1255" s="5">
        <v>758.98</v>
      </c>
      <c r="D1255" s="3">
        <v>44403</v>
      </c>
      <c r="E1255" t="str">
        <f>"202107204705"</f>
        <v>202107204705</v>
      </c>
      <c r="F1255" t="str">
        <f>"INDIGENT HEALTH"</f>
        <v>INDIGENT HEALTH</v>
      </c>
      <c r="G1255" s="5">
        <v>596.85</v>
      </c>
      <c r="H1255" t="str">
        <f>"INDIGENT HEALTH"</f>
        <v>INDIGENT HEALTH</v>
      </c>
    </row>
    <row r="1256" spans="1:8" x14ac:dyDescent="0.25">
      <c r="E1256" t="str">
        <f>""</f>
        <v/>
      </c>
      <c r="F1256" t="str">
        <f>""</f>
        <v/>
      </c>
      <c r="H1256" t="str">
        <f>"INDIGENT HEALTH"</f>
        <v>INDIGENT HEALTH</v>
      </c>
    </row>
    <row r="1257" spans="1:8" x14ac:dyDescent="0.25">
      <c r="E1257" t="str">
        <f>"202107214736"</f>
        <v>202107214736</v>
      </c>
      <c r="F1257" t="str">
        <f>"JAIL MEDICAL"</f>
        <v>JAIL MEDICAL</v>
      </c>
      <c r="G1257" s="5">
        <v>162.13</v>
      </c>
      <c r="H1257" t="str">
        <f>"JAIL MEDICAL"</f>
        <v>JAIL MEDICAL</v>
      </c>
    </row>
    <row r="1258" spans="1:8" x14ac:dyDescent="0.25">
      <c r="A1258" t="s">
        <v>402</v>
      </c>
      <c r="B1258">
        <v>136292</v>
      </c>
      <c r="C1258" s="5">
        <v>4229.4799999999996</v>
      </c>
      <c r="D1258" s="3">
        <v>44389</v>
      </c>
      <c r="E1258" t="str">
        <f>"202107064341"</f>
        <v>202107064341</v>
      </c>
      <c r="F1258" t="str">
        <f>"ACCT#BASTRO14"</f>
        <v>ACCT#BASTRO14</v>
      </c>
      <c r="G1258" s="5">
        <v>1473.13</v>
      </c>
      <c r="H1258" t="str">
        <f>"ACCT#BASTRO14"</f>
        <v>ACCT#BASTRO14</v>
      </c>
    </row>
    <row r="1259" spans="1:8" x14ac:dyDescent="0.25">
      <c r="E1259" t="str">
        <f>"P33265"</f>
        <v>P33265</v>
      </c>
      <c r="F1259" t="str">
        <f>"ACCT#BASTRO14"</f>
        <v>ACCT#BASTRO14</v>
      </c>
      <c r="G1259" s="5">
        <v>2756.35</v>
      </c>
      <c r="H1259" t="str">
        <f>"ACCT#BASTRO14"</f>
        <v>ACCT#BASTRO14</v>
      </c>
    </row>
    <row r="1260" spans="1:8" x14ac:dyDescent="0.25">
      <c r="A1260" t="s">
        <v>403</v>
      </c>
      <c r="B1260">
        <v>136474</v>
      </c>
      <c r="C1260" s="5">
        <v>325.74</v>
      </c>
      <c r="D1260" s="3">
        <v>44403</v>
      </c>
      <c r="E1260" t="str">
        <f>"2013833"</f>
        <v>2013833</v>
      </c>
      <c r="F1260" t="str">
        <f>"REMOTE BIRTH ACCESS JUNE 2021"</f>
        <v>REMOTE BIRTH ACCESS JUNE 2021</v>
      </c>
      <c r="G1260" s="5">
        <v>325.74</v>
      </c>
      <c r="H1260" t="str">
        <f>"REMOTE BIRTH ACCESS JUNE 2021"</f>
        <v>REMOTE BIRTH ACCESS JUNE 2021</v>
      </c>
    </row>
    <row r="1261" spans="1:8" x14ac:dyDescent="0.25">
      <c r="A1261" t="s">
        <v>404</v>
      </c>
      <c r="B1261">
        <v>136293</v>
      </c>
      <c r="C1261" s="5">
        <v>3500</v>
      </c>
      <c r="D1261" s="3">
        <v>44389</v>
      </c>
      <c r="E1261" t="str">
        <f>"13601"</f>
        <v>13601</v>
      </c>
      <c r="F1261" t="str">
        <f>"NCOA VOTER PROCESSING"</f>
        <v>NCOA VOTER PROCESSING</v>
      </c>
      <c r="G1261" s="5">
        <v>3500</v>
      </c>
      <c r="H1261" t="str">
        <f>"NCOA VOTER PROCESSING"</f>
        <v>NCOA VOTER PROCESSING</v>
      </c>
    </row>
    <row r="1262" spans="1:8" x14ac:dyDescent="0.25">
      <c r="A1262" t="s">
        <v>405</v>
      </c>
      <c r="B1262">
        <v>4737</v>
      </c>
      <c r="C1262" s="5">
        <v>57566.03</v>
      </c>
      <c r="D1262" s="3">
        <v>44390</v>
      </c>
      <c r="E1262" t="str">
        <f>"8693959212126"</f>
        <v>8693959212126</v>
      </c>
      <c r="F1262" t="str">
        <f>"Statement"</f>
        <v>Statement</v>
      </c>
      <c r="G1262" s="5">
        <v>57566.03</v>
      </c>
      <c r="H1262" t="str">
        <f>"rebate"</f>
        <v>rebate</v>
      </c>
    </row>
    <row r="1263" spans="1:8" x14ac:dyDescent="0.25">
      <c r="E1263" t="str">
        <f>""</f>
        <v/>
      </c>
      <c r="F1263" t="str">
        <f>""</f>
        <v/>
      </c>
      <c r="H1263" t="str">
        <f>"reconcilliation"</f>
        <v>reconcilliation</v>
      </c>
    </row>
    <row r="1264" spans="1:8" x14ac:dyDescent="0.25">
      <c r="E1264" t="str">
        <f>""</f>
        <v/>
      </c>
      <c r="F1264" t="str">
        <f>""</f>
        <v/>
      </c>
      <c r="H1264" t="str">
        <f>"fuel"</f>
        <v>fuel</v>
      </c>
    </row>
    <row r="1265" spans="5:8" x14ac:dyDescent="0.25">
      <c r="E1265" t="str">
        <f>""</f>
        <v/>
      </c>
      <c r="F1265" t="str">
        <f>""</f>
        <v/>
      </c>
      <c r="H1265" t="str">
        <f>"tax"</f>
        <v>tax</v>
      </c>
    </row>
    <row r="1266" spans="5:8" x14ac:dyDescent="0.25">
      <c r="E1266" t="str">
        <f>""</f>
        <v/>
      </c>
      <c r="F1266" t="str">
        <f>""</f>
        <v/>
      </c>
      <c r="H1266" t="str">
        <f>"fuel"</f>
        <v>fuel</v>
      </c>
    </row>
    <row r="1267" spans="5:8" x14ac:dyDescent="0.25">
      <c r="E1267" t="str">
        <f>""</f>
        <v/>
      </c>
      <c r="F1267" t="str">
        <f>""</f>
        <v/>
      </c>
      <c r="H1267" t="str">
        <f>"tax"</f>
        <v>tax</v>
      </c>
    </row>
    <row r="1268" spans="5:8" x14ac:dyDescent="0.25">
      <c r="E1268" t="str">
        <f>""</f>
        <v/>
      </c>
      <c r="F1268" t="str">
        <f>""</f>
        <v/>
      </c>
      <c r="H1268" t="str">
        <f>"maintenance"</f>
        <v>maintenance</v>
      </c>
    </row>
    <row r="1269" spans="5:8" x14ac:dyDescent="0.25">
      <c r="E1269" t="str">
        <f>""</f>
        <v/>
      </c>
      <c r="F1269" t="str">
        <f>""</f>
        <v/>
      </c>
      <c r="H1269" t="str">
        <f>"fuel"</f>
        <v>fuel</v>
      </c>
    </row>
    <row r="1270" spans="5:8" x14ac:dyDescent="0.25">
      <c r="E1270" t="str">
        <f>""</f>
        <v/>
      </c>
      <c r="F1270" t="str">
        <f>""</f>
        <v/>
      </c>
      <c r="H1270" t="str">
        <f>"tax"</f>
        <v>tax</v>
      </c>
    </row>
    <row r="1271" spans="5:8" x14ac:dyDescent="0.25">
      <c r="E1271" t="str">
        <f>""</f>
        <v/>
      </c>
      <c r="F1271" t="str">
        <f>""</f>
        <v/>
      </c>
      <c r="H1271" t="str">
        <f>"fuel"</f>
        <v>fuel</v>
      </c>
    </row>
    <row r="1272" spans="5:8" x14ac:dyDescent="0.25">
      <c r="E1272" t="str">
        <f>""</f>
        <v/>
      </c>
      <c r="F1272" t="str">
        <f>""</f>
        <v/>
      </c>
      <c r="H1272" t="str">
        <f>"tax"</f>
        <v>tax</v>
      </c>
    </row>
    <row r="1273" spans="5:8" x14ac:dyDescent="0.25">
      <c r="E1273" t="str">
        <f>""</f>
        <v/>
      </c>
      <c r="F1273" t="str">
        <f>""</f>
        <v/>
      </c>
      <c r="H1273" t="str">
        <f>"maintenance"</f>
        <v>maintenance</v>
      </c>
    </row>
    <row r="1274" spans="5:8" x14ac:dyDescent="0.25">
      <c r="E1274" t="str">
        <f>""</f>
        <v/>
      </c>
      <c r="F1274" t="str">
        <f>""</f>
        <v/>
      </c>
      <c r="H1274" t="str">
        <f>"fuel"</f>
        <v>fuel</v>
      </c>
    </row>
    <row r="1275" spans="5:8" x14ac:dyDescent="0.25">
      <c r="E1275" t="str">
        <f>""</f>
        <v/>
      </c>
      <c r="F1275" t="str">
        <f>""</f>
        <v/>
      </c>
      <c r="H1275" t="str">
        <f>"tax"</f>
        <v>tax</v>
      </c>
    </row>
    <row r="1276" spans="5:8" x14ac:dyDescent="0.25">
      <c r="E1276" t="str">
        <f>""</f>
        <v/>
      </c>
      <c r="F1276" t="str">
        <f>""</f>
        <v/>
      </c>
      <c r="H1276" t="str">
        <f>"maintenance"</f>
        <v>maintenance</v>
      </c>
    </row>
    <row r="1277" spans="5:8" x14ac:dyDescent="0.25">
      <c r="E1277" t="str">
        <f>""</f>
        <v/>
      </c>
      <c r="F1277" t="str">
        <f>""</f>
        <v/>
      </c>
      <c r="H1277" t="str">
        <f>"fuel"</f>
        <v>fuel</v>
      </c>
    </row>
    <row r="1278" spans="5:8" x14ac:dyDescent="0.25">
      <c r="E1278" t="str">
        <f>""</f>
        <v/>
      </c>
      <c r="F1278" t="str">
        <f>""</f>
        <v/>
      </c>
      <c r="H1278" t="str">
        <f>"maintenance"</f>
        <v>maintenance</v>
      </c>
    </row>
    <row r="1279" spans="5:8" x14ac:dyDescent="0.25">
      <c r="E1279" t="str">
        <f>""</f>
        <v/>
      </c>
      <c r="F1279" t="str">
        <f>""</f>
        <v/>
      </c>
      <c r="H1279" t="str">
        <f>"fuel"</f>
        <v>fuel</v>
      </c>
    </row>
    <row r="1280" spans="5:8" x14ac:dyDescent="0.25">
      <c r="E1280" t="str">
        <f>""</f>
        <v/>
      </c>
      <c r="F1280" t="str">
        <f>""</f>
        <v/>
      </c>
      <c r="H1280" t="str">
        <f>"tax"</f>
        <v>tax</v>
      </c>
    </row>
    <row r="1281" spans="1:8" x14ac:dyDescent="0.25">
      <c r="E1281" t="str">
        <f>""</f>
        <v/>
      </c>
      <c r="F1281" t="str">
        <f>""</f>
        <v/>
      </c>
      <c r="H1281" t="str">
        <f>"maintenance"</f>
        <v>maintenance</v>
      </c>
    </row>
    <row r="1282" spans="1:8" x14ac:dyDescent="0.25">
      <c r="E1282" t="str">
        <f>""</f>
        <v/>
      </c>
      <c r="F1282" t="str">
        <f>""</f>
        <v/>
      </c>
      <c r="H1282" t="str">
        <f>"fuel"</f>
        <v>fuel</v>
      </c>
    </row>
    <row r="1283" spans="1:8" x14ac:dyDescent="0.25">
      <c r="E1283" t="str">
        <f>""</f>
        <v/>
      </c>
      <c r="F1283" t="str">
        <f>""</f>
        <v/>
      </c>
      <c r="H1283" t="str">
        <f>"tax"</f>
        <v>tax</v>
      </c>
    </row>
    <row r="1284" spans="1:8" x14ac:dyDescent="0.25">
      <c r="E1284" t="str">
        <f>""</f>
        <v/>
      </c>
      <c r="F1284" t="str">
        <f>""</f>
        <v/>
      </c>
      <c r="H1284" t="str">
        <f>"maintenance"</f>
        <v>maintenance</v>
      </c>
    </row>
    <row r="1285" spans="1:8" x14ac:dyDescent="0.25">
      <c r="E1285" t="str">
        <f>""</f>
        <v/>
      </c>
      <c r="F1285" t="str">
        <f>""</f>
        <v/>
      </c>
      <c r="H1285" t="str">
        <f>"fuel"</f>
        <v>fuel</v>
      </c>
    </row>
    <row r="1286" spans="1:8" x14ac:dyDescent="0.25">
      <c r="E1286" t="str">
        <f>""</f>
        <v/>
      </c>
      <c r="F1286" t="str">
        <f>""</f>
        <v/>
      </c>
      <c r="H1286" t="str">
        <f>"tax"</f>
        <v>tax</v>
      </c>
    </row>
    <row r="1287" spans="1:8" x14ac:dyDescent="0.25">
      <c r="E1287" t="str">
        <f>""</f>
        <v/>
      </c>
      <c r="F1287" t="str">
        <f>""</f>
        <v/>
      </c>
      <c r="H1287" t="str">
        <f>"fuel"</f>
        <v>fuel</v>
      </c>
    </row>
    <row r="1288" spans="1:8" x14ac:dyDescent="0.25">
      <c r="E1288" t="str">
        <f>""</f>
        <v/>
      </c>
      <c r="F1288" t="str">
        <f>""</f>
        <v/>
      </c>
      <c r="H1288" t="str">
        <f>"tax"</f>
        <v>tax</v>
      </c>
    </row>
    <row r="1289" spans="1:8" x14ac:dyDescent="0.25">
      <c r="E1289" t="str">
        <f>""</f>
        <v/>
      </c>
      <c r="F1289" t="str">
        <f>""</f>
        <v/>
      </c>
      <c r="H1289" t="str">
        <f>"fuel"</f>
        <v>fuel</v>
      </c>
    </row>
    <row r="1290" spans="1:8" x14ac:dyDescent="0.25">
      <c r="E1290" t="str">
        <f>""</f>
        <v/>
      </c>
      <c r="F1290" t="str">
        <f>""</f>
        <v/>
      </c>
      <c r="H1290" t="str">
        <f>"tax"</f>
        <v>tax</v>
      </c>
    </row>
    <row r="1291" spans="1:8" x14ac:dyDescent="0.25">
      <c r="E1291" t="str">
        <f>""</f>
        <v/>
      </c>
      <c r="F1291" t="str">
        <f>""</f>
        <v/>
      </c>
      <c r="H1291" t="str">
        <f>"maintenance"</f>
        <v>maintenance</v>
      </c>
    </row>
    <row r="1292" spans="1:8" x14ac:dyDescent="0.25">
      <c r="E1292" t="str">
        <f>""</f>
        <v/>
      </c>
      <c r="F1292" t="str">
        <f>""</f>
        <v/>
      </c>
      <c r="H1292" t="str">
        <f>"maintenance"</f>
        <v>maintenance</v>
      </c>
    </row>
    <row r="1293" spans="1:8" x14ac:dyDescent="0.25">
      <c r="A1293" t="s">
        <v>406</v>
      </c>
      <c r="B1293">
        <v>136475</v>
      </c>
      <c r="C1293" s="5">
        <v>90</v>
      </c>
      <c r="D1293" s="3">
        <v>44403</v>
      </c>
      <c r="E1293" t="str">
        <f>"10430956"</f>
        <v>10430956</v>
      </c>
      <c r="F1293" t="str">
        <f>"ACCT#00010699-4/PCT#3"</f>
        <v>ACCT#00010699-4/PCT#3</v>
      </c>
      <c r="G1293" s="5">
        <v>90</v>
      </c>
      <c r="H1293" t="str">
        <f>"ACCT#00010699-4/PCT#3"</f>
        <v>ACCT#00010699-4/PCT#3</v>
      </c>
    </row>
    <row r="1294" spans="1:8" x14ac:dyDescent="0.25">
      <c r="A1294" t="s">
        <v>407</v>
      </c>
      <c r="B1294">
        <v>4771</v>
      </c>
      <c r="C1294" s="5">
        <v>3267.3</v>
      </c>
      <c r="D1294" s="3">
        <v>44390</v>
      </c>
      <c r="E1294" t="str">
        <f>"23013"</f>
        <v>23013</v>
      </c>
      <c r="F1294" t="str">
        <f>"Sign Shop Material"</f>
        <v>Sign Shop Material</v>
      </c>
      <c r="G1294" s="5">
        <v>2338.5</v>
      </c>
      <c r="H1294" t="str">
        <f>"10'x2# Green U-Chann"</f>
        <v>10'x2# Green U-Chann</v>
      </c>
    </row>
    <row r="1295" spans="1:8" x14ac:dyDescent="0.25">
      <c r="E1295" t="str">
        <f>""</f>
        <v/>
      </c>
      <c r="F1295" t="str">
        <f>""</f>
        <v/>
      </c>
      <c r="H1295" t="str">
        <f>"6 x100yrd Tran Tape"</f>
        <v>6 x100yrd Tran Tape</v>
      </c>
    </row>
    <row r="1296" spans="1:8" x14ac:dyDescent="0.25">
      <c r="E1296" t="str">
        <f>"23640"</f>
        <v>23640</v>
      </c>
      <c r="F1296" t="str">
        <f>"VULCAN  INC."</f>
        <v>VULCAN  INC.</v>
      </c>
      <c r="G1296" s="5">
        <v>928.8</v>
      </c>
      <c r="H1296" t="str">
        <f>"24 x24  Ref Orange"</f>
        <v>24 x24  Ref Orange</v>
      </c>
    </row>
    <row r="1297" spans="1:8" x14ac:dyDescent="0.25">
      <c r="E1297" t="str">
        <f>""</f>
        <v/>
      </c>
      <c r="F1297" t="str">
        <f>""</f>
        <v/>
      </c>
      <c r="H1297" t="str">
        <f>"BLOS 080 x24"</f>
        <v>BLOS 080 x24</v>
      </c>
    </row>
    <row r="1298" spans="1:8" x14ac:dyDescent="0.25">
      <c r="A1298" t="s">
        <v>407</v>
      </c>
      <c r="B1298">
        <v>4856</v>
      </c>
      <c r="C1298" s="5">
        <v>3113.1</v>
      </c>
      <c r="D1298" s="3">
        <v>44404</v>
      </c>
      <c r="E1298" t="str">
        <f>"21873"</f>
        <v>21873</v>
      </c>
      <c r="F1298" t="str">
        <f>"Sign Shop"</f>
        <v>Sign Shop</v>
      </c>
      <c r="G1298" s="5">
        <v>1121.0999999999999</v>
      </c>
      <c r="H1298" t="str">
        <f>"12 x6  Ref White"</f>
        <v>12 x6  Ref White</v>
      </c>
    </row>
    <row r="1299" spans="1:8" x14ac:dyDescent="0.25">
      <c r="E1299" t="str">
        <f>""</f>
        <v/>
      </c>
      <c r="F1299" t="str">
        <f>""</f>
        <v/>
      </c>
      <c r="H1299" t="str">
        <f>"18 x24  Ref White"</f>
        <v>18 x24  Ref White</v>
      </c>
    </row>
    <row r="1300" spans="1:8" x14ac:dyDescent="0.25">
      <c r="E1300" t="str">
        <f>""</f>
        <v/>
      </c>
      <c r="F1300" t="str">
        <f>""</f>
        <v/>
      </c>
      <c r="H1300" t="str">
        <f>"24 x24  Ref Orange"</f>
        <v>24 x24  Ref Orange</v>
      </c>
    </row>
    <row r="1301" spans="1:8" x14ac:dyDescent="0.25">
      <c r="E1301" t="str">
        <f>"22419"</f>
        <v>22419</v>
      </c>
      <c r="F1301" t="str">
        <f>"VULCAN  INC."</f>
        <v>VULCAN  INC.</v>
      </c>
      <c r="G1301" s="5">
        <v>1992</v>
      </c>
      <c r="H1301" t="str">
        <f>"Green UC Posts"</f>
        <v>Green UC Posts</v>
      </c>
    </row>
    <row r="1302" spans="1:8" x14ac:dyDescent="0.25">
      <c r="A1302" t="s">
        <v>408</v>
      </c>
      <c r="B1302">
        <v>136476</v>
      </c>
      <c r="C1302" s="5">
        <v>35.4</v>
      </c>
      <c r="D1302" s="3">
        <v>44403</v>
      </c>
      <c r="E1302" t="str">
        <f>"0621-DR14926"</f>
        <v>0621-DR14926</v>
      </c>
      <c r="F1302" t="str">
        <f>"ID#CXD14926"</f>
        <v>ID#CXD14926</v>
      </c>
      <c r="G1302" s="5">
        <v>35.4</v>
      </c>
      <c r="H1302" t="str">
        <f>"ID#CXD14926"</f>
        <v>ID#CXD14926</v>
      </c>
    </row>
    <row r="1303" spans="1:8" x14ac:dyDescent="0.25">
      <c r="A1303" t="s">
        <v>409</v>
      </c>
      <c r="B1303">
        <v>4719</v>
      </c>
      <c r="C1303" s="5">
        <v>2775.9</v>
      </c>
      <c r="D1303" s="3">
        <v>44390</v>
      </c>
      <c r="E1303" t="str">
        <f>"21110"</f>
        <v>21110</v>
      </c>
      <c r="F1303" t="str">
        <f>"COLD MIX/PCT#3"</f>
        <v>COLD MIX/PCT#3</v>
      </c>
      <c r="G1303" s="5">
        <v>2775.9</v>
      </c>
      <c r="H1303" t="str">
        <f>"COLD MIX/PCT#3"</f>
        <v>COLD MIX/PCT#3</v>
      </c>
    </row>
    <row r="1304" spans="1:8" x14ac:dyDescent="0.25">
      <c r="A1304" t="s">
        <v>409</v>
      </c>
      <c r="B1304">
        <v>4799</v>
      </c>
      <c r="C1304" s="5">
        <v>16421.13</v>
      </c>
      <c r="D1304" s="3">
        <v>44404</v>
      </c>
      <c r="E1304" t="str">
        <f>"21111"</f>
        <v>21111</v>
      </c>
      <c r="F1304" t="str">
        <f>"COLD MIX/PCT#4"</f>
        <v>COLD MIX/PCT#4</v>
      </c>
      <c r="G1304" s="5">
        <v>2772.94</v>
      </c>
      <c r="H1304" t="str">
        <f>"COLD MIX/PCT#4"</f>
        <v>COLD MIX/PCT#4</v>
      </c>
    </row>
    <row r="1305" spans="1:8" x14ac:dyDescent="0.25">
      <c r="E1305" t="str">
        <f>"21181"</f>
        <v>21181</v>
      </c>
      <c r="F1305" t="str">
        <f>"COLD MIX/PCT#4"</f>
        <v>COLD MIX/PCT#4</v>
      </c>
      <c r="G1305" s="5">
        <v>2718.59</v>
      </c>
      <c r="H1305" t="str">
        <f>"COLD MIX/PCT#4"</f>
        <v>COLD MIX/PCT#4</v>
      </c>
    </row>
    <row r="1306" spans="1:8" x14ac:dyDescent="0.25">
      <c r="E1306" t="str">
        <f>"21211"</f>
        <v>21211</v>
      </c>
      <c r="F1306" t="str">
        <f>"COLD MIX/PCT#4"</f>
        <v>COLD MIX/PCT#4</v>
      </c>
      <c r="G1306" s="5">
        <v>2749.02</v>
      </c>
      <c r="H1306" t="str">
        <f>"COLD MIX/PCT#4"</f>
        <v>COLD MIX/PCT#4</v>
      </c>
    </row>
    <row r="1307" spans="1:8" x14ac:dyDescent="0.25">
      <c r="E1307" t="str">
        <f>"21231"</f>
        <v>21231</v>
      </c>
      <c r="F1307" t="str">
        <f>"COLD MIX/PCT#1"</f>
        <v>COLD MIX/PCT#1</v>
      </c>
      <c r="G1307" s="5">
        <v>2696.66</v>
      </c>
      <c r="H1307" t="str">
        <f>"COLD MIX/PCT#1"</f>
        <v>COLD MIX/PCT#1</v>
      </c>
    </row>
    <row r="1308" spans="1:8" x14ac:dyDescent="0.25">
      <c r="E1308" t="str">
        <f>"21248"</f>
        <v>21248</v>
      </c>
      <c r="F1308" t="str">
        <f>"COLD MIX/PCT#4"</f>
        <v>COLD MIX/PCT#4</v>
      </c>
      <c r="G1308" s="5">
        <v>2750.11</v>
      </c>
      <c r="H1308" t="str">
        <f>"COLD MIX/PCT#4"</f>
        <v>COLD MIX/PCT#4</v>
      </c>
    </row>
    <row r="1309" spans="1:8" x14ac:dyDescent="0.25">
      <c r="E1309" t="str">
        <f>"21282"</f>
        <v>21282</v>
      </c>
      <c r="F1309" t="str">
        <f>"COLD MIX/PCT#4"</f>
        <v>COLD MIX/PCT#4</v>
      </c>
      <c r="G1309" s="5">
        <v>2733.81</v>
      </c>
      <c r="H1309" t="str">
        <f>"COLD MIX/PCT#4"</f>
        <v>COLD MIX/PCT#4</v>
      </c>
    </row>
    <row r="1310" spans="1:8" x14ac:dyDescent="0.25">
      <c r="A1310" t="s">
        <v>410</v>
      </c>
      <c r="B1310">
        <v>136308</v>
      </c>
      <c r="C1310" s="5">
        <v>11777.45</v>
      </c>
      <c r="D1310" s="3">
        <v>44397</v>
      </c>
      <c r="E1310" t="str">
        <f>"11244704"</f>
        <v>11244704</v>
      </c>
      <c r="F1310" t="str">
        <f>"ACCT#5150-005117630 / 07012021"</f>
        <v>ACCT#5150-005117630 / 07012021</v>
      </c>
      <c r="G1310" s="5">
        <v>262.81</v>
      </c>
      <c r="H1310" t="str">
        <f>"ACCT#5150-005117630 / 07012021"</f>
        <v>ACCT#5150-005117630 / 07012021</v>
      </c>
    </row>
    <row r="1311" spans="1:8" x14ac:dyDescent="0.25">
      <c r="E1311" t="str">
        <f>"11244711"</f>
        <v>11244711</v>
      </c>
      <c r="F1311" t="str">
        <f>"ACCT#5150-005117766 / 07012021"</f>
        <v>ACCT#5150-005117766 / 07012021</v>
      </c>
      <c r="G1311" s="5">
        <v>115.36</v>
      </c>
      <c r="H1311" t="str">
        <f>"WASTE CONNECTIONS LONE STAR. I"</f>
        <v>WASTE CONNECTIONS LONE STAR. I</v>
      </c>
    </row>
    <row r="1312" spans="1:8" x14ac:dyDescent="0.25">
      <c r="E1312" t="str">
        <f>"11244715"</f>
        <v>11244715</v>
      </c>
      <c r="F1312" t="str">
        <f>"ACCT#5150-005117838 / 07012021"</f>
        <v>ACCT#5150-005117838 / 07012021</v>
      </c>
      <c r="G1312" s="5">
        <v>106.76</v>
      </c>
      <c r="H1312" t="str">
        <f>"WASTE CONNECTIONS LONE STAR. I"</f>
        <v>WASTE CONNECTIONS LONE STAR. I</v>
      </c>
    </row>
    <row r="1313" spans="1:8" x14ac:dyDescent="0.25">
      <c r="E1313" t="str">
        <f>"11244717"</f>
        <v>11244717</v>
      </c>
      <c r="F1313" t="str">
        <f>"ACCT#5150-005117882 / 07012021"</f>
        <v>ACCT#5150-005117882 / 07012021</v>
      </c>
      <c r="G1313" s="5">
        <v>144.19</v>
      </c>
      <c r="H1313" t="str">
        <f>"WASTE CONNECTIONS LONE STAR. I"</f>
        <v>WASTE CONNECTIONS LONE STAR. I</v>
      </c>
    </row>
    <row r="1314" spans="1:8" x14ac:dyDescent="0.25">
      <c r="E1314" t="str">
        <f>"11244725"</f>
        <v>11244725</v>
      </c>
      <c r="F1314" t="str">
        <f>"ACCT#5150-005118183 / 07012021"</f>
        <v>ACCT#5150-005118183 / 07012021</v>
      </c>
      <c r="G1314" s="5">
        <v>618.96</v>
      </c>
      <c r="H1314" t="str">
        <f>"ACCT#5150-005118183 / 07012021"</f>
        <v>ACCT#5150-005118183 / 07012021</v>
      </c>
    </row>
    <row r="1315" spans="1:8" x14ac:dyDescent="0.25">
      <c r="E1315" t="str">
        <f>"11244752"</f>
        <v>11244752</v>
      </c>
      <c r="F1315" t="str">
        <f>"ACCT#5150-005129483 / 07012021"</f>
        <v>ACCT#5150-005129483 / 07012021</v>
      </c>
      <c r="G1315" s="5">
        <v>10417</v>
      </c>
      <c r="H1315" t="str">
        <f>"ACCT#5150-005129483 / 100"</f>
        <v>ACCT#5150-005129483 / 100</v>
      </c>
    </row>
    <row r="1316" spans="1:8" x14ac:dyDescent="0.25">
      <c r="E1316" t="str">
        <f>"11248795"</f>
        <v>11248795</v>
      </c>
      <c r="F1316" t="str">
        <f>"ACCT#5150-16203415 / 07012021"</f>
        <v>ACCT#5150-16203415 / 07012021</v>
      </c>
      <c r="G1316" s="5">
        <v>83.48</v>
      </c>
      <c r="H1316" t="str">
        <f>"WASTE CONNECTIONS LONE STAR. I"</f>
        <v>WASTE CONNECTIONS LONE STAR. I</v>
      </c>
    </row>
    <row r="1317" spans="1:8" x14ac:dyDescent="0.25">
      <c r="E1317" t="str">
        <f>"11248796"</f>
        <v>11248796</v>
      </c>
      <c r="F1317" t="str">
        <f>"ACCT#5150-16203417 / 07012021"</f>
        <v>ACCT#5150-16203417 / 07012021</v>
      </c>
      <c r="G1317" s="5">
        <v>28.89</v>
      </c>
      <c r="H1317" t="str">
        <f>"ACCT#5150-16203417 / 07012021"</f>
        <v>ACCT#5150-16203417 / 07012021</v>
      </c>
    </row>
    <row r="1318" spans="1:8" x14ac:dyDescent="0.25">
      <c r="A1318" t="s">
        <v>411</v>
      </c>
      <c r="B1318">
        <v>136294</v>
      </c>
      <c r="C1318" s="5">
        <v>534.74</v>
      </c>
      <c r="D1318" s="3">
        <v>44389</v>
      </c>
      <c r="E1318" t="str">
        <f>"0121598-2161-5"</f>
        <v>0121598-2161-5</v>
      </c>
      <c r="F1318" t="str">
        <f>"CUST#2-56581-95066"</f>
        <v>CUST#2-56581-95066</v>
      </c>
      <c r="G1318" s="5">
        <v>534.74</v>
      </c>
      <c r="H1318" t="str">
        <f>"CUST#2-56581-95066"</f>
        <v>CUST#2-56581-95066</v>
      </c>
    </row>
    <row r="1319" spans="1:8" x14ac:dyDescent="0.25">
      <c r="A1319" t="s">
        <v>411</v>
      </c>
      <c r="B1319">
        <v>136477</v>
      </c>
      <c r="C1319" s="5">
        <v>7399.45</v>
      </c>
      <c r="D1319" s="3">
        <v>44403</v>
      </c>
      <c r="E1319" t="str">
        <f>"0032398-2161-8"</f>
        <v>0032398-2161-8</v>
      </c>
      <c r="F1319" t="str">
        <f>"CUST#2-57060-55062/PCT#4"</f>
        <v>CUST#2-57060-55062/PCT#4</v>
      </c>
      <c r="G1319" s="5">
        <v>6135.08</v>
      </c>
      <c r="H1319" t="str">
        <f>"CUST#2-57060-55062/PCT#4"</f>
        <v>CUST#2-57060-55062/PCT#4</v>
      </c>
    </row>
    <row r="1320" spans="1:8" x14ac:dyDescent="0.25">
      <c r="E1320" t="str">
        <f>"0043083-2162-1"</f>
        <v>0043083-2162-1</v>
      </c>
      <c r="F1320" t="str">
        <f>"CUST#16-27603-83003"</f>
        <v>CUST#16-27603-83003</v>
      </c>
      <c r="G1320" s="5">
        <v>246.71</v>
      </c>
      <c r="H1320" t="str">
        <f>"CUST#16-27603-83003"</f>
        <v>CUST#16-27603-83003</v>
      </c>
    </row>
    <row r="1321" spans="1:8" x14ac:dyDescent="0.25">
      <c r="E1321" t="str">
        <f>"9716348-2161-3"</f>
        <v>9716348-2161-3</v>
      </c>
      <c r="F1321" t="str">
        <f>"CUST#23-90244-23005/PCT#4"</f>
        <v>CUST#23-90244-23005/PCT#4</v>
      </c>
      <c r="G1321" s="5">
        <v>1017.66</v>
      </c>
      <c r="H1321" t="str">
        <f>"CUST#23-90244-23005/PCT#4"</f>
        <v>CUST#23-90244-23005/PCT#4</v>
      </c>
    </row>
    <row r="1322" spans="1:8" x14ac:dyDescent="0.25">
      <c r="A1322" t="s">
        <v>412</v>
      </c>
      <c r="B1322">
        <v>136295</v>
      </c>
      <c r="C1322" s="5">
        <v>130</v>
      </c>
      <c r="D1322" s="3">
        <v>44389</v>
      </c>
      <c r="E1322" t="str">
        <f>"202106304220"</f>
        <v>202106304220</v>
      </c>
      <c r="F1322" t="str">
        <f>"TRAVEL ADVANCE/WAYNE WOOD"</f>
        <v>TRAVEL ADVANCE/WAYNE WOOD</v>
      </c>
      <c r="G1322" s="5">
        <v>130</v>
      </c>
      <c r="H1322" t="str">
        <f>"TRAVEL ADVANCE/WAYNE WOOD"</f>
        <v>TRAVEL ADVANCE/WAYNE WOOD</v>
      </c>
    </row>
    <row r="1323" spans="1:8" x14ac:dyDescent="0.25">
      <c r="A1323" t="s">
        <v>413</v>
      </c>
      <c r="B1323">
        <v>4729</v>
      </c>
      <c r="C1323" s="5">
        <v>690</v>
      </c>
      <c r="D1323" s="3">
        <v>44390</v>
      </c>
      <c r="E1323" t="str">
        <f>"6565"</f>
        <v>6565</v>
      </c>
      <c r="F1323" t="str">
        <f>"UNIFORM EMBROIDERY/PCT#2"</f>
        <v>UNIFORM EMBROIDERY/PCT#2</v>
      </c>
      <c r="G1323" s="5">
        <v>690</v>
      </c>
      <c r="H1323" t="str">
        <f>"UNIFORM EMBROIDERY/PCT#2"</f>
        <v>UNIFORM EMBROIDERY/PCT#2</v>
      </c>
    </row>
    <row r="1324" spans="1:8" x14ac:dyDescent="0.25">
      <c r="A1324" t="s">
        <v>413</v>
      </c>
      <c r="B1324">
        <v>4813</v>
      </c>
      <c r="C1324" s="5">
        <v>134.9</v>
      </c>
      <c r="D1324" s="3">
        <v>44404</v>
      </c>
      <c r="E1324" t="str">
        <f>"6610"</f>
        <v>6610</v>
      </c>
      <c r="F1324" t="str">
        <f>"INV 6610"</f>
        <v>INV 6610</v>
      </c>
      <c r="G1324" s="5">
        <v>134.9</v>
      </c>
      <c r="H1324" t="str">
        <f>"INV 6610"</f>
        <v>INV 6610</v>
      </c>
    </row>
    <row r="1325" spans="1:8" x14ac:dyDescent="0.25">
      <c r="A1325" t="s">
        <v>414</v>
      </c>
      <c r="B1325">
        <v>136478</v>
      </c>
      <c r="C1325" s="5">
        <v>100</v>
      </c>
      <c r="D1325" s="3">
        <v>44403</v>
      </c>
      <c r="E1325" t="str">
        <f>"10-738 6-21-2021"</f>
        <v>10-738 6-21-2021</v>
      </c>
      <c r="F1325" t="str">
        <f>"RESTITUTION/ROEL FLORES JR"</f>
        <v>RESTITUTION/ROEL FLORES JR</v>
      </c>
      <c r="G1325" s="5">
        <v>100</v>
      </c>
      <c r="H1325" t="str">
        <f>"RESTITUTION/ROEL FLORES JR"</f>
        <v>RESTITUTION/ROEL FLORES JR</v>
      </c>
    </row>
    <row r="1326" spans="1:8" x14ac:dyDescent="0.25">
      <c r="A1326" t="s">
        <v>415</v>
      </c>
      <c r="B1326">
        <v>136479</v>
      </c>
      <c r="C1326" s="5">
        <v>400</v>
      </c>
      <c r="D1326" s="3">
        <v>44403</v>
      </c>
      <c r="E1326" t="str">
        <f>"202107194638"</f>
        <v>202107194638</v>
      </c>
      <c r="F1326" t="str">
        <f>"INTERPRETATION SVCS"</f>
        <v>INTERPRETATION SVCS</v>
      </c>
      <c r="G1326" s="5">
        <v>400</v>
      </c>
      <c r="H1326" t="str">
        <f>"INTERPRETATION SVCS"</f>
        <v>INTERPRETATION SVCS</v>
      </c>
    </row>
    <row r="1327" spans="1:8" x14ac:dyDescent="0.25">
      <c r="A1327" t="s">
        <v>416</v>
      </c>
      <c r="B1327">
        <v>4804</v>
      </c>
      <c r="C1327" s="5">
        <v>9180.01</v>
      </c>
      <c r="D1327" s="3">
        <v>44404</v>
      </c>
      <c r="E1327" t="str">
        <f>"28242"</f>
        <v>28242</v>
      </c>
      <c r="F1327" t="str">
        <f>"INV 28242"</f>
        <v>INV 28242</v>
      </c>
      <c r="G1327" s="5">
        <v>9180.01</v>
      </c>
      <c r="H1327" t="str">
        <f>"INV 28242"</f>
        <v>INV 28242</v>
      </c>
    </row>
    <row r="1328" spans="1:8" x14ac:dyDescent="0.25">
      <c r="A1328" t="s">
        <v>417</v>
      </c>
      <c r="B1328">
        <v>136296</v>
      </c>
      <c r="C1328" s="5">
        <v>140</v>
      </c>
      <c r="D1328" s="3">
        <v>44389</v>
      </c>
      <c r="E1328" t="str">
        <f>"13286"</f>
        <v>13286</v>
      </c>
      <c r="F1328" t="str">
        <f>"SERVICE"</f>
        <v>SERVICE</v>
      </c>
      <c r="G1328" s="5">
        <v>140</v>
      </c>
      <c r="H1328" t="str">
        <f>"SERVICE"</f>
        <v>SERVICE</v>
      </c>
    </row>
    <row r="1329" spans="1:8" x14ac:dyDescent="0.25">
      <c r="A1329" t="s">
        <v>418</v>
      </c>
      <c r="B1329">
        <v>136480</v>
      </c>
      <c r="C1329" s="5">
        <v>70</v>
      </c>
      <c r="D1329" s="3">
        <v>44403</v>
      </c>
      <c r="E1329" t="str">
        <f>"13136"</f>
        <v>13136</v>
      </c>
      <c r="F1329" t="str">
        <f>"SERVICE"</f>
        <v>SERVICE</v>
      </c>
      <c r="G1329" s="5">
        <v>70</v>
      </c>
      <c r="H1329" t="str">
        <f>"SERVICE"</f>
        <v>SERVICE</v>
      </c>
    </row>
    <row r="1330" spans="1:8" x14ac:dyDescent="0.25">
      <c r="A1330" t="s">
        <v>417</v>
      </c>
      <c r="B1330">
        <v>136481</v>
      </c>
      <c r="C1330" s="5">
        <v>140</v>
      </c>
      <c r="D1330" s="3">
        <v>44403</v>
      </c>
      <c r="E1330" t="str">
        <f>"13136"</f>
        <v>13136</v>
      </c>
      <c r="F1330" t="str">
        <f>"SERVICE"</f>
        <v>SERVICE</v>
      </c>
      <c r="G1330" s="5">
        <v>140</v>
      </c>
      <c r="H1330" t="str">
        <f>"SERVICE"</f>
        <v>SERVICE</v>
      </c>
    </row>
    <row r="1331" spans="1:8" x14ac:dyDescent="0.25">
      <c r="A1331" t="s">
        <v>419</v>
      </c>
      <c r="B1331">
        <v>136482</v>
      </c>
      <c r="C1331" s="5">
        <v>142.25</v>
      </c>
      <c r="D1331" s="3">
        <v>44403</v>
      </c>
      <c r="E1331" t="str">
        <f>"6925544"</f>
        <v>6925544</v>
      </c>
      <c r="F1331" t="str">
        <f>"CUST#339435/PCT#3"</f>
        <v>CUST#339435/PCT#3</v>
      </c>
      <c r="G1331" s="5">
        <v>142.25</v>
      </c>
      <c r="H1331" t="str">
        <f>"CUST#339435/PCT#3"</f>
        <v>CUST#339435/PCT#3</v>
      </c>
    </row>
    <row r="1332" spans="1:8" x14ac:dyDescent="0.25">
      <c r="A1332" t="s">
        <v>420</v>
      </c>
      <c r="B1332">
        <v>136297</v>
      </c>
      <c r="C1332" s="5">
        <v>2881.2</v>
      </c>
      <c r="D1332" s="3">
        <v>44389</v>
      </c>
      <c r="E1332" t="str">
        <f>"224978"</f>
        <v>224978</v>
      </c>
      <c r="F1332" t="str">
        <f>"XM Fax Enterprise/Maint"</f>
        <v>XM Fax Enterprise/Maint</v>
      </c>
      <c r="G1332" s="5">
        <v>2881.2</v>
      </c>
      <c r="H1332" t="str">
        <f>"XM Fax FY21-22"</f>
        <v>XM Fax FY21-22</v>
      </c>
    </row>
    <row r="1333" spans="1:8" x14ac:dyDescent="0.25">
      <c r="E1333" t="str">
        <f>""</f>
        <v/>
      </c>
      <c r="F1333" t="str">
        <f>""</f>
        <v/>
      </c>
      <c r="H1333" t="str">
        <f>"XM Fax FY 21-22"</f>
        <v>XM Fax FY 21-22</v>
      </c>
    </row>
    <row r="1334" spans="1:8" x14ac:dyDescent="0.25">
      <c r="A1334" t="s">
        <v>421</v>
      </c>
      <c r="B1334">
        <v>136483</v>
      </c>
      <c r="C1334" s="5">
        <v>25</v>
      </c>
      <c r="D1334" s="3">
        <v>44403</v>
      </c>
      <c r="E1334" t="str">
        <f>"13-163 6-28-21"</f>
        <v>13-163 6-28-21</v>
      </c>
      <c r="F1334" t="str">
        <f>"RESTITUTION/MARCUS MANZANA"</f>
        <v>RESTITUTION/MARCUS MANZANA</v>
      </c>
      <c r="G1334" s="5">
        <v>25</v>
      </c>
      <c r="H1334" t="str">
        <f>"RESTITUTION/MARCUS MANZANA"</f>
        <v>RESTITUTION/MARCUS MANZANA</v>
      </c>
    </row>
    <row r="1335" spans="1:8" x14ac:dyDescent="0.25">
      <c r="A1335" t="s">
        <v>422</v>
      </c>
      <c r="B1335">
        <v>136484</v>
      </c>
      <c r="C1335" s="5">
        <v>619.72</v>
      </c>
      <c r="D1335" s="3">
        <v>44403</v>
      </c>
      <c r="E1335" t="str">
        <f>"516128"</f>
        <v>516128</v>
      </c>
      <c r="F1335" t="str">
        <f>"INV 516128"</f>
        <v>INV 516128</v>
      </c>
      <c r="G1335" s="5">
        <v>619.72</v>
      </c>
      <c r="H1335" t="str">
        <f>"INV 516128"</f>
        <v>INV 516128</v>
      </c>
    </row>
    <row r="1336" spans="1:8" x14ac:dyDescent="0.25">
      <c r="A1336" t="s">
        <v>423</v>
      </c>
      <c r="B1336">
        <v>136298</v>
      </c>
      <c r="C1336" s="5">
        <v>4264.6000000000004</v>
      </c>
      <c r="D1336" s="3">
        <v>44389</v>
      </c>
      <c r="E1336" t="str">
        <f>"9013492302"</f>
        <v>9013492302</v>
      </c>
      <c r="F1336" t="str">
        <f t="shared" ref="F1336:F1341" si="21">"CUST#1000113183/ANIMAL SHELTER"</f>
        <v>CUST#1000113183/ANIMAL SHELTER</v>
      </c>
      <c r="G1336" s="5">
        <v>815.6</v>
      </c>
      <c r="H1336" t="str">
        <f t="shared" ref="H1336:H1341" si="22">"CUST#1000113183/ANIMAL SHELTER"</f>
        <v>CUST#1000113183/ANIMAL SHELTER</v>
      </c>
    </row>
    <row r="1337" spans="1:8" x14ac:dyDescent="0.25">
      <c r="E1337" t="str">
        <f>"9013492317"</f>
        <v>9013492317</v>
      </c>
      <c r="F1337" t="str">
        <f t="shared" si="21"/>
        <v>CUST#1000113183/ANIMAL SHELTER</v>
      </c>
      <c r="G1337" s="5">
        <v>779.2</v>
      </c>
      <c r="H1337" t="str">
        <f t="shared" si="22"/>
        <v>CUST#1000113183/ANIMAL SHELTER</v>
      </c>
    </row>
    <row r="1338" spans="1:8" x14ac:dyDescent="0.25">
      <c r="E1338" t="str">
        <f>"9013523320"</f>
        <v>9013523320</v>
      </c>
      <c r="F1338" t="str">
        <f t="shared" si="21"/>
        <v>CUST#1000113183/ANIMAL SHELTER</v>
      </c>
      <c r="G1338" s="5">
        <v>1274.4000000000001</v>
      </c>
      <c r="H1338" t="str">
        <f t="shared" si="22"/>
        <v>CUST#1000113183/ANIMAL SHELTER</v>
      </c>
    </row>
    <row r="1339" spans="1:8" x14ac:dyDescent="0.25">
      <c r="E1339" t="str">
        <f>"9013549063"</f>
        <v>9013549063</v>
      </c>
      <c r="F1339" t="str">
        <f t="shared" si="21"/>
        <v>CUST#1000113183/ANIMAL SHELTER</v>
      </c>
      <c r="G1339" s="5">
        <v>471.2</v>
      </c>
      <c r="H1339" t="str">
        <f t="shared" si="22"/>
        <v>CUST#1000113183/ANIMAL SHELTER</v>
      </c>
    </row>
    <row r="1340" spans="1:8" x14ac:dyDescent="0.25">
      <c r="E1340" t="str">
        <f>"9013569861"</f>
        <v>9013569861</v>
      </c>
      <c r="F1340" t="str">
        <f t="shared" si="21"/>
        <v>CUST#1000113183/ANIMAL SHELTER</v>
      </c>
      <c r="G1340" s="5">
        <v>535.20000000000005</v>
      </c>
      <c r="H1340" t="str">
        <f t="shared" si="22"/>
        <v>CUST#1000113183/ANIMAL SHELTER</v>
      </c>
    </row>
    <row r="1341" spans="1:8" x14ac:dyDescent="0.25">
      <c r="E1341" t="str">
        <f>"9013578364"</f>
        <v>9013578364</v>
      </c>
      <c r="F1341" t="str">
        <f t="shared" si="21"/>
        <v>CUST#1000113183/ANIMAL SHELTER</v>
      </c>
      <c r="G1341" s="5">
        <v>389</v>
      </c>
      <c r="H1341" t="str">
        <f t="shared" si="22"/>
        <v>CUST#1000113183/ANIMAL SHELTER</v>
      </c>
    </row>
    <row r="1342" spans="1:8" x14ac:dyDescent="0.25">
      <c r="A1342" t="s">
        <v>423</v>
      </c>
      <c r="B1342">
        <v>136485</v>
      </c>
      <c r="C1342" s="5">
        <v>5093.5</v>
      </c>
      <c r="D1342" s="3">
        <v>44403</v>
      </c>
      <c r="E1342" t="str">
        <f>"9013602957"</f>
        <v>9013602957</v>
      </c>
      <c r="F1342" t="str">
        <f t="shared" ref="F1342:F1347" si="23">"ACCT#1000113183/SHELTER"</f>
        <v>ACCT#1000113183/SHELTER</v>
      </c>
      <c r="G1342" s="5">
        <v>307.5</v>
      </c>
      <c r="H1342" t="str">
        <f t="shared" ref="H1342:H1347" si="24">"ACCT#1000113183/SHELTER"</f>
        <v>ACCT#1000113183/SHELTER</v>
      </c>
    </row>
    <row r="1343" spans="1:8" x14ac:dyDescent="0.25">
      <c r="E1343" t="str">
        <f>"9013603009"</f>
        <v>9013603009</v>
      </c>
      <c r="F1343" t="str">
        <f t="shared" si="23"/>
        <v>ACCT#1000113183/SHELTER</v>
      </c>
      <c r="G1343" s="5">
        <v>1307.5999999999999</v>
      </c>
      <c r="H1343" t="str">
        <f t="shared" si="24"/>
        <v>ACCT#1000113183/SHELTER</v>
      </c>
    </row>
    <row r="1344" spans="1:8" x14ac:dyDescent="0.25">
      <c r="E1344" t="str">
        <f>"9013616257"</f>
        <v>9013616257</v>
      </c>
      <c r="F1344" t="str">
        <f t="shared" si="23"/>
        <v>ACCT#1000113183/SHELTER</v>
      </c>
      <c r="G1344" s="5">
        <v>815.6</v>
      </c>
      <c r="H1344" t="str">
        <f t="shared" si="24"/>
        <v>ACCT#1000113183/SHELTER</v>
      </c>
    </row>
    <row r="1345" spans="1:8" x14ac:dyDescent="0.25">
      <c r="E1345" t="str">
        <f>"9013634962"</f>
        <v>9013634962</v>
      </c>
      <c r="F1345" t="str">
        <f t="shared" si="23"/>
        <v>ACCT#1000113183/SHELTER</v>
      </c>
      <c r="G1345" s="5">
        <v>815.6</v>
      </c>
      <c r="H1345" t="str">
        <f t="shared" si="24"/>
        <v>ACCT#1000113183/SHELTER</v>
      </c>
    </row>
    <row r="1346" spans="1:8" x14ac:dyDescent="0.25">
      <c r="E1346" t="str">
        <f>"9013635041"</f>
        <v>9013635041</v>
      </c>
      <c r="F1346" t="str">
        <f t="shared" si="23"/>
        <v>ACCT#1000113183/SHELTER</v>
      </c>
      <c r="G1346" s="5">
        <v>520</v>
      </c>
      <c r="H1346" t="str">
        <f t="shared" si="24"/>
        <v>ACCT#1000113183/SHELTER</v>
      </c>
    </row>
    <row r="1347" spans="1:8" x14ac:dyDescent="0.25">
      <c r="E1347" t="str">
        <f>"9013682405"</f>
        <v>9013682405</v>
      </c>
      <c r="F1347" t="str">
        <f t="shared" si="23"/>
        <v>ACCT#1000113183/SHELTER</v>
      </c>
      <c r="G1347" s="5">
        <v>1327.2</v>
      </c>
      <c r="H1347" t="str">
        <f t="shared" si="24"/>
        <v>ACCT#1000113183/SHELTER</v>
      </c>
    </row>
    <row r="1348" spans="1:8" x14ac:dyDescent="0.25">
      <c r="A1348" t="s">
        <v>19</v>
      </c>
      <c r="B1348">
        <v>4773</v>
      </c>
      <c r="C1348" s="5">
        <v>59.98</v>
      </c>
      <c r="D1348" s="3">
        <v>44390</v>
      </c>
      <c r="E1348" t="str">
        <f>"202107064368"</f>
        <v>202107064368</v>
      </c>
      <c r="F1348" t="str">
        <f>"Sump Pump Amazon"</f>
        <v>Sump Pump Amazon</v>
      </c>
      <c r="G1348" s="5">
        <v>59.98</v>
      </c>
      <c r="H1348" t="str">
        <f>"Sump Pump Amazon"</f>
        <v>Sump Pump Amazon</v>
      </c>
    </row>
    <row r="1349" spans="1:8" x14ac:dyDescent="0.25">
      <c r="A1349" t="s">
        <v>28</v>
      </c>
      <c r="B1349">
        <v>136299</v>
      </c>
      <c r="C1349" s="5">
        <v>18</v>
      </c>
      <c r="D1349" s="3">
        <v>44389</v>
      </c>
      <c r="E1349" t="str">
        <f>"202107064266"</f>
        <v>202107064266</v>
      </c>
      <c r="F1349" t="str">
        <f>"ACCT#015397/BOOT CAMP"</f>
        <v>ACCT#015397/BOOT CAMP</v>
      </c>
      <c r="G1349" s="5">
        <v>18</v>
      </c>
      <c r="H1349" t="str">
        <f>"ACCT#015397/BOOT CAMP"</f>
        <v>ACCT#015397/BOOT CAMP</v>
      </c>
    </row>
    <row r="1350" spans="1:8" x14ac:dyDescent="0.25">
      <c r="A1350" t="s">
        <v>38</v>
      </c>
      <c r="B1350">
        <v>136300</v>
      </c>
      <c r="C1350" s="5">
        <v>18.14</v>
      </c>
      <c r="D1350" s="3">
        <v>44389</v>
      </c>
      <c r="E1350" t="str">
        <f>"28272905243590627"</f>
        <v>28272905243590627</v>
      </c>
      <c r="F1350" t="str">
        <f>"ACCT#287290524359/FAN#58143538"</f>
        <v>ACCT#287290524359/FAN#58143538</v>
      </c>
      <c r="G1350" s="5">
        <v>18.14</v>
      </c>
      <c r="H1350" t="str">
        <f>"ACCT#287290524359/FAN#58143538"</f>
        <v>ACCT#287290524359/FAN#58143538</v>
      </c>
    </row>
    <row r="1351" spans="1:8" x14ac:dyDescent="0.25">
      <c r="A1351" t="s">
        <v>424</v>
      </c>
      <c r="B1351">
        <v>4857</v>
      </c>
      <c r="C1351" s="5">
        <v>55182</v>
      </c>
      <c r="D1351" s="3">
        <v>44404</v>
      </c>
      <c r="E1351" t="str">
        <f>"202107204656"</f>
        <v>202107204656</v>
      </c>
      <c r="F1351" t="str">
        <f>"RFB-21BCP0313-DRY CREEK/PCT#1"</f>
        <v>RFB-21BCP0313-DRY CREEK/PCT#1</v>
      </c>
      <c r="G1351" s="5">
        <v>55182</v>
      </c>
      <c r="H1351" t="str">
        <f>"RFB-21BCP0313-DRY CREEK/PCT#1"</f>
        <v>RFB-21BCP0313-DRY CREEK/PCT#1</v>
      </c>
    </row>
    <row r="1352" spans="1:8" x14ac:dyDescent="0.25">
      <c r="A1352" t="s">
        <v>425</v>
      </c>
      <c r="B1352">
        <v>136486</v>
      </c>
      <c r="C1352" s="5">
        <v>7600</v>
      </c>
      <c r="D1352" s="3">
        <v>44403</v>
      </c>
      <c r="E1352" t="str">
        <f>"202107204657"</f>
        <v>202107204657</v>
      </c>
      <c r="F1352" t="str">
        <f>"JOB# 21-8053/UNIT 5 /PCT#1"</f>
        <v>JOB# 21-8053/UNIT 5 /PCT#1</v>
      </c>
      <c r="G1352" s="5">
        <v>7600</v>
      </c>
      <c r="H1352" t="str">
        <f>"JOB# 21-8053/UNIT 5 /PCT#1"</f>
        <v>JOB# 21-8053/UNIT 5 /PCT#1</v>
      </c>
    </row>
    <row r="1353" spans="1:8" x14ac:dyDescent="0.25">
      <c r="A1353" t="s">
        <v>63</v>
      </c>
      <c r="B1353">
        <v>136309</v>
      </c>
      <c r="C1353" s="5">
        <v>300.01</v>
      </c>
      <c r="D1353" s="3">
        <v>44397</v>
      </c>
      <c r="E1353" t="str">
        <f>"202107154578"</f>
        <v>202107154578</v>
      </c>
      <c r="F1353" t="str">
        <f>"ACCT#5000057374 / 07052021"</f>
        <v>ACCT#5000057374 / 07052021</v>
      </c>
      <c r="G1353" s="5">
        <v>300.01</v>
      </c>
      <c r="H1353" t="str">
        <f>"BLUEBONNET ELECTRIC COOPERATIV"</f>
        <v>BLUEBONNET ELECTRIC COOPERATIV</v>
      </c>
    </row>
    <row r="1354" spans="1:8" x14ac:dyDescent="0.25">
      <c r="A1354" t="s">
        <v>426</v>
      </c>
      <c r="B1354">
        <v>1209</v>
      </c>
      <c r="C1354" s="5">
        <v>2182648.66</v>
      </c>
      <c r="D1354" s="3">
        <v>44403</v>
      </c>
      <c r="E1354" t="str">
        <f>"202107154572"</f>
        <v>202107154572</v>
      </c>
      <c r="F1354" t="str">
        <f>"DEBT SERVICE PMT -SERIES 2020"</f>
        <v>DEBT SERVICE PMT -SERIES 2020</v>
      </c>
      <c r="G1354" s="5">
        <v>542211.15</v>
      </c>
      <c r="H1354" t="str">
        <f>"DEBT SERVICE PMT - SERIES 2020"</f>
        <v>DEBT SERVICE PMT - SERIES 2020</v>
      </c>
    </row>
    <row r="1355" spans="1:8" x14ac:dyDescent="0.25">
      <c r="E1355" t="str">
        <f>""</f>
        <v/>
      </c>
      <c r="F1355" t="str">
        <f>""</f>
        <v/>
      </c>
      <c r="H1355" t="str">
        <f>"DEBT SERVICE PMT - SERIES 2020"</f>
        <v>DEBT SERVICE PMT - SERIES 2020</v>
      </c>
    </row>
    <row r="1356" spans="1:8" x14ac:dyDescent="0.25">
      <c r="E1356" t="str">
        <f>"202107154573"</f>
        <v>202107154573</v>
      </c>
      <c r="F1356" t="str">
        <f>"DEBT SERVICE PMT -SERIES 2018"</f>
        <v>DEBT SERVICE PMT -SERIES 2018</v>
      </c>
      <c r="G1356" s="5">
        <v>511843.76</v>
      </c>
      <c r="H1356" t="str">
        <f>"DEBT SERVICE PMT -SERIES 2018"</f>
        <v>DEBT SERVICE PMT -SERIES 2018</v>
      </c>
    </row>
    <row r="1357" spans="1:8" x14ac:dyDescent="0.25">
      <c r="E1357" t="str">
        <f>""</f>
        <v/>
      </c>
      <c r="F1357" t="str">
        <f>""</f>
        <v/>
      </c>
      <c r="H1357" t="str">
        <f>"DEBT SERVICE PMT -SERIES 2018"</f>
        <v>DEBT SERVICE PMT -SERIES 2018</v>
      </c>
    </row>
    <row r="1358" spans="1:8" x14ac:dyDescent="0.25">
      <c r="E1358" t="str">
        <f>"202107154574"</f>
        <v>202107154574</v>
      </c>
      <c r="F1358" t="str">
        <f>"DEBT SERVICE PMT- SERIES 2017"</f>
        <v>DEBT SERVICE PMT- SERIES 2017</v>
      </c>
      <c r="G1358" s="5">
        <v>547275</v>
      </c>
      <c r="H1358" t="str">
        <f>"DEBT SERVICE PMT- SERIES 2017"</f>
        <v>DEBT SERVICE PMT- SERIES 2017</v>
      </c>
    </row>
    <row r="1359" spans="1:8" x14ac:dyDescent="0.25">
      <c r="E1359" t="str">
        <f>""</f>
        <v/>
      </c>
      <c r="F1359" t="str">
        <f>""</f>
        <v/>
      </c>
      <c r="H1359" t="str">
        <f>"DEBT SERVICE PMT- SERIES 2017"</f>
        <v>DEBT SERVICE PMT- SERIES 2017</v>
      </c>
    </row>
    <row r="1360" spans="1:8" x14ac:dyDescent="0.25">
      <c r="E1360" t="str">
        <f>"202107154575"</f>
        <v>202107154575</v>
      </c>
      <c r="F1360" t="str">
        <f>"DEBT SERVICE PMT -SERIES 2014"</f>
        <v>DEBT SERVICE PMT -SERIES 2014</v>
      </c>
      <c r="G1360" s="5">
        <v>581318.75</v>
      </c>
      <c r="H1360" t="str">
        <f>"DEBT SERVICE PMT - SERIES 2014"</f>
        <v>DEBT SERVICE PMT - SERIES 2014</v>
      </c>
    </row>
    <row r="1361" spans="1:8" x14ac:dyDescent="0.25">
      <c r="E1361" t="str">
        <f>""</f>
        <v/>
      </c>
      <c r="F1361" t="str">
        <f>""</f>
        <v/>
      </c>
      <c r="H1361" t="str">
        <f>"DEBT SERVICE PMT - SERIES 2014"</f>
        <v>DEBT SERVICE PMT - SERIES 2014</v>
      </c>
    </row>
    <row r="1362" spans="1:8" x14ac:dyDescent="0.25">
      <c r="A1362" t="s">
        <v>427</v>
      </c>
      <c r="B1362">
        <v>136487</v>
      </c>
      <c r="C1362" s="5">
        <v>15390</v>
      </c>
      <c r="D1362" s="3">
        <v>44403</v>
      </c>
      <c r="E1362" t="str">
        <f>"113781"</f>
        <v>113781</v>
      </c>
      <c r="F1362" t="str">
        <f>"HAZARD MIT ACTION PLAN/OEM"</f>
        <v>HAZARD MIT ACTION PLAN/OEM</v>
      </c>
      <c r="G1362" s="5">
        <v>15390</v>
      </c>
      <c r="H1362" t="str">
        <f>"HAZARD MIT ACTION PLAN/OEM"</f>
        <v>HAZARD MIT ACTION PLAN/OEM</v>
      </c>
    </row>
    <row r="1363" spans="1:8" x14ac:dyDescent="0.25">
      <c r="A1363" t="s">
        <v>170</v>
      </c>
      <c r="B1363">
        <v>136488</v>
      </c>
      <c r="C1363" s="5">
        <v>246.91</v>
      </c>
      <c r="D1363" s="3">
        <v>44403</v>
      </c>
      <c r="E1363" t="str">
        <f>"202107204713"</f>
        <v>202107204713</v>
      </c>
      <c r="F1363" t="str">
        <f>"HD"</f>
        <v>HD</v>
      </c>
      <c r="G1363" s="5">
        <v>246.91</v>
      </c>
      <c r="H1363" t="str">
        <f>"9123094"</f>
        <v>9123094</v>
      </c>
    </row>
    <row r="1364" spans="1:8" x14ac:dyDescent="0.25">
      <c r="E1364" t="str">
        <f>""</f>
        <v/>
      </c>
      <c r="F1364" t="str">
        <f>""</f>
        <v/>
      </c>
      <c r="H1364" t="str">
        <f>"7130747"</f>
        <v>7130747</v>
      </c>
    </row>
    <row r="1365" spans="1:8" x14ac:dyDescent="0.25">
      <c r="E1365" t="str">
        <f>""</f>
        <v/>
      </c>
      <c r="F1365" t="str">
        <f>""</f>
        <v/>
      </c>
      <c r="H1365" t="str">
        <f>"4130968"</f>
        <v>4130968</v>
      </c>
    </row>
    <row r="1366" spans="1:8" x14ac:dyDescent="0.25">
      <c r="A1366" t="s">
        <v>428</v>
      </c>
      <c r="B1366">
        <v>4774</v>
      </c>
      <c r="C1366" s="5">
        <v>3363.45</v>
      </c>
      <c r="D1366" s="3">
        <v>44390</v>
      </c>
      <c r="E1366" t="str">
        <f>"4301"</f>
        <v>4301</v>
      </c>
      <c r="F1366" t="str">
        <f>"INDIAN LAKE SPILLWAY/PCT#2"</f>
        <v>INDIAN LAKE SPILLWAY/PCT#2</v>
      </c>
      <c r="G1366" s="5">
        <v>3363.45</v>
      </c>
      <c r="H1366" t="str">
        <f>"INDIAN LAKE SPILLWAY/PCT#2"</f>
        <v>INDIAN LAKE SPILLWAY/PCT#2</v>
      </c>
    </row>
    <row r="1367" spans="1:8" x14ac:dyDescent="0.25">
      <c r="A1367" t="s">
        <v>429</v>
      </c>
      <c r="B1367">
        <v>136489</v>
      </c>
      <c r="C1367" s="5">
        <v>28602.639999999999</v>
      </c>
      <c r="D1367" s="3">
        <v>44403</v>
      </c>
      <c r="E1367" t="str">
        <f>"21-2008-1"</f>
        <v>21-2008-1</v>
      </c>
      <c r="F1367" t="str">
        <f>"Construction"</f>
        <v>Construction</v>
      </c>
      <c r="G1367" s="5">
        <v>28602.639999999999</v>
      </c>
      <c r="H1367" t="str">
        <f>"Invoice #21-2008-1"</f>
        <v>Invoice #21-2008-1</v>
      </c>
    </row>
    <row r="1368" spans="1:8" x14ac:dyDescent="0.25">
      <c r="A1368" t="s">
        <v>215</v>
      </c>
      <c r="B1368">
        <v>136490</v>
      </c>
      <c r="C1368" s="5">
        <v>166.7</v>
      </c>
      <c r="D1368" s="3">
        <v>44403</v>
      </c>
      <c r="E1368" t="str">
        <f>"202107204712"</f>
        <v>202107204712</v>
      </c>
      <c r="F1368" t="str">
        <f>"Lowe's"</f>
        <v>Lowe's</v>
      </c>
      <c r="G1368" s="5">
        <v>166.7</v>
      </c>
      <c r="H1368" t="str">
        <f>"920182"</f>
        <v>920182</v>
      </c>
    </row>
    <row r="1369" spans="1:8" x14ac:dyDescent="0.25">
      <c r="E1369" t="str">
        <f>""</f>
        <v/>
      </c>
      <c r="F1369" t="str">
        <f>""</f>
        <v/>
      </c>
      <c r="H1369" t="str">
        <f>"908047"</f>
        <v>908047</v>
      </c>
    </row>
    <row r="1370" spans="1:8" x14ac:dyDescent="0.25">
      <c r="E1370" t="str">
        <f>""</f>
        <v/>
      </c>
      <c r="F1370" t="str">
        <f>""</f>
        <v/>
      </c>
      <c r="H1370" t="str">
        <f>"909493"</f>
        <v>909493</v>
      </c>
    </row>
    <row r="1371" spans="1:8" x14ac:dyDescent="0.25">
      <c r="A1371" t="s">
        <v>280</v>
      </c>
      <c r="B1371">
        <v>136301</v>
      </c>
      <c r="C1371" s="5">
        <v>91554.54</v>
      </c>
      <c r="D1371" s="3">
        <v>44389</v>
      </c>
      <c r="E1371" t="str">
        <f>"202106294218"</f>
        <v>202106294218</v>
      </c>
      <c r="F1371" t="str">
        <f>"Tower Inspections"</f>
        <v>Tower Inspections</v>
      </c>
      <c r="G1371" s="5">
        <v>63000</v>
      </c>
      <c r="H1371" t="str">
        <f>"System Total"</f>
        <v>System Total</v>
      </c>
    </row>
    <row r="1372" spans="1:8" x14ac:dyDescent="0.25">
      <c r="E1372" t="str">
        <f>""</f>
        <v/>
      </c>
      <c r="F1372" t="str">
        <f>""</f>
        <v/>
      </c>
      <c r="H1372" t="str">
        <f>"HGAC Discount"</f>
        <v>HGAC Discount</v>
      </c>
    </row>
    <row r="1373" spans="1:8" x14ac:dyDescent="0.25">
      <c r="E1373" t="str">
        <f>"202106294219"</f>
        <v>202106294219</v>
      </c>
      <c r="F1373" t="str">
        <f>"Mobile Radios"</f>
        <v>Mobile Radios</v>
      </c>
      <c r="G1373" s="5">
        <v>28554.54</v>
      </c>
      <c r="H1373" t="str">
        <f>"total"</f>
        <v>total</v>
      </c>
    </row>
    <row r="1374" spans="1:8" x14ac:dyDescent="0.25">
      <c r="A1374" t="s">
        <v>292</v>
      </c>
      <c r="B1374">
        <v>136302</v>
      </c>
      <c r="C1374" s="5">
        <v>500</v>
      </c>
      <c r="D1374" s="3">
        <v>44389</v>
      </c>
      <c r="E1374" t="str">
        <f>"1229"</f>
        <v>1229</v>
      </c>
      <c r="F1374" t="str">
        <f>"REQUEST#0741/DISTRICT ATTNY"</f>
        <v>REQUEST#0741/DISTRICT ATTNY</v>
      </c>
      <c r="G1374" s="5">
        <v>500</v>
      </c>
      <c r="H1374" t="str">
        <f>"REQUEST#0741/DISTRICT ATTNY"</f>
        <v>REQUEST#0741/DISTRICT ATTNY</v>
      </c>
    </row>
    <row r="1375" spans="1:8" x14ac:dyDescent="0.25">
      <c r="A1375" t="s">
        <v>430</v>
      </c>
      <c r="B1375">
        <v>136491</v>
      </c>
      <c r="C1375" s="5">
        <v>59.34</v>
      </c>
      <c r="D1375" s="3">
        <v>44403</v>
      </c>
      <c r="E1375" t="str">
        <f>"24605"</f>
        <v>24605</v>
      </c>
      <c r="F1375" t="str">
        <f>"Pendant Kits"</f>
        <v>Pendant Kits</v>
      </c>
      <c r="G1375" s="5">
        <v>59.34</v>
      </c>
      <c r="H1375" t="str">
        <f>"Pendant Kits"</f>
        <v>Pendant Kits</v>
      </c>
    </row>
    <row r="1376" spans="1:8" x14ac:dyDescent="0.25">
      <c r="A1376" t="s">
        <v>431</v>
      </c>
      <c r="B1376">
        <v>4772</v>
      </c>
      <c r="C1376" s="5">
        <v>10500</v>
      </c>
      <c r="D1376" s="3">
        <v>44390</v>
      </c>
      <c r="E1376" t="str">
        <f>"WA-2696-2021"</f>
        <v>WA-2696-2021</v>
      </c>
      <c r="F1376" t="str">
        <f>"LOVERS LANE R.O.W. PCT#1"</f>
        <v>LOVERS LANE R.O.W. PCT#1</v>
      </c>
      <c r="G1376" s="5">
        <v>10500</v>
      </c>
      <c r="H1376" t="str">
        <f>"LOVERS LANE R.O.W. PCT#1"</f>
        <v>LOVERS LANE R.O.W. PCT#1</v>
      </c>
    </row>
    <row r="1377" spans="1:8" x14ac:dyDescent="0.25">
      <c r="A1377" t="s">
        <v>432</v>
      </c>
      <c r="B1377">
        <v>136303</v>
      </c>
      <c r="C1377" s="5">
        <v>26.91</v>
      </c>
      <c r="D1377" s="3">
        <v>44389</v>
      </c>
      <c r="E1377" t="str">
        <f>"202107064347"</f>
        <v>202107064347</v>
      </c>
      <c r="F1377" t="str">
        <f>"REIMBURSE/SARAH D. JACKSON"</f>
        <v>REIMBURSE/SARAH D. JACKSON</v>
      </c>
      <c r="G1377" s="5">
        <v>26.91</v>
      </c>
      <c r="H1377" t="str">
        <f>"REIMBURSE/SARAH D. JACKSON"</f>
        <v>REIMBURSE/SARAH D. JACKSON</v>
      </c>
    </row>
    <row r="1378" spans="1:8" x14ac:dyDescent="0.25">
      <c r="A1378" t="s">
        <v>433</v>
      </c>
      <c r="B1378">
        <v>136492</v>
      </c>
      <c r="C1378" s="5">
        <v>875</v>
      </c>
      <c r="D1378" s="3">
        <v>44403</v>
      </c>
      <c r="E1378" t="str">
        <f>"545666"</f>
        <v>545666</v>
      </c>
      <c r="F1378" t="str">
        <f>"Coins"</f>
        <v>Coins</v>
      </c>
      <c r="G1378" s="5">
        <v>875</v>
      </c>
      <c r="H1378" t="str">
        <f>"1.75  Color Coins"</f>
        <v>1.75  Color Coins</v>
      </c>
    </row>
    <row r="1379" spans="1:8" x14ac:dyDescent="0.25">
      <c r="E1379" t="str">
        <f>""</f>
        <v/>
      </c>
      <c r="F1379" t="str">
        <f>""</f>
        <v/>
      </c>
      <c r="H1379" t="str">
        <f>"Mold Fee"</f>
        <v>Mold Fee</v>
      </c>
    </row>
    <row r="1380" spans="1:8" x14ac:dyDescent="0.25">
      <c r="E1380" t="str">
        <f>""</f>
        <v/>
      </c>
      <c r="F1380" t="str">
        <f>""</f>
        <v/>
      </c>
      <c r="H1380" t="str">
        <f>"3D Setup Fee"</f>
        <v>3D Setup Fee</v>
      </c>
    </row>
    <row r="1381" spans="1:8" x14ac:dyDescent="0.25">
      <c r="E1381" t="str">
        <f>""</f>
        <v/>
      </c>
      <c r="F1381" t="str">
        <f>""</f>
        <v/>
      </c>
      <c r="H1381" t="str">
        <f>"3D Tooling Fee"</f>
        <v>3D Tooling Fee</v>
      </c>
    </row>
    <row r="1382" spans="1:8" x14ac:dyDescent="0.25">
      <c r="A1382" t="s">
        <v>366</v>
      </c>
      <c r="B1382">
        <v>136114</v>
      </c>
      <c r="C1382" s="5">
        <v>45.51</v>
      </c>
      <c r="D1382" s="3">
        <v>44385</v>
      </c>
      <c r="E1382" t="str">
        <f>"D-2021-3-0110 APTF"</f>
        <v>D-2021-3-0110 APTF</v>
      </c>
      <c r="F1382" t="str">
        <f>"UNEMPLOYMENT QTR END 06/30/21"</f>
        <v>UNEMPLOYMENT QTR END 06/30/21</v>
      </c>
      <c r="G1382" s="5">
        <v>45.51</v>
      </c>
      <c r="H1382" t="str">
        <f>"UNEMPLOYMENT QTR END 06/30/21"</f>
        <v>UNEMPLOYMENT QTR END 06/30/21</v>
      </c>
    </row>
    <row r="1383" spans="1:8" x14ac:dyDescent="0.25">
      <c r="A1383" t="s">
        <v>397</v>
      </c>
      <c r="B1383">
        <v>136304</v>
      </c>
      <c r="C1383" s="5">
        <v>34548.75</v>
      </c>
      <c r="D1383" s="3">
        <v>44389</v>
      </c>
      <c r="E1383" t="str">
        <f>"020-129724"</f>
        <v>020-129724</v>
      </c>
      <c r="F1383" t="str">
        <f>"CUST#42161"</f>
        <v>CUST#42161</v>
      </c>
      <c r="G1383" s="5">
        <v>5948.75</v>
      </c>
      <c r="H1383" t="str">
        <f>"CUST#42161"</f>
        <v>CUST#42161</v>
      </c>
    </row>
    <row r="1384" spans="1:8" x14ac:dyDescent="0.25">
      <c r="E1384" t="str">
        <f>"025-337529"</f>
        <v>025-337529</v>
      </c>
      <c r="F1384" t="str">
        <f>"CUST#42161"</f>
        <v>CUST#42161</v>
      </c>
      <c r="G1384" s="5">
        <v>28600</v>
      </c>
      <c r="H1384" t="str">
        <f>"CUST#42161"</f>
        <v>CUST#42161</v>
      </c>
    </row>
    <row r="1385" spans="1:8" x14ac:dyDescent="0.25">
      <c r="A1385" t="s">
        <v>434</v>
      </c>
      <c r="B1385">
        <v>1210</v>
      </c>
      <c r="C1385" s="5">
        <v>450</v>
      </c>
      <c r="D1385" s="3">
        <v>44403</v>
      </c>
      <c r="E1385" t="str">
        <f>"6172511"</f>
        <v>6172511</v>
      </c>
      <c r="F1385" t="str">
        <f>"PAYING AGENT FEE -SERIES 2017"</f>
        <v>PAYING AGENT FEE -SERIES 2017</v>
      </c>
      <c r="G1385" s="5">
        <v>450</v>
      </c>
      <c r="H1385" t="str">
        <f>"PAYING AGENT FEE -SERIES 2017"</f>
        <v>PAYING AGENT FEE -SERIES 2017</v>
      </c>
    </row>
    <row r="1386" spans="1:8" x14ac:dyDescent="0.25">
      <c r="A1386" t="s">
        <v>399</v>
      </c>
      <c r="B1386">
        <v>4775</v>
      </c>
      <c r="C1386" s="5">
        <v>88.49</v>
      </c>
      <c r="D1386" s="3">
        <v>44390</v>
      </c>
      <c r="E1386" t="str">
        <f>"78680132-00"</f>
        <v>78680132-00</v>
      </c>
      <c r="F1386" t="str">
        <f>"CUST#706810/PARTS"</f>
        <v>CUST#706810/PARTS</v>
      </c>
      <c r="G1386" s="5">
        <v>88.49</v>
      </c>
      <c r="H1386" t="str">
        <f>"CUST#706810/PARTS"</f>
        <v>CUST#706810/PARTS</v>
      </c>
    </row>
    <row r="1387" spans="1:8" x14ac:dyDescent="0.25">
      <c r="A1387" t="s">
        <v>399</v>
      </c>
      <c r="B1387">
        <v>4858</v>
      </c>
      <c r="C1387" s="5">
        <v>7956</v>
      </c>
      <c r="D1387" s="3">
        <v>44404</v>
      </c>
      <c r="E1387" t="str">
        <f>"78339893"</f>
        <v>78339893</v>
      </c>
      <c r="F1387" t="str">
        <f>"Repairs"</f>
        <v>Repairs</v>
      </c>
      <c r="G1387" s="5">
        <v>7956</v>
      </c>
      <c r="H1387" t="str">
        <f>"Bosch Water Source"</f>
        <v>Bosch Water Source</v>
      </c>
    </row>
    <row r="1388" spans="1:8" x14ac:dyDescent="0.25">
      <c r="E1388" t="str">
        <f>""</f>
        <v/>
      </c>
      <c r="F1388" t="str">
        <f>""</f>
        <v/>
      </c>
      <c r="H1388" t="str">
        <f>"Freight"</f>
        <v>Freight</v>
      </c>
    </row>
    <row r="1389" spans="1:8" x14ac:dyDescent="0.25">
      <c r="A1389" t="s">
        <v>435</v>
      </c>
      <c r="B1389">
        <v>1216</v>
      </c>
      <c r="C1389" s="5">
        <v>4439.45</v>
      </c>
      <c r="D1389" s="3">
        <v>44404</v>
      </c>
      <c r="E1389" t="str">
        <f>"202107274752"</f>
        <v>202107274752</v>
      </c>
      <c r="F1389" t="str">
        <f>"ROUNDING - JULY 2021"</f>
        <v>ROUNDING - JULY 2021</v>
      </c>
      <c r="G1389" s="5">
        <v>0.03</v>
      </c>
      <c r="H1389" t="str">
        <f>"ROUNDING - JULY 2021"</f>
        <v>ROUNDING - JULY 2021</v>
      </c>
    </row>
    <row r="1390" spans="1:8" x14ac:dyDescent="0.25">
      <c r="E1390" t="str">
        <f>"AS 202107074399"</f>
        <v>AS 202107074399</v>
      </c>
      <c r="F1390" t="str">
        <f t="shared" ref="F1390:F1403" si="25">"ALLSTATE"</f>
        <v>ALLSTATE</v>
      </c>
      <c r="G1390" s="5">
        <v>397.52</v>
      </c>
      <c r="H1390" t="str">
        <f t="shared" ref="H1390:H1403" si="26">"ALLSTATE"</f>
        <v>ALLSTATE</v>
      </c>
    </row>
    <row r="1391" spans="1:8" x14ac:dyDescent="0.25">
      <c r="E1391" t="str">
        <f>"AS 202107074400"</f>
        <v>AS 202107074400</v>
      </c>
      <c r="F1391" t="str">
        <f t="shared" si="25"/>
        <v>ALLSTATE</v>
      </c>
      <c r="G1391" s="5">
        <v>27.14</v>
      </c>
      <c r="H1391" t="str">
        <f t="shared" si="26"/>
        <v>ALLSTATE</v>
      </c>
    </row>
    <row r="1392" spans="1:8" x14ac:dyDescent="0.25">
      <c r="E1392" t="str">
        <f>"AS 202107214729"</f>
        <v>AS 202107214729</v>
      </c>
      <c r="F1392" t="str">
        <f t="shared" si="25"/>
        <v>ALLSTATE</v>
      </c>
      <c r="G1392" s="5">
        <v>397.52</v>
      </c>
      <c r="H1392" t="str">
        <f t="shared" si="26"/>
        <v>ALLSTATE</v>
      </c>
    </row>
    <row r="1393" spans="1:8" x14ac:dyDescent="0.25">
      <c r="E1393" t="str">
        <f>"AS 202107214730"</f>
        <v>AS 202107214730</v>
      </c>
      <c r="F1393" t="str">
        <f t="shared" si="25"/>
        <v>ALLSTATE</v>
      </c>
      <c r="G1393" s="5">
        <v>27.14</v>
      </c>
      <c r="H1393" t="str">
        <f t="shared" si="26"/>
        <v>ALLSTATE</v>
      </c>
    </row>
    <row r="1394" spans="1:8" x14ac:dyDescent="0.25">
      <c r="E1394" t="str">
        <f>"ASD202107074399"</f>
        <v>ASD202107074399</v>
      </c>
      <c r="F1394" t="str">
        <f t="shared" si="25"/>
        <v>ALLSTATE</v>
      </c>
      <c r="G1394" s="5">
        <v>170.21</v>
      </c>
      <c r="H1394" t="str">
        <f t="shared" si="26"/>
        <v>ALLSTATE</v>
      </c>
    </row>
    <row r="1395" spans="1:8" x14ac:dyDescent="0.25">
      <c r="E1395" t="str">
        <f>"ASD202107214729"</f>
        <v>ASD202107214729</v>
      </c>
      <c r="F1395" t="str">
        <f t="shared" si="25"/>
        <v>ALLSTATE</v>
      </c>
      <c r="G1395" s="5">
        <v>170.21</v>
      </c>
      <c r="H1395" t="str">
        <f t="shared" si="26"/>
        <v>ALLSTATE</v>
      </c>
    </row>
    <row r="1396" spans="1:8" x14ac:dyDescent="0.25">
      <c r="E1396" t="str">
        <f>"ASI202107074399"</f>
        <v>ASI202107074399</v>
      </c>
      <c r="F1396" t="str">
        <f t="shared" si="25"/>
        <v>ALLSTATE</v>
      </c>
      <c r="G1396" s="5">
        <v>532.82000000000005</v>
      </c>
      <c r="H1396" t="str">
        <f t="shared" si="26"/>
        <v>ALLSTATE</v>
      </c>
    </row>
    <row r="1397" spans="1:8" x14ac:dyDescent="0.25">
      <c r="E1397" t="str">
        <f>"ASI202107074400"</f>
        <v>ASI202107074400</v>
      </c>
      <c r="F1397" t="str">
        <f t="shared" si="25"/>
        <v>ALLSTATE</v>
      </c>
      <c r="G1397" s="5">
        <v>67.150000000000006</v>
      </c>
      <c r="H1397" t="str">
        <f t="shared" si="26"/>
        <v>ALLSTATE</v>
      </c>
    </row>
    <row r="1398" spans="1:8" x14ac:dyDescent="0.25">
      <c r="E1398" t="str">
        <f>"ASI202107214729"</f>
        <v>ASI202107214729</v>
      </c>
      <c r="F1398" t="str">
        <f t="shared" si="25"/>
        <v>ALLSTATE</v>
      </c>
      <c r="G1398" s="5">
        <v>532.82000000000005</v>
      </c>
      <c r="H1398" t="str">
        <f t="shared" si="26"/>
        <v>ALLSTATE</v>
      </c>
    </row>
    <row r="1399" spans="1:8" x14ac:dyDescent="0.25">
      <c r="E1399" t="str">
        <f>"ASI202107214730"</f>
        <v>ASI202107214730</v>
      </c>
      <c r="F1399" t="str">
        <f t="shared" si="25"/>
        <v>ALLSTATE</v>
      </c>
      <c r="G1399" s="5">
        <v>67.150000000000006</v>
      </c>
      <c r="H1399" t="str">
        <f t="shared" si="26"/>
        <v>ALLSTATE</v>
      </c>
    </row>
    <row r="1400" spans="1:8" x14ac:dyDescent="0.25">
      <c r="E1400" t="str">
        <f>"AST202107074399"</f>
        <v>AST202107074399</v>
      </c>
      <c r="F1400" t="str">
        <f t="shared" si="25"/>
        <v>ALLSTATE</v>
      </c>
      <c r="G1400" s="5">
        <v>993.46</v>
      </c>
      <c r="H1400" t="str">
        <f t="shared" si="26"/>
        <v>ALLSTATE</v>
      </c>
    </row>
    <row r="1401" spans="1:8" x14ac:dyDescent="0.25">
      <c r="E1401" t="str">
        <f>"AST202107074400"</f>
        <v>AST202107074400</v>
      </c>
      <c r="F1401" t="str">
        <f t="shared" si="25"/>
        <v>ALLSTATE</v>
      </c>
      <c r="G1401" s="5">
        <v>31.41</v>
      </c>
      <c r="H1401" t="str">
        <f t="shared" si="26"/>
        <v>ALLSTATE</v>
      </c>
    </row>
    <row r="1402" spans="1:8" x14ac:dyDescent="0.25">
      <c r="E1402" t="str">
        <f>"AST202107214729"</f>
        <v>AST202107214729</v>
      </c>
      <c r="F1402" t="str">
        <f t="shared" si="25"/>
        <v>ALLSTATE</v>
      </c>
      <c r="G1402" s="5">
        <v>993.46</v>
      </c>
      <c r="H1402" t="str">
        <f t="shared" si="26"/>
        <v>ALLSTATE</v>
      </c>
    </row>
    <row r="1403" spans="1:8" x14ac:dyDescent="0.25">
      <c r="E1403" t="str">
        <f>"AST202107214730"</f>
        <v>AST202107214730</v>
      </c>
      <c r="F1403" t="str">
        <f t="shared" si="25"/>
        <v>ALLSTATE</v>
      </c>
      <c r="G1403" s="5">
        <v>31.41</v>
      </c>
      <c r="H1403" t="str">
        <f t="shared" si="26"/>
        <v>ALLSTATE</v>
      </c>
    </row>
    <row r="1404" spans="1:8" x14ac:dyDescent="0.25">
      <c r="A1404" t="s">
        <v>436</v>
      </c>
      <c r="B1404">
        <v>1212</v>
      </c>
      <c r="C1404" s="5">
        <v>26702.22</v>
      </c>
      <c r="D1404" s="3">
        <v>44404</v>
      </c>
      <c r="E1404" t="str">
        <f>"202107274749"</f>
        <v>202107274749</v>
      </c>
      <c r="F1404" t="str">
        <f>"RETIREE INS - JULY 2021"</f>
        <v>RETIREE INS - JULY 2021</v>
      </c>
      <c r="G1404" s="5">
        <v>26702.22</v>
      </c>
      <c r="H1404" t="str">
        <f>"RETIREE INS - JULY 2021"</f>
        <v>RETIREE INS - JULY 2021</v>
      </c>
    </row>
    <row r="1405" spans="1:8" x14ac:dyDescent="0.25">
      <c r="A1405" t="s">
        <v>437</v>
      </c>
      <c r="B1405">
        <v>1164</v>
      </c>
      <c r="C1405" s="5">
        <v>1757.39</v>
      </c>
      <c r="D1405" s="3">
        <v>44386</v>
      </c>
      <c r="E1405" t="str">
        <f>"DHM202107074401"</f>
        <v>DHM202107074401</v>
      </c>
      <c r="F1405" t="str">
        <f>"AP - DENTAL HMO"</f>
        <v>AP - DENTAL HMO</v>
      </c>
      <c r="G1405" s="5">
        <v>33.590000000000003</v>
      </c>
      <c r="H1405" t="str">
        <f>"AP - DENTAL HMO"</f>
        <v>AP - DENTAL HMO</v>
      </c>
    </row>
    <row r="1406" spans="1:8" x14ac:dyDescent="0.25">
      <c r="E1406" t="str">
        <f>"DTX202107074401"</f>
        <v>DTX202107074401</v>
      </c>
      <c r="F1406" t="str">
        <f>"AP - TEXAS DENTAL"</f>
        <v>AP - TEXAS DENTAL</v>
      </c>
      <c r="G1406" s="5">
        <v>326.47000000000003</v>
      </c>
      <c r="H1406" t="str">
        <f>"AP - TEXAS DENTAL"</f>
        <v>AP - TEXAS DENTAL</v>
      </c>
    </row>
    <row r="1407" spans="1:8" x14ac:dyDescent="0.25">
      <c r="E1407" t="str">
        <f>"FD 202107074401"</f>
        <v>FD 202107074401</v>
      </c>
      <c r="F1407" t="str">
        <f>"AP - FT DEARBORN PRE-TAX"</f>
        <v>AP - FT DEARBORN PRE-TAX</v>
      </c>
      <c r="G1407" s="5">
        <v>65.84</v>
      </c>
      <c r="H1407" t="str">
        <f>"AP - FT DEARBORN PRE-TAX"</f>
        <v>AP - FT DEARBORN PRE-TAX</v>
      </c>
    </row>
    <row r="1408" spans="1:8" x14ac:dyDescent="0.25">
      <c r="E1408" t="str">
        <f>"FDT202107074401"</f>
        <v>FDT202107074401</v>
      </c>
      <c r="F1408" t="str">
        <f>"AP - FT DEARBORN AFTER TAX"</f>
        <v>AP - FT DEARBORN AFTER TAX</v>
      </c>
      <c r="G1408" s="5">
        <v>65.209999999999994</v>
      </c>
      <c r="H1408" t="str">
        <f>"AP - FT DEARBORN AFTER TAX"</f>
        <v>AP - FT DEARBORN AFTER TAX</v>
      </c>
    </row>
    <row r="1409" spans="1:8" x14ac:dyDescent="0.25">
      <c r="E1409" t="str">
        <f>"FLX202107074401"</f>
        <v>FLX202107074401</v>
      </c>
      <c r="F1409" t="str">
        <f>"AP - TEX FLEX"</f>
        <v>AP - TEX FLEX</v>
      </c>
      <c r="G1409" s="5">
        <v>94.5</v>
      </c>
      <c r="H1409" t="str">
        <f>"AP - TEX FLEX"</f>
        <v>AP - TEX FLEX</v>
      </c>
    </row>
    <row r="1410" spans="1:8" x14ac:dyDescent="0.25">
      <c r="E1410" t="str">
        <f>"HSA202107074401"</f>
        <v>HSA202107074401</v>
      </c>
      <c r="F1410" t="str">
        <f>"AP- HSA"</f>
        <v>AP- HSA</v>
      </c>
      <c r="G1410" s="5">
        <v>20</v>
      </c>
      <c r="H1410" t="str">
        <f>"AP- HSA"</f>
        <v>AP- HSA</v>
      </c>
    </row>
    <row r="1411" spans="1:8" x14ac:dyDescent="0.25">
      <c r="E1411" t="str">
        <f>"MHS202107074401"</f>
        <v>MHS202107074401</v>
      </c>
      <c r="F1411" t="str">
        <f>"AP - HEALTH SELECT MEDICAL"</f>
        <v>AP - HEALTH SELECT MEDICAL</v>
      </c>
      <c r="G1411" s="5">
        <v>718.14</v>
      </c>
      <c r="H1411" t="str">
        <f>"AP - HEALTH SELECT MEDICAL"</f>
        <v>AP - HEALTH SELECT MEDICAL</v>
      </c>
    </row>
    <row r="1412" spans="1:8" x14ac:dyDescent="0.25">
      <c r="E1412" t="str">
        <f>"MSW202107074401"</f>
        <v>MSW202107074401</v>
      </c>
      <c r="F1412" t="str">
        <f>"AP - SCOTT &amp; WHITE MEDICAL"</f>
        <v>AP - SCOTT &amp; WHITE MEDICAL</v>
      </c>
      <c r="G1412" s="5">
        <v>372.42</v>
      </c>
      <c r="H1412" t="str">
        <f>"AP - SCOTT &amp; WHITE MEDICAL"</f>
        <v>AP - SCOTT &amp; WHITE MEDICAL</v>
      </c>
    </row>
    <row r="1413" spans="1:8" x14ac:dyDescent="0.25">
      <c r="E1413" t="str">
        <f>"SPE202107074401"</f>
        <v>SPE202107074401</v>
      </c>
      <c r="F1413" t="str">
        <f>"AP - STATE VISION"</f>
        <v>AP - STATE VISION</v>
      </c>
      <c r="G1413" s="5">
        <v>61.22</v>
      </c>
      <c r="H1413" t="str">
        <f>"AP - STATE VISION"</f>
        <v>AP - STATE VISION</v>
      </c>
    </row>
    <row r="1414" spans="1:8" x14ac:dyDescent="0.25">
      <c r="A1414" t="s">
        <v>437</v>
      </c>
      <c r="B1414">
        <v>1203</v>
      </c>
      <c r="C1414" s="5">
        <v>1757.39</v>
      </c>
      <c r="D1414" s="3">
        <v>44400</v>
      </c>
      <c r="E1414" t="str">
        <f>"DHM202107214731"</f>
        <v>DHM202107214731</v>
      </c>
      <c r="F1414" t="str">
        <f>"AP - DENTAL HMO"</f>
        <v>AP - DENTAL HMO</v>
      </c>
      <c r="G1414" s="5">
        <v>33.590000000000003</v>
      </c>
      <c r="H1414" t="str">
        <f>"AP - DENTAL HMO"</f>
        <v>AP - DENTAL HMO</v>
      </c>
    </row>
    <row r="1415" spans="1:8" x14ac:dyDescent="0.25">
      <c r="E1415" t="str">
        <f>"DTX202107214731"</f>
        <v>DTX202107214731</v>
      </c>
      <c r="F1415" t="str">
        <f>"AP - TEXAS DENTAL"</f>
        <v>AP - TEXAS DENTAL</v>
      </c>
      <c r="G1415" s="5">
        <v>326.47000000000003</v>
      </c>
      <c r="H1415" t="str">
        <f>"AP - TEXAS DENTAL"</f>
        <v>AP - TEXAS DENTAL</v>
      </c>
    </row>
    <row r="1416" spans="1:8" x14ac:dyDescent="0.25">
      <c r="E1416" t="str">
        <f>"FD 202107214731"</f>
        <v>FD 202107214731</v>
      </c>
      <c r="F1416" t="str">
        <f>"AP - FT DEARBORN PRE-TAX"</f>
        <v>AP - FT DEARBORN PRE-TAX</v>
      </c>
      <c r="G1416" s="5">
        <v>65.84</v>
      </c>
      <c r="H1416" t="str">
        <f>"AP - FT DEARBORN PRE-TAX"</f>
        <v>AP - FT DEARBORN PRE-TAX</v>
      </c>
    </row>
    <row r="1417" spans="1:8" x14ac:dyDescent="0.25">
      <c r="E1417" t="str">
        <f>"FDT202107214731"</f>
        <v>FDT202107214731</v>
      </c>
      <c r="F1417" t="str">
        <f>"AP - FT DEARBORN AFTER TAX"</f>
        <v>AP - FT DEARBORN AFTER TAX</v>
      </c>
      <c r="G1417" s="5">
        <v>65.209999999999994</v>
      </c>
      <c r="H1417" t="str">
        <f>"AP - FT DEARBORN AFTER TAX"</f>
        <v>AP - FT DEARBORN AFTER TAX</v>
      </c>
    </row>
    <row r="1418" spans="1:8" x14ac:dyDescent="0.25">
      <c r="E1418" t="str">
        <f>"FLX202107214731"</f>
        <v>FLX202107214731</v>
      </c>
      <c r="F1418" t="str">
        <f>"AP - TEX FLEX"</f>
        <v>AP - TEX FLEX</v>
      </c>
      <c r="G1418" s="5">
        <v>94.5</v>
      </c>
      <c r="H1418" t="str">
        <f>"AP - TEX FLEX"</f>
        <v>AP - TEX FLEX</v>
      </c>
    </row>
    <row r="1419" spans="1:8" x14ac:dyDescent="0.25">
      <c r="E1419" t="str">
        <f>"HSA202107214731"</f>
        <v>HSA202107214731</v>
      </c>
      <c r="F1419" t="str">
        <f>"AP- HSA"</f>
        <v>AP- HSA</v>
      </c>
      <c r="G1419" s="5">
        <v>20</v>
      </c>
      <c r="H1419" t="str">
        <f>"AP- HSA"</f>
        <v>AP- HSA</v>
      </c>
    </row>
    <row r="1420" spans="1:8" x14ac:dyDescent="0.25">
      <c r="E1420" t="str">
        <f>"MHS202107214731"</f>
        <v>MHS202107214731</v>
      </c>
      <c r="F1420" t="str">
        <f>"AP - HEALTH SELECT MEDICAL"</f>
        <v>AP - HEALTH SELECT MEDICAL</v>
      </c>
      <c r="G1420" s="5">
        <v>718.14</v>
      </c>
      <c r="H1420" t="str">
        <f>"AP - HEALTH SELECT MEDICAL"</f>
        <v>AP - HEALTH SELECT MEDICAL</v>
      </c>
    </row>
    <row r="1421" spans="1:8" x14ac:dyDescent="0.25">
      <c r="E1421" t="str">
        <f>"MSW202107214731"</f>
        <v>MSW202107214731</v>
      </c>
      <c r="F1421" t="str">
        <f>"AP - SCOTT &amp; WHITE MEDICAL"</f>
        <v>AP - SCOTT &amp; WHITE MEDICAL</v>
      </c>
      <c r="G1421" s="5">
        <v>372.42</v>
      </c>
      <c r="H1421" t="str">
        <f>"AP - SCOTT &amp; WHITE MEDICAL"</f>
        <v>AP - SCOTT &amp; WHITE MEDICAL</v>
      </c>
    </row>
    <row r="1422" spans="1:8" x14ac:dyDescent="0.25">
      <c r="E1422" t="str">
        <f>"SPE202107214731"</f>
        <v>SPE202107214731</v>
      </c>
      <c r="F1422" t="str">
        <f>"AP - STATE VISION"</f>
        <v>AP - STATE VISION</v>
      </c>
      <c r="G1422" s="5">
        <v>61.22</v>
      </c>
      <c r="H1422" t="str">
        <f>"AP - STATE VISION"</f>
        <v>AP - STATE VISION</v>
      </c>
    </row>
    <row r="1423" spans="1:8" x14ac:dyDescent="0.25">
      <c r="A1423" t="s">
        <v>438</v>
      </c>
      <c r="B1423">
        <v>1217</v>
      </c>
      <c r="C1423" s="5">
        <v>4362.4399999999996</v>
      </c>
      <c r="D1423" s="3">
        <v>44404</v>
      </c>
      <c r="E1423" t="str">
        <f>"202107274753"</f>
        <v>202107274753</v>
      </c>
      <c r="F1423" t="str">
        <f>"ROUNDING - JULY 2021"</f>
        <v>ROUNDING - JULY 2021</v>
      </c>
      <c r="G1423" s="5">
        <v>0.44</v>
      </c>
      <c r="H1423" t="str">
        <f>"ROUNDING - JULY 2021"</f>
        <v>ROUNDING - JULY 2021</v>
      </c>
    </row>
    <row r="1424" spans="1:8" x14ac:dyDescent="0.25">
      <c r="E1424" t="str">
        <f>"CL 202107074399"</f>
        <v>CL 202107074399</v>
      </c>
      <c r="F1424" t="str">
        <f t="shared" ref="F1424:F1443" si="27">"COLONIAL"</f>
        <v>COLONIAL</v>
      </c>
      <c r="G1424" s="5">
        <v>539.33000000000004</v>
      </c>
      <c r="H1424" t="str">
        <f t="shared" ref="H1424:H1443" si="28">"COLONIAL"</f>
        <v>COLONIAL</v>
      </c>
    </row>
    <row r="1425" spans="5:8" x14ac:dyDescent="0.25">
      <c r="E1425" t="str">
        <f>"CL 202107074400"</f>
        <v>CL 202107074400</v>
      </c>
      <c r="F1425" t="str">
        <f t="shared" si="27"/>
        <v>COLONIAL</v>
      </c>
      <c r="G1425" s="5">
        <v>14.49</v>
      </c>
      <c r="H1425" t="str">
        <f t="shared" si="28"/>
        <v>COLONIAL</v>
      </c>
    </row>
    <row r="1426" spans="5:8" x14ac:dyDescent="0.25">
      <c r="E1426" t="str">
        <f>"CL 202107214729"</f>
        <v>CL 202107214729</v>
      </c>
      <c r="F1426" t="str">
        <f t="shared" si="27"/>
        <v>COLONIAL</v>
      </c>
      <c r="G1426" s="5">
        <v>539.33000000000004</v>
      </c>
      <c r="H1426" t="str">
        <f t="shared" si="28"/>
        <v>COLONIAL</v>
      </c>
    </row>
    <row r="1427" spans="5:8" x14ac:dyDescent="0.25">
      <c r="E1427" t="str">
        <f>"CL 202107214730"</f>
        <v>CL 202107214730</v>
      </c>
      <c r="F1427" t="str">
        <f t="shared" si="27"/>
        <v>COLONIAL</v>
      </c>
      <c r="G1427" s="5">
        <v>14.49</v>
      </c>
      <c r="H1427" t="str">
        <f t="shared" si="28"/>
        <v>COLONIAL</v>
      </c>
    </row>
    <row r="1428" spans="5:8" x14ac:dyDescent="0.25">
      <c r="E1428" t="str">
        <f>"CLC202107074399"</f>
        <v>CLC202107074399</v>
      </c>
      <c r="F1428" t="str">
        <f t="shared" si="27"/>
        <v>COLONIAL</v>
      </c>
      <c r="G1428" s="5">
        <v>33.99</v>
      </c>
      <c r="H1428" t="str">
        <f t="shared" si="28"/>
        <v>COLONIAL</v>
      </c>
    </row>
    <row r="1429" spans="5:8" x14ac:dyDescent="0.25">
      <c r="E1429" t="str">
        <f>"CLC202107214729"</f>
        <v>CLC202107214729</v>
      </c>
      <c r="F1429" t="str">
        <f t="shared" si="27"/>
        <v>COLONIAL</v>
      </c>
      <c r="G1429" s="5">
        <v>33.99</v>
      </c>
      <c r="H1429" t="str">
        <f t="shared" si="28"/>
        <v>COLONIAL</v>
      </c>
    </row>
    <row r="1430" spans="5:8" x14ac:dyDescent="0.25">
      <c r="E1430" t="str">
        <f>"CLI202107074399"</f>
        <v>CLI202107074399</v>
      </c>
      <c r="F1430" t="str">
        <f t="shared" si="27"/>
        <v>COLONIAL</v>
      </c>
      <c r="G1430" s="5">
        <v>543.35</v>
      </c>
      <c r="H1430" t="str">
        <f t="shared" si="28"/>
        <v>COLONIAL</v>
      </c>
    </row>
    <row r="1431" spans="5:8" x14ac:dyDescent="0.25">
      <c r="E1431" t="str">
        <f>"CLI202107214729"</f>
        <v>CLI202107214729</v>
      </c>
      <c r="F1431" t="str">
        <f t="shared" si="27"/>
        <v>COLONIAL</v>
      </c>
      <c r="G1431" s="5">
        <v>543.35</v>
      </c>
      <c r="H1431" t="str">
        <f t="shared" si="28"/>
        <v>COLONIAL</v>
      </c>
    </row>
    <row r="1432" spans="5:8" x14ac:dyDescent="0.25">
      <c r="E1432" t="str">
        <f>"CLK202107074399"</f>
        <v>CLK202107074399</v>
      </c>
      <c r="F1432" t="str">
        <f t="shared" si="27"/>
        <v>COLONIAL</v>
      </c>
      <c r="G1432" s="5">
        <v>27.09</v>
      </c>
      <c r="H1432" t="str">
        <f t="shared" si="28"/>
        <v>COLONIAL</v>
      </c>
    </row>
    <row r="1433" spans="5:8" x14ac:dyDescent="0.25">
      <c r="E1433" t="str">
        <f>"CLK202107214729"</f>
        <v>CLK202107214729</v>
      </c>
      <c r="F1433" t="str">
        <f t="shared" si="27"/>
        <v>COLONIAL</v>
      </c>
      <c r="G1433" s="5">
        <v>27.09</v>
      </c>
      <c r="H1433" t="str">
        <f t="shared" si="28"/>
        <v>COLONIAL</v>
      </c>
    </row>
    <row r="1434" spans="5:8" x14ac:dyDescent="0.25">
      <c r="E1434" t="str">
        <f>"CLS202107074399"</f>
        <v>CLS202107074399</v>
      </c>
      <c r="F1434" t="str">
        <f t="shared" si="27"/>
        <v>COLONIAL</v>
      </c>
      <c r="G1434" s="5">
        <v>368.46</v>
      </c>
      <c r="H1434" t="str">
        <f t="shared" si="28"/>
        <v>COLONIAL</v>
      </c>
    </row>
    <row r="1435" spans="5:8" x14ac:dyDescent="0.25">
      <c r="E1435" t="str">
        <f>"CLS202107074400"</f>
        <v>CLS202107074400</v>
      </c>
      <c r="F1435" t="str">
        <f t="shared" si="27"/>
        <v>COLONIAL</v>
      </c>
      <c r="G1435" s="5">
        <v>15.73</v>
      </c>
      <c r="H1435" t="str">
        <f t="shared" si="28"/>
        <v>COLONIAL</v>
      </c>
    </row>
    <row r="1436" spans="5:8" x14ac:dyDescent="0.25">
      <c r="E1436" t="str">
        <f>"CLS202107214729"</f>
        <v>CLS202107214729</v>
      </c>
      <c r="F1436" t="str">
        <f t="shared" si="27"/>
        <v>COLONIAL</v>
      </c>
      <c r="G1436" s="5">
        <v>368.46</v>
      </c>
      <c r="H1436" t="str">
        <f t="shared" si="28"/>
        <v>COLONIAL</v>
      </c>
    </row>
    <row r="1437" spans="5:8" x14ac:dyDescent="0.25">
      <c r="E1437" t="str">
        <f>"CLS202107214730"</f>
        <v>CLS202107214730</v>
      </c>
      <c r="F1437" t="str">
        <f t="shared" si="27"/>
        <v>COLONIAL</v>
      </c>
      <c r="G1437" s="5">
        <v>15.73</v>
      </c>
      <c r="H1437" t="str">
        <f t="shared" si="28"/>
        <v>COLONIAL</v>
      </c>
    </row>
    <row r="1438" spans="5:8" x14ac:dyDescent="0.25">
      <c r="E1438" t="str">
        <f>"CLT202107074399"</f>
        <v>CLT202107074399</v>
      </c>
      <c r="F1438" t="str">
        <f t="shared" si="27"/>
        <v>COLONIAL</v>
      </c>
      <c r="G1438" s="5">
        <v>260.32</v>
      </c>
      <c r="H1438" t="str">
        <f t="shared" si="28"/>
        <v>COLONIAL</v>
      </c>
    </row>
    <row r="1439" spans="5:8" x14ac:dyDescent="0.25">
      <c r="E1439" t="str">
        <f>"CLT202107214729"</f>
        <v>CLT202107214729</v>
      </c>
      <c r="F1439" t="str">
        <f t="shared" si="27"/>
        <v>COLONIAL</v>
      </c>
      <c r="G1439" s="5">
        <v>260.32</v>
      </c>
      <c r="H1439" t="str">
        <f t="shared" si="28"/>
        <v>COLONIAL</v>
      </c>
    </row>
    <row r="1440" spans="5:8" x14ac:dyDescent="0.25">
      <c r="E1440" t="str">
        <f>"CLU202107074399"</f>
        <v>CLU202107074399</v>
      </c>
      <c r="F1440" t="str">
        <f t="shared" si="27"/>
        <v>COLONIAL</v>
      </c>
      <c r="G1440" s="5">
        <v>111.55</v>
      </c>
      <c r="H1440" t="str">
        <f t="shared" si="28"/>
        <v>COLONIAL</v>
      </c>
    </row>
    <row r="1441" spans="1:8" x14ac:dyDescent="0.25">
      <c r="E1441" t="str">
        <f>"CLU202107214729"</f>
        <v>CLU202107214729</v>
      </c>
      <c r="F1441" t="str">
        <f t="shared" si="27"/>
        <v>COLONIAL</v>
      </c>
      <c r="G1441" s="5">
        <v>111.55</v>
      </c>
      <c r="H1441" t="str">
        <f t="shared" si="28"/>
        <v>COLONIAL</v>
      </c>
    </row>
    <row r="1442" spans="1:8" x14ac:dyDescent="0.25">
      <c r="E1442" t="str">
        <f>"CLW202107074399"</f>
        <v>CLW202107074399</v>
      </c>
      <c r="F1442" t="str">
        <f t="shared" si="27"/>
        <v>COLONIAL</v>
      </c>
      <c r="G1442" s="5">
        <v>266.69</v>
      </c>
      <c r="H1442" t="str">
        <f t="shared" si="28"/>
        <v>COLONIAL</v>
      </c>
    </row>
    <row r="1443" spans="1:8" x14ac:dyDescent="0.25">
      <c r="E1443" t="str">
        <f>"CLW202107214729"</f>
        <v>CLW202107214729</v>
      </c>
      <c r="F1443" t="str">
        <f t="shared" si="27"/>
        <v>COLONIAL</v>
      </c>
      <c r="G1443" s="5">
        <v>266.69</v>
      </c>
      <c r="H1443" t="str">
        <f t="shared" si="28"/>
        <v>COLONIAL</v>
      </c>
    </row>
    <row r="1444" spans="1:8" x14ac:dyDescent="0.25">
      <c r="A1444" t="s">
        <v>439</v>
      </c>
      <c r="B1444">
        <v>1165</v>
      </c>
      <c r="C1444" s="5">
        <v>7753.7</v>
      </c>
      <c r="D1444" s="3">
        <v>44386</v>
      </c>
      <c r="E1444" t="str">
        <f>"CPI202107074399"</f>
        <v>CPI202107074399</v>
      </c>
      <c r="F1444" t="str">
        <f>"DEFERRED COMP 457B PAYABLE"</f>
        <v>DEFERRED COMP 457B PAYABLE</v>
      </c>
      <c r="G1444" s="5">
        <v>7658.7</v>
      </c>
      <c r="H1444" t="str">
        <f>"DEFERRED COMP 457B PAYABLE"</f>
        <v>DEFERRED COMP 457B PAYABLE</v>
      </c>
    </row>
    <row r="1445" spans="1:8" x14ac:dyDescent="0.25">
      <c r="E1445" t="str">
        <f>"CPI202107074400"</f>
        <v>CPI202107074400</v>
      </c>
      <c r="F1445" t="str">
        <f>"DEFERRED COMP 457B PAYABLE"</f>
        <v>DEFERRED COMP 457B PAYABLE</v>
      </c>
      <c r="G1445" s="5">
        <v>95</v>
      </c>
      <c r="H1445" t="str">
        <f>"DEFERRED COMP 457B PAYABLE"</f>
        <v>DEFERRED COMP 457B PAYABLE</v>
      </c>
    </row>
    <row r="1446" spans="1:8" x14ac:dyDescent="0.25">
      <c r="A1446" t="s">
        <v>439</v>
      </c>
      <c r="B1446">
        <v>1204</v>
      </c>
      <c r="C1446" s="5">
        <v>7003.7</v>
      </c>
      <c r="D1446" s="3">
        <v>44400</v>
      </c>
      <c r="E1446" t="str">
        <f>"CPI202107214729"</f>
        <v>CPI202107214729</v>
      </c>
      <c r="F1446" t="str">
        <f>"DEFERRED COMP 457B PAYABLE"</f>
        <v>DEFERRED COMP 457B PAYABLE</v>
      </c>
      <c r="G1446" s="5">
        <v>6908.7</v>
      </c>
      <c r="H1446" t="str">
        <f>"DEFERRED COMP 457B PAYABLE"</f>
        <v>DEFERRED COMP 457B PAYABLE</v>
      </c>
    </row>
    <row r="1447" spans="1:8" x14ac:dyDescent="0.25">
      <c r="E1447" t="str">
        <f>"CPI202107214730"</f>
        <v>CPI202107214730</v>
      </c>
      <c r="F1447" t="str">
        <f>"DEFERRED COMP 457B PAYABLE"</f>
        <v>DEFERRED COMP 457B PAYABLE</v>
      </c>
      <c r="G1447" s="5">
        <v>95</v>
      </c>
      <c r="H1447" t="str">
        <f>"DEFERRED COMP 457B PAYABLE"</f>
        <v>DEFERRED COMP 457B PAYABLE</v>
      </c>
    </row>
    <row r="1448" spans="1:8" x14ac:dyDescent="0.25">
      <c r="A1448" t="s">
        <v>440</v>
      </c>
      <c r="B1448">
        <v>1213</v>
      </c>
      <c r="C1448" s="5">
        <v>42185.52</v>
      </c>
      <c r="D1448" s="3">
        <v>44404</v>
      </c>
      <c r="E1448" t="str">
        <f>"202107274750"</f>
        <v>202107274750</v>
      </c>
      <c r="F1448" t="str">
        <f>"RETIREE INS 0 JULY 2021"</f>
        <v>RETIREE INS 0 JULY 2021</v>
      </c>
      <c r="G1448" s="5">
        <v>3359.56</v>
      </c>
      <c r="H1448" t="str">
        <f>"RETIREE INS 0 JULY 2021"</f>
        <v>RETIREE INS 0 JULY 2021</v>
      </c>
    </row>
    <row r="1449" spans="1:8" x14ac:dyDescent="0.25">
      <c r="E1449" t="str">
        <f>"202107274751"</f>
        <v>202107274751</v>
      </c>
      <c r="F1449" t="str">
        <f>"COBRA INS - JULY 2021"</f>
        <v>COBRA INS - JULY 2021</v>
      </c>
      <c r="G1449" s="5">
        <v>207.7</v>
      </c>
      <c r="H1449" t="str">
        <f>"COBRA INS - JULY 2021"</f>
        <v>COBRA INS - JULY 2021</v>
      </c>
    </row>
    <row r="1450" spans="1:8" x14ac:dyDescent="0.25">
      <c r="E1450" t="str">
        <f>"ADC202107074399"</f>
        <v>ADC202107074399</v>
      </c>
      <c r="F1450" t="str">
        <f t="shared" ref="F1450:F1462" si="29">"GUARDIAN"</f>
        <v>GUARDIAN</v>
      </c>
      <c r="G1450" s="5">
        <v>4.62</v>
      </c>
      <c r="H1450" t="str">
        <f t="shared" ref="H1450:H1513" si="30">"GUARDIAN"</f>
        <v>GUARDIAN</v>
      </c>
    </row>
    <row r="1451" spans="1:8" x14ac:dyDescent="0.25">
      <c r="E1451" t="str">
        <f>"ADC202107074400"</f>
        <v>ADC202107074400</v>
      </c>
      <c r="F1451" t="str">
        <f t="shared" si="29"/>
        <v>GUARDIAN</v>
      </c>
      <c r="G1451" s="5">
        <v>0.16</v>
      </c>
      <c r="H1451" t="str">
        <f t="shared" si="30"/>
        <v>GUARDIAN</v>
      </c>
    </row>
    <row r="1452" spans="1:8" x14ac:dyDescent="0.25">
      <c r="E1452" t="str">
        <f>"ADC202107214729"</f>
        <v>ADC202107214729</v>
      </c>
      <c r="F1452" t="str">
        <f t="shared" si="29"/>
        <v>GUARDIAN</v>
      </c>
      <c r="G1452" s="5">
        <v>4.62</v>
      </c>
      <c r="H1452" t="str">
        <f t="shared" si="30"/>
        <v>GUARDIAN</v>
      </c>
    </row>
    <row r="1453" spans="1:8" x14ac:dyDescent="0.25">
      <c r="E1453" t="str">
        <f>"ADC202107214730"</f>
        <v>ADC202107214730</v>
      </c>
      <c r="F1453" t="str">
        <f t="shared" si="29"/>
        <v>GUARDIAN</v>
      </c>
      <c r="G1453" s="5">
        <v>0.16</v>
      </c>
      <c r="H1453" t="str">
        <f t="shared" si="30"/>
        <v>GUARDIAN</v>
      </c>
    </row>
    <row r="1454" spans="1:8" x14ac:dyDescent="0.25">
      <c r="E1454" t="str">
        <f>"ADE202107074399"</f>
        <v>ADE202107074399</v>
      </c>
      <c r="F1454" t="str">
        <f t="shared" si="29"/>
        <v>GUARDIAN</v>
      </c>
      <c r="G1454" s="5">
        <v>231.92</v>
      </c>
      <c r="H1454" t="str">
        <f t="shared" si="30"/>
        <v>GUARDIAN</v>
      </c>
    </row>
    <row r="1455" spans="1:8" x14ac:dyDescent="0.25">
      <c r="E1455" t="str">
        <f>"ADE202107074400"</f>
        <v>ADE202107074400</v>
      </c>
      <c r="F1455" t="str">
        <f t="shared" si="29"/>
        <v>GUARDIAN</v>
      </c>
      <c r="G1455" s="5">
        <v>5.55</v>
      </c>
      <c r="H1455" t="str">
        <f t="shared" si="30"/>
        <v>GUARDIAN</v>
      </c>
    </row>
    <row r="1456" spans="1:8" x14ac:dyDescent="0.25">
      <c r="E1456" t="str">
        <f>"ADE202107214729"</f>
        <v>ADE202107214729</v>
      </c>
      <c r="F1456" t="str">
        <f t="shared" si="29"/>
        <v>GUARDIAN</v>
      </c>
      <c r="G1456" s="5">
        <v>230.42</v>
      </c>
      <c r="H1456" t="str">
        <f t="shared" si="30"/>
        <v>GUARDIAN</v>
      </c>
    </row>
    <row r="1457" spans="5:8" x14ac:dyDescent="0.25">
      <c r="E1457" t="str">
        <f>"ADE202107214730"</f>
        <v>ADE202107214730</v>
      </c>
      <c r="F1457" t="str">
        <f t="shared" si="29"/>
        <v>GUARDIAN</v>
      </c>
      <c r="G1457" s="5">
        <v>5.55</v>
      </c>
      <c r="H1457" t="str">
        <f t="shared" si="30"/>
        <v>GUARDIAN</v>
      </c>
    </row>
    <row r="1458" spans="5:8" x14ac:dyDescent="0.25">
      <c r="E1458" t="str">
        <f>"ADS202107074399"</f>
        <v>ADS202107074399</v>
      </c>
      <c r="F1458" t="str">
        <f t="shared" si="29"/>
        <v>GUARDIAN</v>
      </c>
      <c r="G1458" s="5">
        <v>39.99</v>
      </c>
      <c r="H1458" t="str">
        <f t="shared" si="30"/>
        <v>GUARDIAN</v>
      </c>
    </row>
    <row r="1459" spans="5:8" x14ac:dyDescent="0.25">
      <c r="E1459" t="str">
        <f>"ADS202107074400"</f>
        <v>ADS202107074400</v>
      </c>
      <c r="F1459" t="str">
        <f t="shared" si="29"/>
        <v>GUARDIAN</v>
      </c>
      <c r="G1459" s="5">
        <v>0.53</v>
      </c>
      <c r="H1459" t="str">
        <f t="shared" si="30"/>
        <v>GUARDIAN</v>
      </c>
    </row>
    <row r="1460" spans="5:8" x14ac:dyDescent="0.25">
      <c r="E1460" t="str">
        <f>"ADS202107214729"</f>
        <v>ADS202107214729</v>
      </c>
      <c r="F1460" t="str">
        <f t="shared" si="29"/>
        <v>GUARDIAN</v>
      </c>
      <c r="G1460" s="5">
        <v>39.99</v>
      </c>
      <c r="H1460" t="str">
        <f t="shared" si="30"/>
        <v>GUARDIAN</v>
      </c>
    </row>
    <row r="1461" spans="5:8" x14ac:dyDescent="0.25">
      <c r="E1461" t="str">
        <f>"ADS202107214730"</f>
        <v>ADS202107214730</v>
      </c>
      <c r="F1461" t="str">
        <f t="shared" si="29"/>
        <v>GUARDIAN</v>
      </c>
      <c r="G1461" s="5">
        <v>0.53</v>
      </c>
      <c r="H1461" t="str">
        <f t="shared" si="30"/>
        <v>GUARDIAN</v>
      </c>
    </row>
    <row r="1462" spans="5:8" x14ac:dyDescent="0.25">
      <c r="E1462" t="str">
        <f>"GDC202107074399"</f>
        <v>GDC202107074399</v>
      </c>
      <c r="F1462" t="str">
        <f t="shared" si="29"/>
        <v>GUARDIAN</v>
      </c>
      <c r="G1462" s="5">
        <v>2750.76</v>
      </c>
      <c r="H1462" t="str">
        <f t="shared" si="30"/>
        <v>GUARDIAN</v>
      </c>
    </row>
    <row r="1463" spans="5:8" x14ac:dyDescent="0.25">
      <c r="E1463" t="str">
        <f>""</f>
        <v/>
      </c>
      <c r="F1463" t="str">
        <f>""</f>
        <v/>
      </c>
      <c r="H1463" t="str">
        <f t="shared" si="30"/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 t="shared" si="30"/>
        <v>GUARDIAN</v>
      </c>
    </row>
    <row r="1465" spans="5:8" x14ac:dyDescent="0.25">
      <c r="E1465" t="str">
        <f>""</f>
        <v/>
      </c>
      <c r="F1465" t="str">
        <f>""</f>
        <v/>
      </c>
      <c r="H1465" t="str">
        <f t="shared" si="30"/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 t="shared" si="30"/>
        <v>GUARDIAN</v>
      </c>
    </row>
    <row r="1467" spans="5:8" x14ac:dyDescent="0.25">
      <c r="E1467" t="str">
        <f>""</f>
        <v/>
      </c>
      <c r="F1467" t="str">
        <f>""</f>
        <v/>
      </c>
      <c r="H1467" t="str">
        <f t="shared" si="30"/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 t="shared" si="30"/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 t="shared" si="30"/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 t="shared" si="30"/>
        <v>GUARDIAN</v>
      </c>
    </row>
    <row r="1471" spans="5:8" x14ac:dyDescent="0.25">
      <c r="E1471" t="str">
        <f>""</f>
        <v/>
      </c>
      <c r="F1471" t="str">
        <f>""</f>
        <v/>
      </c>
      <c r="H1471" t="str">
        <f t="shared" si="30"/>
        <v>GUARDIAN</v>
      </c>
    </row>
    <row r="1472" spans="5:8" x14ac:dyDescent="0.25">
      <c r="E1472" t="str">
        <f>""</f>
        <v/>
      </c>
      <c r="F1472" t="str">
        <f>""</f>
        <v/>
      </c>
      <c r="H1472" t="str">
        <f t="shared" si="30"/>
        <v>GUARDIAN</v>
      </c>
    </row>
    <row r="1473" spans="5:8" x14ac:dyDescent="0.25">
      <c r="E1473" t="str">
        <f>""</f>
        <v/>
      </c>
      <c r="F1473" t="str">
        <f>""</f>
        <v/>
      </c>
      <c r="H1473" t="str">
        <f t="shared" si="30"/>
        <v>GUARDIAN</v>
      </c>
    </row>
    <row r="1474" spans="5:8" x14ac:dyDescent="0.25">
      <c r="E1474" t="str">
        <f>""</f>
        <v/>
      </c>
      <c r="F1474" t="str">
        <f>""</f>
        <v/>
      </c>
      <c r="H1474" t="str">
        <f t="shared" si="30"/>
        <v>GUARDIAN</v>
      </c>
    </row>
    <row r="1475" spans="5:8" x14ac:dyDescent="0.25">
      <c r="E1475" t="str">
        <f>""</f>
        <v/>
      </c>
      <c r="F1475" t="str">
        <f>""</f>
        <v/>
      </c>
      <c r="H1475" t="str">
        <f t="shared" si="30"/>
        <v>GUARDIAN</v>
      </c>
    </row>
    <row r="1476" spans="5:8" x14ac:dyDescent="0.25">
      <c r="E1476" t="str">
        <f>""</f>
        <v/>
      </c>
      <c r="F1476" t="str">
        <f>""</f>
        <v/>
      </c>
      <c r="H1476" t="str">
        <f t="shared" si="30"/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 t="shared" si="30"/>
        <v>GUARDIAN</v>
      </c>
    </row>
    <row r="1478" spans="5:8" x14ac:dyDescent="0.25">
      <c r="E1478" t="str">
        <f>""</f>
        <v/>
      </c>
      <c r="F1478" t="str">
        <f>""</f>
        <v/>
      </c>
      <c r="H1478" t="str">
        <f t="shared" si="30"/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 t="shared" si="30"/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 t="shared" si="30"/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 t="shared" si="30"/>
        <v>GUARDIAN</v>
      </c>
    </row>
    <row r="1482" spans="5:8" x14ac:dyDescent="0.25">
      <c r="E1482" t="str">
        <f>""</f>
        <v/>
      </c>
      <c r="F1482" t="str">
        <f>""</f>
        <v/>
      </c>
      <c r="H1482" t="str">
        <f t="shared" si="30"/>
        <v>GUARDIAN</v>
      </c>
    </row>
    <row r="1483" spans="5:8" x14ac:dyDescent="0.25">
      <c r="E1483" t="str">
        <f>""</f>
        <v/>
      </c>
      <c r="F1483" t="str">
        <f>""</f>
        <v/>
      </c>
      <c r="H1483" t="str">
        <f t="shared" si="30"/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 t="shared" si="30"/>
        <v>GUARDIAN</v>
      </c>
    </row>
    <row r="1485" spans="5:8" x14ac:dyDescent="0.25">
      <c r="E1485" t="str">
        <f>""</f>
        <v/>
      </c>
      <c r="F1485" t="str">
        <f>""</f>
        <v/>
      </c>
      <c r="H1485" t="str">
        <f t="shared" si="30"/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 t="shared" si="30"/>
        <v>GUARDIAN</v>
      </c>
    </row>
    <row r="1487" spans="5:8" x14ac:dyDescent="0.25">
      <c r="E1487" t="str">
        <f>""</f>
        <v/>
      </c>
      <c r="F1487" t="str">
        <f>""</f>
        <v/>
      </c>
      <c r="H1487" t="str">
        <f t="shared" si="30"/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 t="shared" si="30"/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 t="shared" si="30"/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 t="shared" si="30"/>
        <v>GUARDIAN</v>
      </c>
    </row>
    <row r="1491" spans="5:8" x14ac:dyDescent="0.25">
      <c r="E1491" t="str">
        <f>""</f>
        <v/>
      </c>
      <c r="F1491" t="str">
        <f>""</f>
        <v/>
      </c>
      <c r="H1491" t="str">
        <f t="shared" si="30"/>
        <v>GUARDIAN</v>
      </c>
    </row>
    <row r="1492" spans="5:8" x14ac:dyDescent="0.25">
      <c r="E1492" t="str">
        <f>""</f>
        <v/>
      </c>
      <c r="F1492" t="str">
        <f>""</f>
        <v/>
      </c>
      <c r="H1492" t="str">
        <f t="shared" si="30"/>
        <v>GUARDIAN</v>
      </c>
    </row>
    <row r="1493" spans="5:8" x14ac:dyDescent="0.25">
      <c r="E1493" t="str">
        <f>""</f>
        <v/>
      </c>
      <c r="F1493" t="str">
        <f>""</f>
        <v/>
      </c>
      <c r="H1493" t="str">
        <f t="shared" si="30"/>
        <v>GUARDIAN</v>
      </c>
    </row>
    <row r="1494" spans="5:8" x14ac:dyDescent="0.25">
      <c r="E1494" t="str">
        <f>""</f>
        <v/>
      </c>
      <c r="F1494" t="str">
        <f>""</f>
        <v/>
      </c>
      <c r="H1494" t="str">
        <f t="shared" si="30"/>
        <v>GUARDIAN</v>
      </c>
    </row>
    <row r="1495" spans="5:8" x14ac:dyDescent="0.25">
      <c r="E1495" t="str">
        <f>""</f>
        <v/>
      </c>
      <c r="F1495" t="str">
        <f>""</f>
        <v/>
      </c>
      <c r="H1495" t="str">
        <f t="shared" si="30"/>
        <v>GUARDIAN</v>
      </c>
    </row>
    <row r="1496" spans="5:8" x14ac:dyDescent="0.25">
      <c r="E1496" t="str">
        <f>"GDC202107074400"</f>
        <v>GDC202107074400</v>
      </c>
      <c r="F1496" t="str">
        <f>"GUARDIAN"</f>
        <v>GUARDIAN</v>
      </c>
      <c r="G1496" s="5">
        <v>101.88</v>
      </c>
      <c r="H1496" t="str">
        <f t="shared" si="30"/>
        <v>GUARDIAN</v>
      </c>
    </row>
    <row r="1497" spans="5:8" x14ac:dyDescent="0.25">
      <c r="E1497" t="str">
        <f>""</f>
        <v/>
      </c>
      <c r="F1497" t="str">
        <f>""</f>
        <v/>
      </c>
      <c r="H1497" t="str">
        <f t="shared" si="30"/>
        <v>GUARDIAN</v>
      </c>
    </row>
    <row r="1498" spans="5:8" x14ac:dyDescent="0.25">
      <c r="E1498" t="str">
        <f>"GDC202107214729"</f>
        <v>GDC202107214729</v>
      </c>
      <c r="F1498" t="str">
        <f>"GUARDIAN"</f>
        <v>GUARDIAN</v>
      </c>
      <c r="G1498" s="5">
        <v>2750.76</v>
      </c>
      <c r="H1498" t="str">
        <f t="shared" si="30"/>
        <v>GUARDIAN</v>
      </c>
    </row>
    <row r="1499" spans="5:8" x14ac:dyDescent="0.25">
      <c r="E1499" t="str">
        <f>""</f>
        <v/>
      </c>
      <c r="F1499" t="str">
        <f>""</f>
        <v/>
      </c>
      <c r="H1499" t="str">
        <f t="shared" si="30"/>
        <v>GUARDIAN</v>
      </c>
    </row>
    <row r="1500" spans="5:8" x14ac:dyDescent="0.25">
      <c r="E1500" t="str">
        <f>""</f>
        <v/>
      </c>
      <c r="F1500" t="str">
        <f>""</f>
        <v/>
      </c>
      <c r="H1500" t="str">
        <f t="shared" si="30"/>
        <v>GUARDIAN</v>
      </c>
    </row>
    <row r="1501" spans="5:8" x14ac:dyDescent="0.25">
      <c r="E1501" t="str">
        <f>""</f>
        <v/>
      </c>
      <c r="F1501" t="str">
        <f>""</f>
        <v/>
      </c>
      <c r="H1501" t="str">
        <f t="shared" si="30"/>
        <v>GUARDIAN</v>
      </c>
    </row>
    <row r="1502" spans="5:8" x14ac:dyDescent="0.25">
      <c r="E1502" t="str">
        <f>""</f>
        <v/>
      </c>
      <c r="F1502" t="str">
        <f>""</f>
        <v/>
      </c>
      <c r="H1502" t="str">
        <f t="shared" si="30"/>
        <v>GUARDIAN</v>
      </c>
    </row>
    <row r="1503" spans="5:8" x14ac:dyDescent="0.25">
      <c r="E1503" t="str">
        <f>""</f>
        <v/>
      </c>
      <c r="F1503" t="str">
        <f>""</f>
        <v/>
      </c>
      <c r="H1503" t="str">
        <f t="shared" si="30"/>
        <v>GUARDIAN</v>
      </c>
    </row>
    <row r="1504" spans="5:8" x14ac:dyDescent="0.25">
      <c r="E1504" t="str">
        <f>""</f>
        <v/>
      </c>
      <c r="F1504" t="str">
        <f>""</f>
        <v/>
      </c>
      <c r="H1504" t="str">
        <f t="shared" si="30"/>
        <v>GUARDIAN</v>
      </c>
    </row>
    <row r="1505" spans="5:8" x14ac:dyDescent="0.25">
      <c r="E1505" t="str">
        <f>""</f>
        <v/>
      </c>
      <c r="F1505" t="str">
        <f>""</f>
        <v/>
      </c>
      <c r="H1505" t="str">
        <f t="shared" si="30"/>
        <v>GUARDIAN</v>
      </c>
    </row>
    <row r="1506" spans="5:8" x14ac:dyDescent="0.25">
      <c r="E1506" t="str">
        <f>""</f>
        <v/>
      </c>
      <c r="F1506" t="str">
        <f>""</f>
        <v/>
      </c>
      <c r="H1506" t="str">
        <f t="shared" si="30"/>
        <v>GUARDIAN</v>
      </c>
    </row>
    <row r="1507" spans="5:8" x14ac:dyDescent="0.25">
      <c r="E1507" t="str">
        <f>""</f>
        <v/>
      </c>
      <c r="F1507" t="str">
        <f>""</f>
        <v/>
      </c>
      <c r="H1507" t="str">
        <f t="shared" si="30"/>
        <v>GUARDIAN</v>
      </c>
    </row>
    <row r="1508" spans="5:8" x14ac:dyDescent="0.25">
      <c r="E1508" t="str">
        <f>""</f>
        <v/>
      </c>
      <c r="F1508" t="str">
        <f>""</f>
        <v/>
      </c>
      <c r="H1508" t="str">
        <f t="shared" si="30"/>
        <v>GUARDIAN</v>
      </c>
    </row>
    <row r="1509" spans="5:8" x14ac:dyDescent="0.25">
      <c r="E1509" t="str">
        <f>""</f>
        <v/>
      </c>
      <c r="F1509" t="str">
        <f>""</f>
        <v/>
      </c>
      <c r="H1509" t="str">
        <f t="shared" si="30"/>
        <v>GUARDIAN</v>
      </c>
    </row>
    <row r="1510" spans="5:8" x14ac:dyDescent="0.25">
      <c r="E1510" t="str">
        <f>""</f>
        <v/>
      </c>
      <c r="F1510" t="str">
        <f>""</f>
        <v/>
      </c>
      <c r="H1510" t="str">
        <f t="shared" si="30"/>
        <v>GUARDIAN</v>
      </c>
    </row>
    <row r="1511" spans="5:8" x14ac:dyDescent="0.25">
      <c r="E1511" t="str">
        <f>""</f>
        <v/>
      </c>
      <c r="F1511" t="str">
        <f>""</f>
        <v/>
      </c>
      <c r="H1511" t="str">
        <f t="shared" si="30"/>
        <v>GUARDIAN</v>
      </c>
    </row>
    <row r="1512" spans="5:8" x14ac:dyDescent="0.25">
      <c r="E1512" t="str">
        <f>""</f>
        <v/>
      </c>
      <c r="F1512" t="str">
        <f>""</f>
        <v/>
      </c>
      <c r="H1512" t="str">
        <f t="shared" si="30"/>
        <v>GUARDIAN</v>
      </c>
    </row>
    <row r="1513" spans="5:8" x14ac:dyDescent="0.25">
      <c r="E1513" t="str">
        <f>""</f>
        <v/>
      </c>
      <c r="F1513" t="str">
        <f>""</f>
        <v/>
      </c>
      <c r="H1513" t="str">
        <f t="shared" si="30"/>
        <v>GUARDIAN</v>
      </c>
    </row>
    <row r="1514" spans="5:8" x14ac:dyDescent="0.25">
      <c r="E1514" t="str">
        <f>""</f>
        <v/>
      </c>
      <c r="F1514" t="str">
        <f>""</f>
        <v/>
      </c>
      <c r="H1514" t="str">
        <f t="shared" ref="H1514:H1577" si="31">"GUARDIAN"</f>
        <v>GUARDIAN</v>
      </c>
    </row>
    <row r="1515" spans="5:8" x14ac:dyDescent="0.25">
      <c r="E1515" t="str">
        <f>""</f>
        <v/>
      </c>
      <c r="F1515" t="str">
        <f>""</f>
        <v/>
      </c>
      <c r="H1515" t="str">
        <f t="shared" si="31"/>
        <v>GUARDIAN</v>
      </c>
    </row>
    <row r="1516" spans="5:8" x14ac:dyDescent="0.25">
      <c r="E1516" t="str">
        <f>""</f>
        <v/>
      </c>
      <c r="F1516" t="str">
        <f>""</f>
        <v/>
      </c>
      <c r="H1516" t="str">
        <f t="shared" si="31"/>
        <v>GUARDIAN</v>
      </c>
    </row>
    <row r="1517" spans="5:8" x14ac:dyDescent="0.25">
      <c r="E1517" t="str">
        <f>""</f>
        <v/>
      </c>
      <c r="F1517" t="str">
        <f>""</f>
        <v/>
      </c>
      <c r="H1517" t="str">
        <f t="shared" si="31"/>
        <v>GUARDIAN</v>
      </c>
    </row>
    <row r="1518" spans="5:8" x14ac:dyDescent="0.25">
      <c r="E1518" t="str">
        <f>""</f>
        <v/>
      </c>
      <c r="F1518" t="str">
        <f>""</f>
        <v/>
      </c>
      <c r="H1518" t="str">
        <f t="shared" si="31"/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 t="shared" si="31"/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 t="shared" si="31"/>
        <v>GUARDIAN</v>
      </c>
    </row>
    <row r="1521" spans="5:8" x14ac:dyDescent="0.25">
      <c r="E1521" t="str">
        <f>""</f>
        <v/>
      </c>
      <c r="F1521" t="str">
        <f>""</f>
        <v/>
      </c>
      <c r="H1521" t="str">
        <f t="shared" si="31"/>
        <v>GUARDIAN</v>
      </c>
    </row>
    <row r="1522" spans="5:8" x14ac:dyDescent="0.25">
      <c r="E1522" t="str">
        <f>""</f>
        <v/>
      </c>
      <c r="F1522" t="str">
        <f>""</f>
        <v/>
      </c>
      <c r="H1522" t="str">
        <f t="shared" si="31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si="31"/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 t="shared" si="31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31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31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31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si="31"/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31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31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31"/>
        <v>GUARDIAN</v>
      </c>
    </row>
    <row r="1532" spans="5:8" x14ac:dyDescent="0.25">
      <c r="E1532" t="str">
        <f>"GDC202107214730"</f>
        <v>GDC202107214730</v>
      </c>
      <c r="F1532" t="str">
        <f>"GUARDIAN"</f>
        <v>GUARDIAN</v>
      </c>
      <c r="G1532" s="5">
        <v>101.88</v>
      </c>
      <c r="H1532" t="str">
        <f t="shared" si="31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31"/>
        <v>GUARDIAN</v>
      </c>
    </row>
    <row r="1534" spans="5:8" x14ac:dyDescent="0.25">
      <c r="E1534" t="str">
        <f>"GDE202107074399"</f>
        <v>GDE202107074399</v>
      </c>
      <c r="F1534" t="str">
        <f>"GUARDIAN"</f>
        <v>GUARDIAN</v>
      </c>
      <c r="G1534" s="5">
        <v>4678.5600000000004</v>
      </c>
      <c r="H1534" t="str">
        <f t="shared" si="31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31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31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31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31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31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31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31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si="31"/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31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31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31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31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31"/>
        <v>GUARDIAN</v>
      </c>
    </row>
    <row r="1548" spans="5:8" x14ac:dyDescent="0.25">
      <c r="E1548" t="str">
        <f>""</f>
        <v/>
      </c>
      <c r="F1548" t="str">
        <f>""</f>
        <v/>
      </c>
      <c r="H1548" t="str">
        <f t="shared" si="31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31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31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31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31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31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31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31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31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31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31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31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31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31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31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31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31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31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31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31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31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31"/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31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31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31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31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31"/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31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si="31"/>
        <v>GUARDIAN</v>
      </c>
    </row>
    <row r="1577" spans="5:8" x14ac:dyDescent="0.25">
      <c r="E1577" t="str">
        <f>"GDE202107074400"</f>
        <v>GDE202107074400</v>
      </c>
      <c r="F1577" t="str">
        <f>"GUARDIAN"</f>
        <v>GUARDIAN</v>
      </c>
      <c r="G1577" s="5">
        <v>153.9</v>
      </c>
      <c r="H1577" t="str">
        <f t="shared" si="31"/>
        <v>GUARDIAN</v>
      </c>
    </row>
    <row r="1578" spans="5:8" x14ac:dyDescent="0.25">
      <c r="E1578" t="str">
        <f>"GDE202107214729"</f>
        <v>GDE202107214729</v>
      </c>
      <c r="F1578" t="str">
        <f>"GUARDIAN"</f>
        <v>GUARDIAN</v>
      </c>
      <c r="G1578" s="5">
        <v>4617</v>
      </c>
      <c r="H1578" t="str">
        <f t="shared" ref="H1578:H1641" si="32">"GUARDIAN"</f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32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32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32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32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32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32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32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32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32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32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32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32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si="32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32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32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32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32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32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32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32"/>
        <v>GUARDIAN</v>
      </c>
    </row>
    <row r="1599" spans="5:8" x14ac:dyDescent="0.25">
      <c r="E1599" t="str">
        <f>""</f>
        <v/>
      </c>
      <c r="F1599" t="str">
        <f>""</f>
        <v/>
      </c>
      <c r="H1599" t="str">
        <f t="shared" si="32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32"/>
        <v>GUARDIAN</v>
      </c>
    </row>
    <row r="1601" spans="5:8" x14ac:dyDescent="0.25">
      <c r="E1601" t="str">
        <f>""</f>
        <v/>
      </c>
      <c r="F1601" t="str">
        <f>""</f>
        <v/>
      </c>
      <c r="H1601" t="str">
        <f t="shared" si="32"/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32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32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32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32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32"/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32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32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32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32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32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32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32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32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32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32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32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32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32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32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32"/>
        <v>GUARDIAN</v>
      </c>
    </row>
    <row r="1622" spans="5:8" x14ac:dyDescent="0.25">
      <c r="E1622" t="str">
        <f>"GDE202107214730"</f>
        <v>GDE202107214730</v>
      </c>
      <c r="F1622" t="str">
        <f>"GUARDIAN"</f>
        <v>GUARDIAN</v>
      </c>
      <c r="G1622" s="5">
        <v>153.9</v>
      </c>
      <c r="H1622" t="str">
        <f t="shared" si="32"/>
        <v>GUARDIAN</v>
      </c>
    </row>
    <row r="1623" spans="5:8" x14ac:dyDescent="0.25">
      <c r="E1623" t="str">
        <f>"GDF202107074399"</f>
        <v>GDF202107074399</v>
      </c>
      <c r="F1623" t="str">
        <f>"GUARDIAN"</f>
        <v>GUARDIAN</v>
      </c>
      <c r="G1623" s="5">
        <v>2259.4499999999998</v>
      </c>
      <c r="H1623" t="str">
        <f t="shared" si="32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32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32"/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 t="shared" si="32"/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 t="shared" si="32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32"/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32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32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32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32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32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32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32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32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32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32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32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32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32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ref="H1642:H1705" si="33">"GUARDIAN"</f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33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33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33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33"/>
        <v>GUARDIAN</v>
      </c>
    </row>
    <row r="1647" spans="5:8" x14ac:dyDescent="0.25">
      <c r="E1647" t="str">
        <f>"GDF202107074400"</f>
        <v>GDF202107074400</v>
      </c>
      <c r="F1647" t="str">
        <f>"GUARDIAN"</f>
        <v>GUARDIAN</v>
      </c>
      <c r="G1647" s="5">
        <v>100.42</v>
      </c>
      <c r="H1647" t="str">
        <f t="shared" si="33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33"/>
        <v>GUARDIAN</v>
      </c>
    </row>
    <row r="1649" spans="5:8" x14ac:dyDescent="0.25">
      <c r="E1649" t="str">
        <f>"GDF202107214729"</f>
        <v>GDF202107214729</v>
      </c>
      <c r="F1649" t="str">
        <f>"GUARDIAN"</f>
        <v>GUARDIAN</v>
      </c>
      <c r="G1649" s="5">
        <v>2259.4499999999998</v>
      </c>
      <c r="H1649" t="str">
        <f t="shared" si="33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33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33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33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33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33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33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si="33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33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33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33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33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33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33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33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33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33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33"/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33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33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33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33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33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33"/>
        <v>GUARDIAN</v>
      </c>
    </row>
    <row r="1673" spans="5:8" x14ac:dyDescent="0.25">
      <c r="E1673" t="str">
        <f>"GDF202107214730"</f>
        <v>GDF202107214730</v>
      </c>
      <c r="F1673" t="str">
        <f>"GUARDIAN"</f>
        <v>GUARDIAN</v>
      </c>
      <c r="G1673" s="5">
        <v>100.42</v>
      </c>
      <c r="H1673" t="str">
        <f t="shared" si="33"/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 t="shared" si="33"/>
        <v>GUARDIAN</v>
      </c>
    </row>
    <row r="1675" spans="5:8" x14ac:dyDescent="0.25">
      <c r="E1675" t="str">
        <f>"GDS202107074399"</f>
        <v>GDS202107074399</v>
      </c>
      <c r="F1675" t="str">
        <f>"GUARDIAN"</f>
        <v>GUARDIAN</v>
      </c>
      <c r="G1675" s="5">
        <v>1799.16</v>
      </c>
      <c r="H1675" t="str">
        <f t="shared" si="33"/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 t="shared" si="33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si="33"/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33"/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 t="shared" si="33"/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 t="shared" si="33"/>
        <v>GUARDIAN</v>
      </c>
    </row>
    <row r="1681" spans="5:8" x14ac:dyDescent="0.25">
      <c r="E1681" t="str">
        <f>""</f>
        <v/>
      </c>
      <c r="F1681" t="str">
        <f>""</f>
        <v/>
      </c>
      <c r="H1681" t="str">
        <f t="shared" si="33"/>
        <v>GUARDIAN</v>
      </c>
    </row>
    <row r="1682" spans="5:8" x14ac:dyDescent="0.25">
      <c r="E1682" t="str">
        <f>""</f>
        <v/>
      </c>
      <c r="F1682" t="str">
        <f>""</f>
        <v/>
      </c>
      <c r="H1682" t="str">
        <f t="shared" si="33"/>
        <v>GUARDIAN</v>
      </c>
    </row>
    <row r="1683" spans="5:8" x14ac:dyDescent="0.25">
      <c r="E1683" t="str">
        <f>""</f>
        <v/>
      </c>
      <c r="F1683" t="str">
        <f>""</f>
        <v/>
      </c>
      <c r="H1683" t="str">
        <f t="shared" si="33"/>
        <v>GUARDIAN</v>
      </c>
    </row>
    <row r="1684" spans="5:8" x14ac:dyDescent="0.25">
      <c r="E1684" t="str">
        <f>""</f>
        <v/>
      </c>
      <c r="F1684" t="str">
        <f>""</f>
        <v/>
      </c>
      <c r="H1684" t="str">
        <f t="shared" si="33"/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 t="shared" si="33"/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33"/>
        <v>GUARDIAN</v>
      </c>
    </row>
    <row r="1687" spans="5:8" x14ac:dyDescent="0.25">
      <c r="E1687" t="str">
        <f>""</f>
        <v/>
      </c>
      <c r="F1687" t="str">
        <f>""</f>
        <v/>
      </c>
      <c r="H1687" t="str">
        <f t="shared" si="33"/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 t="shared" si="33"/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 t="shared" si="33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33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33"/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 t="shared" si="33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33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33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33"/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33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33"/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33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33"/>
        <v>GUARDIAN</v>
      </c>
    </row>
    <row r="1700" spans="5:8" x14ac:dyDescent="0.25">
      <c r="E1700" t="str">
        <f>"GDS202107214729"</f>
        <v>GDS202107214729</v>
      </c>
      <c r="F1700" t="str">
        <f>"GUARDIAN"</f>
        <v>GUARDIAN</v>
      </c>
      <c r="G1700" s="5">
        <v>1799.16</v>
      </c>
      <c r="H1700" t="str">
        <f t="shared" si="33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33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33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33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33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33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ref="H1706:H1724" si="34">"GUARDIAN"</f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34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34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34"/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34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34"/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 t="shared" si="34"/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34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34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34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34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34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34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34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34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si="34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34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34"/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 t="shared" si="34"/>
        <v>GUARDIAN</v>
      </c>
    </row>
    <row r="1725" spans="5:8" x14ac:dyDescent="0.25">
      <c r="E1725" t="str">
        <f>"GV1202107074399"</f>
        <v>GV1202107074399</v>
      </c>
      <c r="F1725" t="str">
        <f>"GUARDIAN VISION"</f>
        <v>GUARDIAN VISION</v>
      </c>
      <c r="G1725" s="5">
        <v>431.2</v>
      </c>
      <c r="H1725" t="str">
        <f>"GUARDIAN VISION"</f>
        <v>GUARDIAN VISION</v>
      </c>
    </row>
    <row r="1726" spans="5:8" x14ac:dyDescent="0.25">
      <c r="E1726" t="str">
        <f>"GV1202107074400"</f>
        <v>GV1202107074400</v>
      </c>
      <c r="F1726" t="str">
        <f>"GUARDIAN VISION"</f>
        <v>GUARDIAN VISION</v>
      </c>
      <c r="G1726" s="5">
        <v>5.6</v>
      </c>
      <c r="H1726" t="str">
        <f>"GUARDIAN VISION"</f>
        <v>GUARDIAN VISION</v>
      </c>
    </row>
    <row r="1727" spans="5:8" x14ac:dyDescent="0.25">
      <c r="E1727" t="str">
        <f>"GV1202107214729"</f>
        <v>GV1202107214729</v>
      </c>
      <c r="F1727" t="str">
        <f>"GUARDIAN VISION"</f>
        <v>GUARDIAN VISION</v>
      </c>
      <c r="G1727" s="5">
        <v>431.2</v>
      </c>
      <c r="H1727" t="str">
        <f>"GUARDIAN VISION"</f>
        <v>GUARDIAN VISION</v>
      </c>
    </row>
    <row r="1728" spans="5:8" x14ac:dyDescent="0.25">
      <c r="E1728" t="str">
        <f>"GV1202107214730"</f>
        <v>GV1202107214730</v>
      </c>
      <c r="F1728" t="str">
        <f>"GUARDIAN VISION"</f>
        <v>GUARDIAN VISION</v>
      </c>
      <c r="G1728" s="5">
        <v>5.6</v>
      </c>
      <c r="H1728" t="str">
        <f>"GUARDIAN VISION"</f>
        <v>GUARDIAN VISION</v>
      </c>
    </row>
    <row r="1729" spans="5:8" x14ac:dyDescent="0.25">
      <c r="E1729" t="str">
        <f>"GVE202107074399"</f>
        <v>GVE202107074399</v>
      </c>
      <c r="F1729" t="str">
        <f>"GUARDIAN VISION VENDOR"</f>
        <v>GUARDIAN VISION VENDOR</v>
      </c>
      <c r="G1729" s="5">
        <v>660.51</v>
      </c>
      <c r="H1729" t="str">
        <f>"GUARDIAN VISION VENDOR"</f>
        <v>GUARDIAN VISION VENDOR</v>
      </c>
    </row>
    <row r="1730" spans="5:8" x14ac:dyDescent="0.25">
      <c r="E1730" t="str">
        <f>"GVE202107074400"</f>
        <v>GVE202107074400</v>
      </c>
      <c r="F1730" t="str">
        <f>"GUARDIAN VISION VENDOR"</f>
        <v>GUARDIAN VISION VENDOR</v>
      </c>
      <c r="G1730" s="5">
        <v>29.52</v>
      </c>
      <c r="H1730" t="str">
        <f>"GUARDIAN VISION VENDOR"</f>
        <v>GUARDIAN VISION VENDOR</v>
      </c>
    </row>
    <row r="1731" spans="5:8" x14ac:dyDescent="0.25">
      <c r="E1731" t="str">
        <f>"GVE202107214729"</f>
        <v>GVE202107214729</v>
      </c>
      <c r="F1731" t="str">
        <f>"GUARDIAN VISION VENDOR"</f>
        <v>GUARDIAN VISION VENDOR</v>
      </c>
      <c r="G1731" s="5">
        <v>660.51</v>
      </c>
      <c r="H1731" t="str">
        <f>"GUARDIAN VISION VENDOR"</f>
        <v>GUARDIAN VISION VENDOR</v>
      </c>
    </row>
    <row r="1732" spans="5:8" x14ac:dyDescent="0.25">
      <c r="E1732" t="str">
        <f>"GVE202107214730"</f>
        <v>GVE202107214730</v>
      </c>
      <c r="F1732" t="str">
        <f>"GUARDIAN VISION VENDOR"</f>
        <v>GUARDIAN VISION VENDOR</v>
      </c>
      <c r="G1732" s="5">
        <v>29.52</v>
      </c>
      <c r="H1732" t="str">
        <f>"GUARDIAN VISION VENDOR"</f>
        <v>GUARDIAN VISION VENDOR</v>
      </c>
    </row>
    <row r="1733" spans="5:8" x14ac:dyDescent="0.25">
      <c r="E1733" t="str">
        <f>"GVF202107074399"</f>
        <v>GVF202107074399</v>
      </c>
      <c r="F1733" t="str">
        <f>"GUARDIAN VISION"</f>
        <v>GUARDIAN VISION</v>
      </c>
      <c r="G1733" s="5">
        <v>551.6</v>
      </c>
      <c r="H1733" t="str">
        <f>"GUARDIAN VISION"</f>
        <v>GUARDIAN VISION</v>
      </c>
    </row>
    <row r="1734" spans="5:8" x14ac:dyDescent="0.25">
      <c r="E1734" t="str">
        <f>"GVF202107074400"</f>
        <v>GVF202107074400</v>
      </c>
      <c r="F1734" t="str">
        <f>"GUARDIAN VISION VENDOR"</f>
        <v>GUARDIAN VISION VENDOR</v>
      </c>
      <c r="G1734" s="5">
        <v>19.7</v>
      </c>
      <c r="H1734" t="str">
        <f>"GUARDIAN VISION VENDOR"</f>
        <v>GUARDIAN VISION VENDOR</v>
      </c>
    </row>
    <row r="1735" spans="5:8" x14ac:dyDescent="0.25">
      <c r="E1735" t="str">
        <f>"GVF202107214729"</f>
        <v>GVF202107214729</v>
      </c>
      <c r="F1735" t="str">
        <f>"GUARDIAN VISION"</f>
        <v>GUARDIAN VISION</v>
      </c>
      <c r="G1735" s="5">
        <v>551.6</v>
      </c>
      <c r="H1735" t="str">
        <f>"GUARDIAN VISION"</f>
        <v>GUARDIAN VISION</v>
      </c>
    </row>
    <row r="1736" spans="5:8" x14ac:dyDescent="0.25">
      <c r="E1736" t="str">
        <f>"GVF202107214730"</f>
        <v>GVF202107214730</v>
      </c>
      <c r="F1736" t="str">
        <f>"GUARDIAN VISION VENDOR"</f>
        <v>GUARDIAN VISION VENDOR</v>
      </c>
      <c r="G1736" s="5">
        <v>19.7</v>
      </c>
      <c r="H1736" t="str">
        <f>"GUARDIAN VISION VENDOR"</f>
        <v>GUARDIAN VISION VENDOR</v>
      </c>
    </row>
    <row r="1737" spans="5:8" x14ac:dyDescent="0.25">
      <c r="E1737" t="str">
        <f>"LIA202107074399"</f>
        <v>LIA202107074399</v>
      </c>
      <c r="F1737" t="str">
        <f>"GUARDIAN"</f>
        <v>GUARDIAN</v>
      </c>
      <c r="G1737" s="5">
        <v>295.48</v>
      </c>
      <c r="H1737" t="str">
        <f t="shared" ref="H1737:H1768" si="35">"GUARDIAN"</f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35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35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35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35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35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35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35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35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35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35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35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35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35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35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35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35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35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35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35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35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35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35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35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35"/>
        <v>GUARDIAN</v>
      </c>
    </row>
    <row r="1762" spans="5:8" x14ac:dyDescent="0.25">
      <c r="E1762" t="str">
        <f>"LIA202107074400"</f>
        <v>LIA202107074400</v>
      </c>
      <c r="F1762" t="str">
        <f>"GUARDIAN"</f>
        <v>GUARDIAN</v>
      </c>
      <c r="G1762" s="5">
        <v>40.99</v>
      </c>
      <c r="H1762" t="str">
        <f t="shared" si="35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35"/>
        <v>GUARDIAN</v>
      </c>
    </row>
    <row r="1764" spans="5:8" x14ac:dyDescent="0.25">
      <c r="E1764" t="str">
        <f>"LIA202107214729"</f>
        <v>LIA202107214729</v>
      </c>
      <c r="F1764" t="str">
        <f>"GUARDIAN"</f>
        <v>GUARDIAN</v>
      </c>
      <c r="G1764" s="5">
        <v>295.48</v>
      </c>
      <c r="H1764" t="str">
        <f t="shared" si="35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35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35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35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35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ref="H1769:H1800" si="36">"GUARDIAN"</f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36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36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36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36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36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36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36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36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36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36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36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36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36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36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36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36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36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36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36"/>
        <v>GUARDIAN</v>
      </c>
    </row>
    <row r="1789" spans="5:8" x14ac:dyDescent="0.25">
      <c r="E1789" t="str">
        <f>"LIA202107214730"</f>
        <v>LIA202107214730</v>
      </c>
      <c r="F1789" t="str">
        <f>"GUARDIAN"</f>
        <v>GUARDIAN</v>
      </c>
      <c r="G1789" s="5">
        <v>40.99</v>
      </c>
      <c r="H1789" t="str">
        <f t="shared" si="36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36"/>
        <v>GUARDIAN</v>
      </c>
    </row>
    <row r="1791" spans="5:8" x14ac:dyDescent="0.25">
      <c r="E1791" t="str">
        <f>"LIC202107074399"</f>
        <v>LIC202107074399</v>
      </c>
      <c r="F1791" t="str">
        <f>"GUARDIAN"</f>
        <v>GUARDIAN</v>
      </c>
      <c r="G1791" s="5">
        <v>35.42</v>
      </c>
      <c r="H1791" t="str">
        <f t="shared" si="36"/>
        <v>GUARDIAN</v>
      </c>
    </row>
    <row r="1792" spans="5:8" x14ac:dyDescent="0.25">
      <c r="E1792" t="str">
        <f>"LIC202107074400"</f>
        <v>LIC202107074400</v>
      </c>
      <c r="F1792" t="str">
        <f>"GUARDIAN"</f>
        <v>GUARDIAN</v>
      </c>
      <c r="G1792" s="5">
        <v>0.7</v>
      </c>
      <c r="H1792" t="str">
        <f t="shared" si="36"/>
        <v>GUARDIAN</v>
      </c>
    </row>
    <row r="1793" spans="5:8" x14ac:dyDescent="0.25">
      <c r="E1793" t="str">
        <f>"LIC202107214729"</f>
        <v>LIC202107214729</v>
      </c>
      <c r="F1793" t="str">
        <f>"GUARDIAN"</f>
        <v>GUARDIAN</v>
      </c>
      <c r="G1793" s="5">
        <v>35.42</v>
      </c>
      <c r="H1793" t="str">
        <f t="shared" si="36"/>
        <v>GUARDIAN</v>
      </c>
    </row>
    <row r="1794" spans="5:8" x14ac:dyDescent="0.25">
      <c r="E1794" t="str">
        <f>"LIC202107214730"</f>
        <v>LIC202107214730</v>
      </c>
      <c r="F1794" t="str">
        <f>"GUARDIAN"</f>
        <v>GUARDIAN</v>
      </c>
      <c r="G1794" s="5">
        <v>0.7</v>
      </c>
      <c r="H1794" t="str">
        <f t="shared" si="36"/>
        <v>GUARDIAN</v>
      </c>
    </row>
    <row r="1795" spans="5:8" x14ac:dyDescent="0.25">
      <c r="E1795" t="str">
        <f>"LIE202107074399"</f>
        <v>LIE202107074399</v>
      </c>
      <c r="F1795" t="str">
        <f>"GUARDIAN"</f>
        <v>GUARDIAN</v>
      </c>
      <c r="G1795" s="5">
        <v>3657.45</v>
      </c>
      <c r="H1795" t="str">
        <f t="shared" si="36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36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36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36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36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36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ref="H1801:H1832" si="37">"GUARDIAN"</f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37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37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37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37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37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37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37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37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37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37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37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37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37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37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37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37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37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37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37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37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37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37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37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37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37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37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37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37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37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37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37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ref="H1833:H1864" si="38">"GUARDIAN"</f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38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38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38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38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38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38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38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38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38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38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38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38"/>
        <v>GUARDIAN</v>
      </c>
    </row>
    <row r="1846" spans="5:8" x14ac:dyDescent="0.25">
      <c r="E1846" t="str">
        <f>"LIE202107074400"</f>
        <v>LIE202107074400</v>
      </c>
      <c r="F1846" t="str">
        <f>"GUARDIAN"</f>
        <v>GUARDIAN</v>
      </c>
      <c r="G1846" s="5">
        <v>75.099999999999994</v>
      </c>
      <c r="H1846" t="str">
        <f t="shared" si="38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38"/>
        <v>GUARDIAN</v>
      </c>
    </row>
    <row r="1848" spans="5:8" x14ac:dyDescent="0.25">
      <c r="E1848" t="str">
        <f>"LIE202107214729"</f>
        <v>LIE202107214729</v>
      </c>
      <c r="F1848" t="str">
        <f>"GUARDIAN"</f>
        <v>GUARDIAN</v>
      </c>
      <c r="G1848" s="5">
        <v>3594.85</v>
      </c>
      <c r="H1848" t="str">
        <f t="shared" si="38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38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38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38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38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38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38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38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38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38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38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38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38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38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38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38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38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ref="H1865:H1896" si="39">"GUARDIAN"</f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39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39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39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39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39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39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39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39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39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39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39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39"/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si="39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39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39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39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39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39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39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39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39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39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39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39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39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39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39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39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39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39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39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ref="H1897:H1910" si="40">"GUARDIAN"</f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40"/>
        <v>GUARDIAN</v>
      </c>
    </row>
    <row r="1899" spans="5:8" x14ac:dyDescent="0.25">
      <c r="E1899" t="str">
        <f>"LIE202107214730"</f>
        <v>LIE202107214730</v>
      </c>
      <c r="F1899" t="str">
        <f>"GUARDIAN"</f>
        <v>GUARDIAN</v>
      </c>
      <c r="G1899" s="5">
        <v>75.099999999999994</v>
      </c>
      <c r="H1899" t="str">
        <f t="shared" si="40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40"/>
        <v>GUARDIAN</v>
      </c>
    </row>
    <row r="1901" spans="5:8" x14ac:dyDescent="0.25">
      <c r="E1901" t="str">
        <f>"LIS202107074399"</f>
        <v>LIS202107074399</v>
      </c>
      <c r="F1901" t="str">
        <f t="shared" ref="F1901:F1910" si="41">"GUARDIAN"</f>
        <v>GUARDIAN</v>
      </c>
      <c r="G1901" s="5">
        <v>488.88</v>
      </c>
      <c r="H1901" t="str">
        <f t="shared" si="40"/>
        <v>GUARDIAN</v>
      </c>
    </row>
    <row r="1902" spans="5:8" x14ac:dyDescent="0.25">
      <c r="E1902" t="str">
        <f>"LIS202107074400"</f>
        <v>LIS202107074400</v>
      </c>
      <c r="F1902" t="str">
        <f t="shared" si="41"/>
        <v>GUARDIAN</v>
      </c>
      <c r="G1902" s="5">
        <v>36.15</v>
      </c>
      <c r="H1902" t="str">
        <f t="shared" si="40"/>
        <v>GUARDIAN</v>
      </c>
    </row>
    <row r="1903" spans="5:8" x14ac:dyDescent="0.25">
      <c r="E1903" t="str">
        <f>"LIS202107214729"</f>
        <v>LIS202107214729</v>
      </c>
      <c r="F1903" t="str">
        <f t="shared" si="41"/>
        <v>GUARDIAN</v>
      </c>
      <c r="G1903" s="5">
        <v>488.88</v>
      </c>
      <c r="H1903" t="str">
        <f t="shared" si="40"/>
        <v>GUARDIAN</v>
      </c>
    </row>
    <row r="1904" spans="5:8" x14ac:dyDescent="0.25">
      <c r="E1904" t="str">
        <f>"LIS202107214730"</f>
        <v>LIS202107214730</v>
      </c>
      <c r="F1904" t="str">
        <f t="shared" si="41"/>
        <v>GUARDIAN</v>
      </c>
      <c r="G1904" s="5">
        <v>36.15</v>
      </c>
      <c r="H1904" t="str">
        <f t="shared" si="40"/>
        <v>GUARDIAN</v>
      </c>
    </row>
    <row r="1905" spans="1:8" x14ac:dyDescent="0.25">
      <c r="E1905" t="str">
        <f>"LTD202107074399"</f>
        <v>LTD202107074399</v>
      </c>
      <c r="F1905" t="str">
        <f t="shared" si="41"/>
        <v>GUARDIAN</v>
      </c>
      <c r="G1905" s="5">
        <v>916.76</v>
      </c>
      <c r="H1905" t="str">
        <f t="shared" si="40"/>
        <v>GUARDIAN</v>
      </c>
    </row>
    <row r="1906" spans="1:8" x14ac:dyDescent="0.25">
      <c r="E1906" t="str">
        <f>"LTD202107214729"</f>
        <v>LTD202107214729</v>
      </c>
      <c r="F1906" t="str">
        <f t="shared" si="41"/>
        <v>GUARDIAN</v>
      </c>
      <c r="G1906" s="5">
        <v>916.76</v>
      </c>
      <c r="H1906" t="str">
        <f t="shared" si="40"/>
        <v>GUARDIAN</v>
      </c>
    </row>
    <row r="1907" spans="1:8" x14ac:dyDescent="0.25">
      <c r="A1907" t="s">
        <v>440</v>
      </c>
      <c r="B1907">
        <v>1214</v>
      </c>
      <c r="C1907" s="5">
        <v>97.24</v>
      </c>
      <c r="D1907" s="3">
        <v>44404</v>
      </c>
      <c r="E1907" t="str">
        <f>"AEG202107074399"</f>
        <v>AEG202107074399</v>
      </c>
      <c r="F1907" t="str">
        <f t="shared" si="41"/>
        <v>GUARDIAN</v>
      </c>
      <c r="G1907" s="5">
        <v>12.48</v>
      </c>
      <c r="H1907" t="str">
        <f t="shared" si="40"/>
        <v>GUARDIAN</v>
      </c>
    </row>
    <row r="1908" spans="1:8" x14ac:dyDescent="0.25">
      <c r="E1908" t="str">
        <f>"AEG202107214729"</f>
        <v>AEG202107214729</v>
      </c>
      <c r="F1908" t="str">
        <f t="shared" si="41"/>
        <v>GUARDIAN</v>
      </c>
      <c r="G1908" s="5">
        <v>12.48</v>
      </c>
      <c r="H1908" t="str">
        <f t="shared" si="40"/>
        <v>GUARDIAN</v>
      </c>
    </row>
    <row r="1909" spans="1:8" x14ac:dyDescent="0.25">
      <c r="E1909" t="str">
        <f>"AFG202107074399"</f>
        <v>AFG202107074399</v>
      </c>
      <c r="F1909" t="str">
        <f t="shared" si="41"/>
        <v>GUARDIAN</v>
      </c>
      <c r="G1909" s="5">
        <v>36.14</v>
      </c>
      <c r="H1909" t="str">
        <f t="shared" si="40"/>
        <v>GUARDIAN</v>
      </c>
    </row>
    <row r="1910" spans="1:8" x14ac:dyDescent="0.25">
      <c r="E1910" t="str">
        <f>"AFG202107214729"</f>
        <v>AFG202107214729</v>
      </c>
      <c r="F1910" t="str">
        <f t="shared" si="41"/>
        <v>GUARDIAN</v>
      </c>
      <c r="G1910" s="5">
        <v>36.14</v>
      </c>
      <c r="H1910" t="str">
        <f t="shared" si="40"/>
        <v>GUARDIAN</v>
      </c>
    </row>
    <row r="1911" spans="1:8" x14ac:dyDescent="0.25">
      <c r="A1911" t="s">
        <v>441</v>
      </c>
      <c r="B1911">
        <v>1162</v>
      </c>
      <c r="C1911" s="5">
        <v>374</v>
      </c>
      <c r="D1911" s="3">
        <v>44386</v>
      </c>
      <c r="E1911" t="str">
        <f>"C92202107074399"</f>
        <v>C92202107074399</v>
      </c>
      <c r="F1911" t="str">
        <f>"0007959844"</f>
        <v>0007959844</v>
      </c>
      <c r="G1911" s="5">
        <v>374</v>
      </c>
      <c r="H1911" t="str">
        <f>"0007959844"</f>
        <v>0007959844</v>
      </c>
    </row>
    <row r="1912" spans="1:8" x14ac:dyDescent="0.25">
      <c r="A1912" t="s">
        <v>441</v>
      </c>
      <c r="B1912">
        <v>1201</v>
      </c>
      <c r="C1912" s="5">
        <v>374</v>
      </c>
      <c r="D1912" s="3">
        <v>44400</v>
      </c>
      <c r="E1912" t="str">
        <f>"C92202107214729"</f>
        <v>C92202107214729</v>
      </c>
      <c r="F1912" t="str">
        <f>"0007959844"</f>
        <v>0007959844</v>
      </c>
      <c r="G1912" s="5">
        <v>374</v>
      </c>
      <c r="H1912" t="str">
        <f>"0007959844"</f>
        <v>0007959844</v>
      </c>
    </row>
    <row r="1913" spans="1:8" x14ac:dyDescent="0.25">
      <c r="A1913" t="s">
        <v>442</v>
      </c>
      <c r="B1913">
        <v>1163</v>
      </c>
      <c r="C1913" s="5">
        <v>248477.41</v>
      </c>
      <c r="D1913" s="3">
        <v>44386</v>
      </c>
      <c r="E1913" t="str">
        <f>"T1 202107074399"</f>
        <v>T1 202107074399</v>
      </c>
      <c r="F1913" t="str">
        <f>"FEDERAL WITHHOLDING"</f>
        <v>FEDERAL WITHHOLDING</v>
      </c>
      <c r="G1913" s="5">
        <v>83255.05</v>
      </c>
      <c r="H1913" t="str">
        <f>"FEDERAL WITHHOLDING"</f>
        <v>FEDERAL WITHHOLDING</v>
      </c>
    </row>
    <row r="1914" spans="1:8" x14ac:dyDescent="0.25">
      <c r="E1914" t="str">
        <f>"T1 202107074400"</f>
        <v>T1 202107074400</v>
      </c>
      <c r="F1914" t="str">
        <f>"FEDERAL WITHHOLDING"</f>
        <v>FEDERAL WITHHOLDING</v>
      </c>
      <c r="G1914" s="5">
        <v>2649.01</v>
      </c>
      <c r="H1914" t="str">
        <f>"FEDERAL WITHHOLDING"</f>
        <v>FEDERAL WITHHOLDING</v>
      </c>
    </row>
    <row r="1915" spans="1:8" x14ac:dyDescent="0.25">
      <c r="E1915" t="str">
        <f>"T1 202107074401"</f>
        <v>T1 202107074401</v>
      </c>
      <c r="F1915" t="str">
        <f>"FEDERAL WITHHOLDING"</f>
        <v>FEDERAL WITHHOLDING</v>
      </c>
      <c r="G1915" s="5">
        <v>3052.67</v>
      </c>
      <c r="H1915" t="str">
        <f>"FEDERAL WITHHOLDING"</f>
        <v>FEDERAL WITHHOLDING</v>
      </c>
    </row>
    <row r="1916" spans="1:8" x14ac:dyDescent="0.25">
      <c r="E1916" t="str">
        <f>"T3 202107074399"</f>
        <v>T3 202107074399</v>
      </c>
      <c r="F1916" t="str">
        <f>"SOCIAL SECURITY TAXES"</f>
        <v>SOCIAL SECURITY TAXES</v>
      </c>
      <c r="G1916" s="5">
        <v>121089.16</v>
      </c>
      <c r="H1916" t="str">
        <f t="shared" ref="H1916:H1947" si="42">"SOCIAL SECURITY TAXES"</f>
        <v>SOCIAL SECURITY TAXES</v>
      </c>
    </row>
    <row r="1917" spans="1:8" x14ac:dyDescent="0.25">
      <c r="E1917" t="str">
        <f>""</f>
        <v/>
      </c>
      <c r="F1917" t="str">
        <f>""</f>
        <v/>
      </c>
      <c r="H1917" t="str">
        <f t="shared" si="42"/>
        <v>SOCIAL SECURITY TAXES</v>
      </c>
    </row>
    <row r="1918" spans="1:8" x14ac:dyDescent="0.25">
      <c r="E1918" t="str">
        <f>""</f>
        <v/>
      </c>
      <c r="F1918" t="str">
        <f>""</f>
        <v/>
      </c>
      <c r="H1918" t="str">
        <f t="shared" si="42"/>
        <v>SOCIAL SECURITY TAXES</v>
      </c>
    </row>
    <row r="1919" spans="1:8" x14ac:dyDescent="0.25">
      <c r="E1919" t="str">
        <f>""</f>
        <v/>
      </c>
      <c r="F1919" t="str">
        <f>""</f>
        <v/>
      </c>
      <c r="H1919" t="str">
        <f t="shared" si="42"/>
        <v>SOCIAL SECURITY TAXES</v>
      </c>
    </row>
    <row r="1920" spans="1:8" x14ac:dyDescent="0.25">
      <c r="E1920" t="str">
        <f>""</f>
        <v/>
      </c>
      <c r="F1920" t="str">
        <f>""</f>
        <v/>
      </c>
      <c r="H1920" t="str">
        <f t="shared" si="42"/>
        <v>SOCIAL SECURITY TAXES</v>
      </c>
    </row>
    <row r="1921" spans="5:8" x14ac:dyDescent="0.25">
      <c r="E1921" t="str">
        <f>""</f>
        <v/>
      </c>
      <c r="F1921" t="str">
        <f>""</f>
        <v/>
      </c>
      <c r="H1921" t="str">
        <f t="shared" si="42"/>
        <v>SOCIAL SECURITY TAXES</v>
      </c>
    </row>
    <row r="1922" spans="5:8" x14ac:dyDescent="0.25">
      <c r="E1922" t="str">
        <f>""</f>
        <v/>
      </c>
      <c r="F1922" t="str">
        <f>""</f>
        <v/>
      </c>
      <c r="H1922" t="str">
        <f t="shared" si="42"/>
        <v>SOCIAL SECURITY TAXES</v>
      </c>
    </row>
    <row r="1923" spans="5:8" x14ac:dyDescent="0.25">
      <c r="E1923" t="str">
        <f>""</f>
        <v/>
      </c>
      <c r="F1923" t="str">
        <f>""</f>
        <v/>
      </c>
      <c r="H1923" t="str">
        <f t="shared" si="42"/>
        <v>SOCIAL SECURITY TAXES</v>
      </c>
    </row>
    <row r="1924" spans="5:8" x14ac:dyDescent="0.25">
      <c r="E1924" t="str">
        <f>""</f>
        <v/>
      </c>
      <c r="F1924" t="str">
        <f>""</f>
        <v/>
      </c>
      <c r="H1924" t="str">
        <f t="shared" si="42"/>
        <v>SOCIAL SECURITY TAXES</v>
      </c>
    </row>
    <row r="1925" spans="5:8" x14ac:dyDescent="0.25">
      <c r="E1925" t="str">
        <f>""</f>
        <v/>
      </c>
      <c r="F1925" t="str">
        <f>""</f>
        <v/>
      </c>
      <c r="H1925" t="str">
        <f t="shared" si="42"/>
        <v>SOCIAL SECURITY TAXES</v>
      </c>
    </row>
    <row r="1926" spans="5:8" x14ac:dyDescent="0.25">
      <c r="E1926" t="str">
        <f>""</f>
        <v/>
      </c>
      <c r="F1926" t="str">
        <f>""</f>
        <v/>
      </c>
      <c r="H1926" t="str">
        <f t="shared" si="42"/>
        <v>SOCIAL SECURITY TAXES</v>
      </c>
    </row>
    <row r="1927" spans="5:8" x14ac:dyDescent="0.25">
      <c r="E1927" t="str">
        <f>""</f>
        <v/>
      </c>
      <c r="F1927" t="str">
        <f>""</f>
        <v/>
      </c>
      <c r="H1927" t="str">
        <f t="shared" si="42"/>
        <v>SOCIAL SECURITY TAXES</v>
      </c>
    </row>
    <row r="1928" spans="5:8" x14ac:dyDescent="0.25">
      <c r="E1928" t="str">
        <f>""</f>
        <v/>
      </c>
      <c r="F1928" t="str">
        <f>""</f>
        <v/>
      </c>
      <c r="H1928" t="str">
        <f t="shared" si="42"/>
        <v>SOCIAL SECURITY TAXES</v>
      </c>
    </row>
    <row r="1929" spans="5:8" x14ac:dyDescent="0.25">
      <c r="E1929" t="str">
        <f>""</f>
        <v/>
      </c>
      <c r="F1929" t="str">
        <f>""</f>
        <v/>
      </c>
      <c r="H1929" t="str">
        <f t="shared" si="42"/>
        <v>SOCIAL SECURITY TAXES</v>
      </c>
    </row>
    <row r="1930" spans="5:8" x14ac:dyDescent="0.25">
      <c r="E1930" t="str">
        <f>""</f>
        <v/>
      </c>
      <c r="F1930" t="str">
        <f>""</f>
        <v/>
      </c>
      <c r="H1930" t="str">
        <f t="shared" si="42"/>
        <v>SOCIAL SECURITY TAXES</v>
      </c>
    </row>
    <row r="1931" spans="5:8" x14ac:dyDescent="0.25">
      <c r="E1931" t="str">
        <f>""</f>
        <v/>
      </c>
      <c r="F1931" t="str">
        <f>""</f>
        <v/>
      </c>
      <c r="H1931" t="str">
        <f t="shared" si="42"/>
        <v>SOCIAL SECURITY TAXES</v>
      </c>
    </row>
    <row r="1932" spans="5:8" x14ac:dyDescent="0.25">
      <c r="E1932" t="str">
        <f>""</f>
        <v/>
      </c>
      <c r="F1932" t="str">
        <f>""</f>
        <v/>
      </c>
      <c r="H1932" t="str">
        <f t="shared" si="42"/>
        <v>SOCIAL SECURITY TAXES</v>
      </c>
    </row>
    <row r="1933" spans="5:8" x14ac:dyDescent="0.25">
      <c r="E1933" t="str">
        <f>""</f>
        <v/>
      </c>
      <c r="F1933" t="str">
        <f>""</f>
        <v/>
      </c>
      <c r="H1933" t="str">
        <f t="shared" si="42"/>
        <v>SOCIAL SECURITY TAXES</v>
      </c>
    </row>
    <row r="1934" spans="5:8" x14ac:dyDescent="0.25">
      <c r="E1934" t="str">
        <f>""</f>
        <v/>
      </c>
      <c r="F1934" t="str">
        <f>""</f>
        <v/>
      </c>
      <c r="H1934" t="str">
        <f t="shared" si="42"/>
        <v>SOCIAL SECURITY TAXES</v>
      </c>
    </row>
    <row r="1935" spans="5:8" x14ac:dyDescent="0.25">
      <c r="E1935" t="str">
        <f>""</f>
        <v/>
      </c>
      <c r="F1935" t="str">
        <f>""</f>
        <v/>
      </c>
      <c r="H1935" t="str">
        <f t="shared" si="42"/>
        <v>SOCIAL SECURITY TAXES</v>
      </c>
    </row>
    <row r="1936" spans="5:8" x14ac:dyDescent="0.25">
      <c r="E1936" t="str">
        <f>""</f>
        <v/>
      </c>
      <c r="F1936" t="str">
        <f>""</f>
        <v/>
      </c>
      <c r="H1936" t="str">
        <f t="shared" si="42"/>
        <v>SOCIAL SECURITY TAXES</v>
      </c>
    </row>
    <row r="1937" spans="5:8" x14ac:dyDescent="0.25">
      <c r="E1937" t="str">
        <f>""</f>
        <v/>
      </c>
      <c r="F1937" t="str">
        <f>""</f>
        <v/>
      </c>
      <c r="H1937" t="str">
        <f t="shared" si="42"/>
        <v>SOCIAL SECURITY TAXES</v>
      </c>
    </row>
    <row r="1938" spans="5:8" x14ac:dyDescent="0.25">
      <c r="E1938" t="str">
        <f>""</f>
        <v/>
      </c>
      <c r="F1938" t="str">
        <f>""</f>
        <v/>
      </c>
      <c r="H1938" t="str">
        <f t="shared" si="42"/>
        <v>SOCIAL SECURITY TAXES</v>
      </c>
    </row>
    <row r="1939" spans="5:8" x14ac:dyDescent="0.25">
      <c r="E1939" t="str">
        <f>""</f>
        <v/>
      </c>
      <c r="F1939" t="str">
        <f>""</f>
        <v/>
      </c>
      <c r="H1939" t="str">
        <f t="shared" si="42"/>
        <v>SOCIAL SECURITY TAXES</v>
      </c>
    </row>
    <row r="1940" spans="5:8" x14ac:dyDescent="0.25">
      <c r="E1940" t="str">
        <f>""</f>
        <v/>
      </c>
      <c r="F1940" t="str">
        <f>""</f>
        <v/>
      </c>
      <c r="H1940" t="str">
        <f t="shared" si="42"/>
        <v>SOCIAL SECURITY TAXES</v>
      </c>
    </row>
    <row r="1941" spans="5:8" x14ac:dyDescent="0.25">
      <c r="E1941" t="str">
        <f>""</f>
        <v/>
      </c>
      <c r="F1941" t="str">
        <f>""</f>
        <v/>
      </c>
      <c r="H1941" t="str">
        <f t="shared" si="42"/>
        <v>SOCIAL SECURITY TAXES</v>
      </c>
    </row>
    <row r="1942" spans="5:8" x14ac:dyDescent="0.25">
      <c r="E1942" t="str">
        <f>""</f>
        <v/>
      </c>
      <c r="F1942" t="str">
        <f>""</f>
        <v/>
      </c>
      <c r="H1942" t="str">
        <f t="shared" si="42"/>
        <v>SOCIAL SECURITY TAXES</v>
      </c>
    </row>
    <row r="1943" spans="5:8" x14ac:dyDescent="0.25">
      <c r="E1943" t="str">
        <f>""</f>
        <v/>
      </c>
      <c r="F1943" t="str">
        <f>""</f>
        <v/>
      </c>
      <c r="H1943" t="str">
        <f t="shared" si="42"/>
        <v>SOCIAL SECURITY TAXES</v>
      </c>
    </row>
    <row r="1944" spans="5:8" x14ac:dyDescent="0.25">
      <c r="E1944" t="str">
        <f>""</f>
        <v/>
      </c>
      <c r="F1944" t="str">
        <f>""</f>
        <v/>
      </c>
      <c r="H1944" t="str">
        <f t="shared" si="42"/>
        <v>SOCIAL SECURITY TAXES</v>
      </c>
    </row>
    <row r="1945" spans="5:8" x14ac:dyDescent="0.25">
      <c r="E1945" t="str">
        <f>""</f>
        <v/>
      </c>
      <c r="F1945" t="str">
        <f>""</f>
        <v/>
      </c>
      <c r="H1945" t="str">
        <f t="shared" si="42"/>
        <v>SOCIAL SECURITY TAXES</v>
      </c>
    </row>
    <row r="1946" spans="5:8" x14ac:dyDescent="0.25">
      <c r="E1946" t="str">
        <f>""</f>
        <v/>
      </c>
      <c r="F1946" t="str">
        <f>""</f>
        <v/>
      </c>
      <c r="H1946" t="str">
        <f t="shared" si="42"/>
        <v>SOCIAL SECURITY TAXES</v>
      </c>
    </row>
    <row r="1947" spans="5:8" x14ac:dyDescent="0.25">
      <c r="E1947" t="str">
        <f>""</f>
        <v/>
      </c>
      <c r="F1947" t="str">
        <f>""</f>
        <v/>
      </c>
      <c r="H1947" t="str">
        <f t="shared" si="42"/>
        <v>SOCIAL SECURITY TAXES</v>
      </c>
    </row>
    <row r="1948" spans="5:8" x14ac:dyDescent="0.25">
      <c r="E1948" t="str">
        <f>""</f>
        <v/>
      </c>
      <c r="F1948" t="str">
        <f>""</f>
        <v/>
      </c>
      <c r="H1948" t="str">
        <f t="shared" ref="H1948:H1972" si="43">"SOCIAL SECURITY TAXES"</f>
        <v>SOCIAL SECURITY TAXES</v>
      </c>
    </row>
    <row r="1949" spans="5:8" x14ac:dyDescent="0.25">
      <c r="E1949" t="str">
        <f>""</f>
        <v/>
      </c>
      <c r="F1949" t="str">
        <f>""</f>
        <v/>
      </c>
      <c r="H1949" t="str">
        <f t="shared" si="43"/>
        <v>SOCIAL SECURITY TAXES</v>
      </c>
    </row>
    <row r="1950" spans="5:8" x14ac:dyDescent="0.25">
      <c r="E1950" t="str">
        <f>""</f>
        <v/>
      </c>
      <c r="F1950" t="str">
        <f>""</f>
        <v/>
      </c>
      <c r="H1950" t="str">
        <f t="shared" si="43"/>
        <v>SOCIAL SECURITY TAXES</v>
      </c>
    </row>
    <row r="1951" spans="5:8" x14ac:dyDescent="0.25">
      <c r="E1951" t="str">
        <f>""</f>
        <v/>
      </c>
      <c r="F1951" t="str">
        <f>""</f>
        <v/>
      </c>
      <c r="H1951" t="str">
        <f t="shared" si="43"/>
        <v>SOCIAL SECURITY TAXES</v>
      </c>
    </row>
    <row r="1952" spans="5:8" x14ac:dyDescent="0.25">
      <c r="E1952" t="str">
        <f>""</f>
        <v/>
      </c>
      <c r="F1952" t="str">
        <f>""</f>
        <v/>
      </c>
      <c r="H1952" t="str">
        <f t="shared" si="43"/>
        <v>SOCIAL SECURITY TAXES</v>
      </c>
    </row>
    <row r="1953" spans="5:8" x14ac:dyDescent="0.25">
      <c r="E1953" t="str">
        <f>""</f>
        <v/>
      </c>
      <c r="F1953" t="str">
        <f>""</f>
        <v/>
      </c>
      <c r="H1953" t="str">
        <f t="shared" si="43"/>
        <v>SOCIAL SECURITY TAXES</v>
      </c>
    </row>
    <row r="1954" spans="5:8" x14ac:dyDescent="0.25">
      <c r="E1954" t="str">
        <f>""</f>
        <v/>
      </c>
      <c r="F1954" t="str">
        <f>""</f>
        <v/>
      </c>
      <c r="H1954" t="str">
        <f t="shared" si="43"/>
        <v>SOCIAL SECURITY TAXES</v>
      </c>
    </row>
    <row r="1955" spans="5:8" x14ac:dyDescent="0.25">
      <c r="E1955" t="str">
        <f>""</f>
        <v/>
      </c>
      <c r="F1955" t="str">
        <f>""</f>
        <v/>
      </c>
      <c r="H1955" t="str">
        <f t="shared" si="43"/>
        <v>SOCIAL SECURITY TAXES</v>
      </c>
    </row>
    <row r="1956" spans="5:8" x14ac:dyDescent="0.25">
      <c r="E1956" t="str">
        <f>""</f>
        <v/>
      </c>
      <c r="F1956" t="str">
        <f>""</f>
        <v/>
      </c>
      <c r="H1956" t="str">
        <f t="shared" si="43"/>
        <v>SOCIAL SECURITY TAXES</v>
      </c>
    </row>
    <row r="1957" spans="5:8" x14ac:dyDescent="0.25">
      <c r="E1957" t="str">
        <f>""</f>
        <v/>
      </c>
      <c r="F1957" t="str">
        <f>""</f>
        <v/>
      </c>
      <c r="H1957" t="str">
        <f t="shared" si="43"/>
        <v>SOCIAL SECURITY TAXES</v>
      </c>
    </row>
    <row r="1958" spans="5:8" x14ac:dyDescent="0.25">
      <c r="E1958" t="str">
        <f>""</f>
        <v/>
      </c>
      <c r="F1958" t="str">
        <f>""</f>
        <v/>
      </c>
      <c r="H1958" t="str">
        <f t="shared" si="43"/>
        <v>SOCIAL SECURITY TAXES</v>
      </c>
    </row>
    <row r="1959" spans="5:8" x14ac:dyDescent="0.25">
      <c r="E1959" t="str">
        <f>""</f>
        <v/>
      </c>
      <c r="F1959" t="str">
        <f>""</f>
        <v/>
      </c>
      <c r="H1959" t="str">
        <f t="shared" si="43"/>
        <v>SOCIAL SECURITY TAXES</v>
      </c>
    </row>
    <row r="1960" spans="5:8" x14ac:dyDescent="0.25">
      <c r="E1960" t="str">
        <f>""</f>
        <v/>
      </c>
      <c r="F1960" t="str">
        <f>""</f>
        <v/>
      </c>
      <c r="H1960" t="str">
        <f t="shared" si="43"/>
        <v>SOCIAL SECURITY TAXES</v>
      </c>
    </row>
    <row r="1961" spans="5:8" x14ac:dyDescent="0.25">
      <c r="E1961" t="str">
        <f>""</f>
        <v/>
      </c>
      <c r="F1961" t="str">
        <f>""</f>
        <v/>
      </c>
      <c r="H1961" t="str">
        <f t="shared" si="43"/>
        <v>SOCIAL SECURITY TAXES</v>
      </c>
    </row>
    <row r="1962" spans="5:8" x14ac:dyDescent="0.25">
      <c r="E1962" t="str">
        <f>""</f>
        <v/>
      </c>
      <c r="F1962" t="str">
        <f>""</f>
        <v/>
      </c>
      <c r="H1962" t="str">
        <f t="shared" si="43"/>
        <v>SOCIAL SECURITY TAXES</v>
      </c>
    </row>
    <row r="1963" spans="5:8" x14ac:dyDescent="0.25">
      <c r="E1963" t="str">
        <f>""</f>
        <v/>
      </c>
      <c r="F1963" t="str">
        <f>""</f>
        <v/>
      </c>
      <c r="H1963" t="str">
        <f t="shared" si="43"/>
        <v>SOCIAL SECURITY TAXES</v>
      </c>
    </row>
    <row r="1964" spans="5:8" x14ac:dyDescent="0.25">
      <c r="E1964" t="str">
        <f>""</f>
        <v/>
      </c>
      <c r="F1964" t="str">
        <f>""</f>
        <v/>
      </c>
      <c r="H1964" t="str">
        <f t="shared" si="43"/>
        <v>SOCIAL SECURITY TAXES</v>
      </c>
    </row>
    <row r="1965" spans="5:8" x14ac:dyDescent="0.25">
      <c r="E1965" t="str">
        <f>""</f>
        <v/>
      </c>
      <c r="F1965" t="str">
        <f>""</f>
        <v/>
      </c>
      <c r="H1965" t="str">
        <f t="shared" si="43"/>
        <v>SOCIAL SECURITY TAXES</v>
      </c>
    </row>
    <row r="1966" spans="5:8" x14ac:dyDescent="0.25">
      <c r="E1966" t="str">
        <f>""</f>
        <v/>
      </c>
      <c r="F1966" t="str">
        <f>""</f>
        <v/>
      </c>
      <c r="H1966" t="str">
        <f t="shared" si="43"/>
        <v>SOCIAL SECURITY TAXES</v>
      </c>
    </row>
    <row r="1967" spans="5:8" x14ac:dyDescent="0.25">
      <c r="E1967" t="str">
        <f>""</f>
        <v/>
      </c>
      <c r="F1967" t="str">
        <f>""</f>
        <v/>
      </c>
      <c r="H1967" t="str">
        <f t="shared" si="43"/>
        <v>SOCIAL SECURITY TAXES</v>
      </c>
    </row>
    <row r="1968" spans="5:8" x14ac:dyDescent="0.25">
      <c r="E1968" t="str">
        <f>""</f>
        <v/>
      </c>
      <c r="F1968" t="str">
        <f>""</f>
        <v/>
      </c>
      <c r="H1968" t="str">
        <f t="shared" si="43"/>
        <v>SOCIAL SECURITY TAXES</v>
      </c>
    </row>
    <row r="1969" spans="5:8" x14ac:dyDescent="0.25">
      <c r="E1969" t="str">
        <f>"T3 202107074400"</f>
        <v>T3 202107074400</v>
      </c>
      <c r="F1969" t="str">
        <f>"SOCIAL SECURITY TAXES"</f>
        <v>SOCIAL SECURITY TAXES</v>
      </c>
      <c r="G1969" s="5">
        <v>3748.98</v>
      </c>
      <c r="H1969" t="str">
        <f t="shared" si="43"/>
        <v>SOCIAL SECURITY TAXES</v>
      </c>
    </row>
    <row r="1970" spans="5:8" x14ac:dyDescent="0.25">
      <c r="E1970" t="str">
        <f>""</f>
        <v/>
      </c>
      <c r="F1970" t="str">
        <f>""</f>
        <v/>
      </c>
      <c r="H1970" t="str">
        <f t="shared" si="43"/>
        <v>SOCIAL SECURITY TAXES</v>
      </c>
    </row>
    <row r="1971" spans="5:8" x14ac:dyDescent="0.25">
      <c r="E1971" t="str">
        <f>"T3 202107074401"</f>
        <v>T3 202107074401</v>
      </c>
      <c r="F1971" t="str">
        <f>"SOCIAL SECURITY TAXES"</f>
        <v>SOCIAL SECURITY TAXES</v>
      </c>
      <c r="G1971" s="5">
        <v>4446.46</v>
      </c>
      <c r="H1971" t="str">
        <f t="shared" si="43"/>
        <v>SOCIAL SECURITY TAXES</v>
      </c>
    </row>
    <row r="1972" spans="5:8" x14ac:dyDescent="0.25">
      <c r="E1972" t="str">
        <f>""</f>
        <v/>
      </c>
      <c r="F1972" t="str">
        <f>""</f>
        <v/>
      </c>
      <c r="H1972" t="str">
        <f t="shared" si="43"/>
        <v>SOCIAL SECURITY TAXES</v>
      </c>
    </row>
    <row r="1973" spans="5:8" x14ac:dyDescent="0.25">
      <c r="E1973" t="str">
        <f>"T4 202107074399"</f>
        <v>T4 202107074399</v>
      </c>
      <c r="F1973" t="str">
        <f>"MEDICARE TAXES"</f>
        <v>MEDICARE TAXES</v>
      </c>
      <c r="G1973" s="5">
        <v>28319.32</v>
      </c>
      <c r="H1973" t="str">
        <f t="shared" ref="H1973:H2004" si="44">"MEDICARE TAXES"</f>
        <v>MEDICARE TAXES</v>
      </c>
    </row>
    <row r="1974" spans="5:8" x14ac:dyDescent="0.25">
      <c r="E1974" t="str">
        <f>""</f>
        <v/>
      </c>
      <c r="F1974" t="str">
        <f>""</f>
        <v/>
      </c>
      <c r="H1974" t="str">
        <f t="shared" si="44"/>
        <v>MEDICARE TAXES</v>
      </c>
    </row>
    <row r="1975" spans="5:8" x14ac:dyDescent="0.25">
      <c r="E1975" t="str">
        <f>""</f>
        <v/>
      </c>
      <c r="F1975" t="str">
        <f>""</f>
        <v/>
      </c>
      <c r="H1975" t="str">
        <f t="shared" si="44"/>
        <v>MEDICARE TAXES</v>
      </c>
    </row>
    <row r="1976" spans="5:8" x14ac:dyDescent="0.25">
      <c r="E1976" t="str">
        <f>""</f>
        <v/>
      </c>
      <c r="F1976" t="str">
        <f>""</f>
        <v/>
      </c>
      <c r="H1976" t="str">
        <f t="shared" si="44"/>
        <v>MEDICARE TAXES</v>
      </c>
    </row>
    <row r="1977" spans="5:8" x14ac:dyDescent="0.25">
      <c r="E1977" t="str">
        <f>""</f>
        <v/>
      </c>
      <c r="F1977" t="str">
        <f>""</f>
        <v/>
      </c>
      <c r="H1977" t="str">
        <f t="shared" si="44"/>
        <v>MEDICARE TAXES</v>
      </c>
    </row>
    <row r="1978" spans="5:8" x14ac:dyDescent="0.25">
      <c r="E1978" t="str">
        <f>""</f>
        <v/>
      </c>
      <c r="F1978" t="str">
        <f>""</f>
        <v/>
      </c>
      <c r="H1978" t="str">
        <f t="shared" si="44"/>
        <v>MEDICARE TAXES</v>
      </c>
    </row>
    <row r="1979" spans="5:8" x14ac:dyDescent="0.25">
      <c r="E1979" t="str">
        <f>""</f>
        <v/>
      </c>
      <c r="F1979" t="str">
        <f>""</f>
        <v/>
      </c>
      <c r="H1979" t="str">
        <f t="shared" si="44"/>
        <v>MEDICARE TAXES</v>
      </c>
    </row>
    <row r="1980" spans="5:8" x14ac:dyDescent="0.25">
      <c r="E1980" t="str">
        <f>""</f>
        <v/>
      </c>
      <c r="F1980" t="str">
        <f>""</f>
        <v/>
      </c>
      <c r="H1980" t="str">
        <f t="shared" si="44"/>
        <v>MEDICARE TAXES</v>
      </c>
    </row>
    <row r="1981" spans="5:8" x14ac:dyDescent="0.25">
      <c r="E1981" t="str">
        <f>""</f>
        <v/>
      </c>
      <c r="F1981" t="str">
        <f>""</f>
        <v/>
      </c>
      <c r="H1981" t="str">
        <f t="shared" si="44"/>
        <v>MEDICARE TAXES</v>
      </c>
    </row>
    <row r="1982" spans="5:8" x14ac:dyDescent="0.25">
      <c r="E1982" t="str">
        <f>""</f>
        <v/>
      </c>
      <c r="F1982" t="str">
        <f>""</f>
        <v/>
      </c>
      <c r="H1982" t="str">
        <f t="shared" si="44"/>
        <v>MEDICARE TAXES</v>
      </c>
    </row>
    <row r="1983" spans="5:8" x14ac:dyDescent="0.25">
      <c r="E1983" t="str">
        <f>""</f>
        <v/>
      </c>
      <c r="F1983" t="str">
        <f>""</f>
        <v/>
      </c>
      <c r="H1983" t="str">
        <f t="shared" si="44"/>
        <v>MEDICARE TAXES</v>
      </c>
    </row>
    <row r="1984" spans="5:8" x14ac:dyDescent="0.25">
      <c r="E1984" t="str">
        <f>""</f>
        <v/>
      </c>
      <c r="F1984" t="str">
        <f>""</f>
        <v/>
      </c>
      <c r="H1984" t="str">
        <f t="shared" si="44"/>
        <v>MEDICARE TAXES</v>
      </c>
    </row>
    <row r="1985" spans="5:8" x14ac:dyDescent="0.25">
      <c r="E1985" t="str">
        <f>""</f>
        <v/>
      </c>
      <c r="F1985" t="str">
        <f>""</f>
        <v/>
      </c>
      <c r="H1985" t="str">
        <f t="shared" si="44"/>
        <v>MEDICARE TAXES</v>
      </c>
    </row>
    <row r="1986" spans="5:8" x14ac:dyDescent="0.25">
      <c r="E1986" t="str">
        <f>""</f>
        <v/>
      </c>
      <c r="F1986" t="str">
        <f>""</f>
        <v/>
      </c>
      <c r="H1986" t="str">
        <f t="shared" si="44"/>
        <v>MEDICARE TAXES</v>
      </c>
    </row>
    <row r="1987" spans="5:8" x14ac:dyDescent="0.25">
      <c r="E1987" t="str">
        <f>""</f>
        <v/>
      </c>
      <c r="F1987" t="str">
        <f>""</f>
        <v/>
      </c>
      <c r="H1987" t="str">
        <f t="shared" si="44"/>
        <v>MEDICARE TAXES</v>
      </c>
    </row>
    <row r="1988" spans="5:8" x14ac:dyDescent="0.25">
      <c r="E1988" t="str">
        <f>""</f>
        <v/>
      </c>
      <c r="F1988" t="str">
        <f>""</f>
        <v/>
      </c>
      <c r="H1988" t="str">
        <f t="shared" si="44"/>
        <v>MEDICARE TAXES</v>
      </c>
    </row>
    <row r="1989" spans="5:8" x14ac:dyDescent="0.25">
      <c r="E1989" t="str">
        <f>""</f>
        <v/>
      </c>
      <c r="F1989" t="str">
        <f>""</f>
        <v/>
      </c>
      <c r="H1989" t="str">
        <f t="shared" si="44"/>
        <v>MEDICARE TAXES</v>
      </c>
    </row>
    <row r="1990" spans="5:8" x14ac:dyDescent="0.25">
      <c r="E1990" t="str">
        <f>""</f>
        <v/>
      </c>
      <c r="F1990" t="str">
        <f>""</f>
        <v/>
      </c>
      <c r="H1990" t="str">
        <f t="shared" si="44"/>
        <v>MEDICARE TAXES</v>
      </c>
    </row>
    <row r="1991" spans="5:8" x14ac:dyDescent="0.25">
      <c r="E1991" t="str">
        <f>""</f>
        <v/>
      </c>
      <c r="F1991" t="str">
        <f>""</f>
        <v/>
      </c>
      <c r="H1991" t="str">
        <f t="shared" si="44"/>
        <v>MEDICARE TAXES</v>
      </c>
    </row>
    <row r="1992" spans="5:8" x14ac:dyDescent="0.25">
      <c r="E1992" t="str">
        <f>""</f>
        <v/>
      </c>
      <c r="F1992" t="str">
        <f>""</f>
        <v/>
      </c>
      <c r="H1992" t="str">
        <f t="shared" si="44"/>
        <v>MEDICARE TAXES</v>
      </c>
    </row>
    <row r="1993" spans="5:8" x14ac:dyDescent="0.25">
      <c r="E1993" t="str">
        <f>""</f>
        <v/>
      </c>
      <c r="F1993" t="str">
        <f>""</f>
        <v/>
      </c>
      <c r="H1993" t="str">
        <f t="shared" si="44"/>
        <v>MEDICARE TAXES</v>
      </c>
    </row>
    <row r="1994" spans="5:8" x14ac:dyDescent="0.25">
      <c r="E1994" t="str">
        <f>""</f>
        <v/>
      </c>
      <c r="F1994" t="str">
        <f>""</f>
        <v/>
      </c>
      <c r="H1994" t="str">
        <f t="shared" si="44"/>
        <v>MEDICARE TAXES</v>
      </c>
    </row>
    <row r="1995" spans="5:8" x14ac:dyDescent="0.25">
      <c r="E1995" t="str">
        <f>""</f>
        <v/>
      </c>
      <c r="F1995" t="str">
        <f>""</f>
        <v/>
      </c>
      <c r="H1995" t="str">
        <f t="shared" si="44"/>
        <v>MEDICARE TAXES</v>
      </c>
    </row>
    <row r="1996" spans="5:8" x14ac:dyDescent="0.25">
      <c r="E1996" t="str">
        <f>""</f>
        <v/>
      </c>
      <c r="F1996" t="str">
        <f>""</f>
        <v/>
      </c>
      <c r="H1996" t="str">
        <f t="shared" si="44"/>
        <v>MEDICARE TAXES</v>
      </c>
    </row>
    <row r="1997" spans="5:8" x14ac:dyDescent="0.25">
      <c r="E1997" t="str">
        <f>""</f>
        <v/>
      </c>
      <c r="F1997" t="str">
        <f>""</f>
        <v/>
      </c>
      <c r="H1997" t="str">
        <f t="shared" si="44"/>
        <v>MEDICARE TAXES</v>
      </c>
    </row>
    <row r="1998" spans="5:8" x14ac:dyDescent="0.25">
      <c r="E1998" t="str">
        <f>""</f>
        <v/>
      </c>
      <c r="F1998" t="str">
        <f>""</f>
        <v/>
      </c>
      <c r="H1998" t="str">
        <f t="shared" si="44"/>
        <v>MEDICARE TAXES</v>
      </c>
    </row>
    <row r="1999" spans="5:8" x14ac:dyDescent="0.25">
      <c r="E1999" t="str">
        <f>""</f>
        <v/>
      </c>
      <c r="F1999" t="str">
        <f>""</f>
        <v/>
      </c>
      <c r="H1999" t="str">
        <f t="shared" si="44"/>
        <v>MEDICARE TAXES</v>
      </c>
    </row>
    <row r="2000" spans="5:8" x14ac:dyDescent="0.25">
      <c r="E2000" t="str">
        <f>""</f>
        <v/>
      </c>
      <c r="F2000" t="str">
        <f>""</f>
        <v/>
      </c>
      <c r="H2000" t="str">
        <f t="shared" si="44"/>
        <v>MEDICARE TAXES</v>
      </c>
    </row>
    <row r="2001" spans="5:8" x14ac:dyDescent="0.25">
      <c r="E2001" t="str">
        <f>""</f>
        <v/>
      </c>
      <c r="F2001" t="str">
        <f>""</f>
        <v/>
      </c>
      <c r="H2001" t="str">
        <f t="shared" si="44"/>
        <v>MEDICARE TAXES</v>
      </c>
    </row>
    <row r="2002" spans="5:8" x14ac:dyDescent="0.25">
      <c r="E2002" t="str">
        <f>""</f>
        <v/>
      </c>
      <c r="F2002" t="str">
        <f>""</f>
        <v/>
      </c>
      <c r="H2002" t="str">
        <f t="shared" si="44"/>
        <v>MEDICARE TAXES</v>
      </c>
    </row>
    <row r="2003" spans="5:8" x14ac:dyDescent="0.25">
      <c r="E2003" t="str">
        <f>""</f>
        <v/>
      </c>
      <c r="F2003" t="str">
        <f>""</f>
        <v/>
      </c>
      <c r="H2003" t="str">
        <f t="shared" si="44"/>
        <v>MEDICARE TAXES</v>
      </c>
    </row>
    <row r="2004" spans="5:8" x14ac:dyDescent="0.25">
      <c r="E2004" t="str">
        <f>""</f>
        <v/>
      </c>
      <c r="F2004" t="str">
        <f>""</f>
        <v/>
      </c>
      <c r="H2004" t="str">
        <f t="shared" si="44"/>
        <v>MEDICARE TAXES</v>
      </c>
    </row>
    <row r="2005" spans="5:8" x14ac:dyDescent="0.25">
      <c r="E2005" t="str">
        <f>""</f>
        <v/>
      </c>
      <c r="F2005" t="str">
        <f>""</f>
        <v/>
      </c>
      <c r="H2005" t="str">
        <f t="shared" ref="H2005:H2029" si="45">"MEDICARE TAXES"</f>
        <v>MEDICARE TAXES</v>
      </c>
    </row>
    <row r="2006" spans="5:8" x14ac:dyDescent="0.25">
      <c r="E2006" t="str">
        <f>""</f>
        <v/>
      </c>
      <c r="F2006" t="str">
        <f>""</f>
        <v/>
      </c>
      <c r="H2006" t="str">
        <f t="shared" si="45"/>
        <v>MEDICARE TAXES</v>
      </c>
    </row>
    <row r="2007" spans="5:8" x14ac:dyDescent="0.25">
      <c r="E2007" t="str">
        <f>""</f>
        <v/>
      </c>
      <c r="F2007" t="str">
        <f>""</f>
        <v/>
      </c>
      <c r="H2007" t="str">
        <f t="shared" si="45"/>
        <v>MEDICARE TAXES</v>
      </c>
    </row>
    <row r="2008" spans="5:8" x14ac:dyDescent="0.25">
      <c r="E2008" t="str">
        <f>""</f>
        <v/>
      </c>
      <c r="F2008" t="str">
        <f>""</f>
        <v/>
      </c>
      <c r="H2008" t="str">
        <f t="shared" si="45"/>
        <v>MEDICARE TAXES</v>
      </c>
    </row>
    <row r="2009" spans="5:8" x14ac:dyDescent="0.25">
      <c r="E2009" t="str">
        <f>""</f>
        <v/>
      </c>
      <c r="F2009" t="str">
        <f>""</f>
        <v/>
      </c>
      <c r="H2009" t="str">
        <f t="shared" si="45"/>
        <v>MEDICARE TAXES</v>
      </c>
    </row>
    <row r="2010" spans="5:8" x14ac:dyDescent="0.25">
      <c r="E2010" t="str">
        <f>""</f>
        <v/>
      </c>
      <c r="F2010" t="str">
        <f>""</f>
        <v/>
      </c>
      <c r="H2010" t="str">
        <f t="shared" si="45"/>
        <v>MEDICARE TAXES</v>
      </c>
    </row>
    <row r="2011" spans="5:8" x14ac:dyDescent="0.25">
      <c r="E2011" t="str">
        <f>""</f>
        <v/>
      </c>
      <c r="F2011" t="str">
        <f>""</f>
        <v/>
      </c>
      <c r="H2011" t="str">
        <f t="shared" si="45"/>
        <v>MEDICARE TAXES</v>
      </c>
    </row>
    <row r="2012" spans="5:8" x14ac:dyDescent="0.25">
      <c r="E2012" t="str">
        <f>""</f>
        <v/>
      </c>
      <c r="F2012" t="str">
        <f>""</f>
        <v/>
      </c>
      <c r="H2012" t="str">
        <f t="shared" si="45"/>
        <v>MEDICARE TAXES</v>
      </c>
    </row>
    <row r="2013" spans="5:8" x14ac:dyDescent="0.25">
      <c r="E2013" t="str">
        <f>""</f>
        <v/>
      </c>
      <c r="F2013" t="str">
        <f>""</f>
        <v/>
      </c>
      <c r="H2013" t="str">
        <f t="shared" si="45"/>
        <v>MEDICARE TAXES</v>
      </c>
    </row>
    <row r="2014" spans="5:8" x14ac:dyDescent="0.25">
      <c r="E2014" t="str">
        <f>""</f>
        <v/>
      </c>
      <c r="F2014" t="str">
        <f>""</f>
        <v/>
      </c>
      <c r="H2014" t="str">
        <f t="shared" si="45"/>
        <v>MEDICARE TAXES</v>
      </c>
    </row>
    <row r="2015" spans="5:8" x14ac:dyDescent="0.25">
      <c r="E2015" t="str">
        <f>""</f>
        <v/>
      </c>
      <c r="F2015" t="str">
        <f>""</f>
        <v/>
      </c>
      <c r="H2015" t="str">
        <f t="shared" si="45"/>
        <v>MEDICARE TAXES</v>
      </c>
    </row>
    <row r="2016" spans="5:8" x14ac:dyDescent="0.25">
      <c r="E2016" t="str">
        <f>""</f>
        <v/>
      </c>
      <c r="F2016" t="str">
        <f>""</f>
        <v/>
      </c>
      <c r="H2016" t="str">
        <f t="shared" si="45"/>
        <v>MEDICARE TAXES</v>
      </c>
    </row>
    <row r="2017" spans="1:8" x14ac:dyDescent="0.25">
      <c r="E2017" t="str">
        <f>""</f>
        <v/>
      </c>
      <c r="F2017" t="str">
        <f>""</f>
        <v/>
      </c>
      <c r="H2017" t="str">
        <f t="shared" si="45"/>
        <v>MEDICARE TAXES</v>
      </c>
    </row>
    <row r="2018" spans="1:8" x14ac:dyDescent="0.25">
      <c r="E2018" t="str">
        <f>""</f>
        <v/>
      </c>
      <c r="F2018" t="str">
        <f>""</f>
        <v/>
      </c>
      <c r="H2018" t="str">
        <f t="shared" si="45"/>
        <v>MEDICARE TAXES</v>
      </c>
    </row>
    <row r="2019" spans="1:8" x14ac:dyDescent="0.25">
      <c r="E2019" t="str">
        <f>""</f>
        <v/>
      </c>
      <c r="F2019" t="str">
        <f>""</f>
        <v/>
      </c>
      <c r="H2019" t="str">
        <f t="shared" si="45"/>
        <v>MEDICARE TAXES</v>
      </c>
    </row>
    <row r="2020" spans="1:8" x14ac:dyDescent="0.25">
      <c r="E2020" t="str">
        <f>""</f>
        <v/>
      </c>
      <c r="F2020" t="str">
        <f>""</f>
        <v/>
      </c>
      <c r="H2020" t="str">
        <f t="shared" si="45"/>
        <v>MEDICARE TAXES</v>
      </c>
    </row>
    <row r="2021" spans="1:8" x14ac:dyDescent="0.25">
      <c r="E2021" t="str">
        <f>""</f>
        <v/>
      </c>
      <c r="F2021" t="str">
        <f>""</f>
        <v/>
      </c>
      <c r="H2021" t="str">
        <f t="shared" si="45"/>
        <v>MEDICARE TAXES</v>
      </c>
    </row>
    <row r="2022" spans="1:8" x14ac:dyDescent="0.25">
      <c r="E2022" t="str">
        <f>""</f>
        <v/>
      </c>
      <c r="F2022" t="str">
        <f>""</f>
        <v/>
      </c>
      <c r="H2022" t="str">
        <f t="shared" si="45"/>
        <v>MEDICARE TAXES</v>
      </c>
    </row>
    <row r="2023" spans="1:8" x14ac:dyDescent="0.25">
      <c r="E2023" t="str">
        <f>""</f>
        <v/>
      </c>
      <c r="F2023" t="str">
        <f>""</f>
        <v/>
      </c>
      <c r="H2023" t="str">
        <f t="shared" si="45"/>
        <v>MEDICARE TAXES</v>
      </c>
    </row>
    <row r="2024" spans="1:8" x14ac:dyDescent="0.25">
      <c r="E2024" t="str">
        <f>""</f>
        <v/>
      </c>
      <c r="F2024" t="str">
        <f>""</f>
        <v/>
      </c>
      <c r="H2024" t="str">
        <f t="shared" si="45"/>
        <v>MEDICARE TAXES</v>
      </c>
    </row>
    <row r="2025" spans="1:8" x14ac:dyDescent="0.25">
      <c r="E2025" t="str">
        <f>""</f>
        <v/>
      </c>
      <c r="F2025" t="str">
        <f>""</f>
        <v/>
      </c>
      <c r="H2025" t="str">
        <f t="shared" si="45"/>
        <v>MEDICARE TAXES</v>
      </c>
    </row>
    <row r="2026" spans="1:8" x14ac:dyDescent="0.25">
      <c r="E2026" t="str">
        <f>"T4 202107074400"</f>
        <v>T4 202107074400</v>
      </c>
      <c r="F2026" t="str">
        <f>"MEDICARE TAXES"</f>
        <v>MEDICARE TAXES</v>
      </c>
      <c r="G2026" s="5">
        <v>876.82</v>
      </c>
      <c r="H2026" t="str">
        <f t="shared" si="45"/>
        <v>MEDICARE TAXES</v>
      </c>
    </row>
    <row r="2027" spans="1:8" x14ac:dyDescent="0.25">
      <c r="E2027" t="str">
        <f>""</f>
        <v/>
      </c>
      <c r="F2027" t="str">
        <f>""</f>
        <v/>
      </c>
      <c r="H2027" t="str">
        <f t="shared" si="45"/>
        <v>MEDICARE TAXES</v>
      </c>
    </row>
    <row r="2028" spans="1:8" x14ac:dyDescent="0.25">
      <c r="E2028" t="str">
        <f>"T4 202107074401"</f>
        <v>T4 202107074401</v>
      </c>
      <c r="F2028" t="str">
        <f>"MEDICARE TAXES"</f>
        <v>MEDICARE TAXES</v>
      </c>
      <c r="G2028" s="5">
        <v>1039.94</v>
      </c>
      <c r="H2028" t="str">
        <f t="shared" si="45"/>
        <v>MEDICARE TAXES</v>
      </c>
    </row>
    <row r="2029" spans="1:8" x14ac:dyDescent="0.25">
      <c r="E2029" t="str">
        <f>""</f>
        <v/>
      </c>
      <c r="F2029" t="str">
        <f>""</f>
        <v/>
      </c>
      <c r="H2029" t="str">
        <f t="shared" si="45"/>
        <v>MEDICARE TAXES</v>
      </c>
    </row>
    <row r="2030" spans="1:8" x14ac:dyDescent="0.25">
      <c r="A2030" t="s">
        <v>442</v>
      </c>
      <c r="B2030">
        <v>1202</v>
      </c>
      <c r="C2030" s="5">
        <v>243061.69</v>
      </c>
      <c r="D2030" s="3">
        <v>44400</v>
      </c>
      <c r="E2030" t="str">
        <f>"T1 202107214729"</f>
        <v>T1 202107214729</v>
      </c>
      <c r="F2030" t="str">
        <f>"FEDERAL WITHHOLDING"</f>
        <v>FEDERAL WITHHOLDING</v>
      </c>
      <c r="G2030" s="5">
        <v>80500.759999999995</v>
      </c>
      <c r="H2030" t="str">
        <f>"FEDERAL WITHHOLDING"</f>
        <v>FEDERAL WITHHOLDING</v>
      </c>
    </row>
    <row r="2031" spans="1:8" x14ac:dyDescent="0.25">
      <c r="E2031" t="str">
        <f>"T1 202107214730"</f>
        <v>T1 202107214730</v>
      </c>
      <c r="F2031" t="str">
        <f>"FEDERAL WITHHOLDING"</f>
        <v>FEDERAL WITHHOLDING</v>
      </c>
      <c r="G2031" s="5">
        <v>2648.62</v>
      </c>
      <c r="H2031" t="str">
        <f>"FEDERAL WITHHOLDING"</f>
        <v>FEDERAL WITHHOLDING</v>
      </c>
    </row>
    <row r="2032" spans="1:8" x14ac:dyDescent="0.25">
      <c r="E2032" t="str">
        <f>"T1 202107214731"</f>
        <v>T1 202107214731</v>
      </c>
      <c r="F2032" t="str">
        <f>"FEDERAL WITHHOLDING"</f>
        <v>FEDERAL WITHHOLDING</v>
      </c>
      <c r="G2032" s="5">
        <v>3058.03</v>
      </c>
      <c r="H2032" t="str">
        <f>"FEDERAL WITHHOLDING"</f>
        <v>FEDERAL WITHHOLDING</v>
      </c>
    </row>
    <row r="2033" spans="5:8" x14ac:dyDescent="0.25">
      <c r="E2033" t="str">
        <f>"T3 202107214729"</f>
        <v>T3 202107214729</v>
      </c>
      <c r="F2033" t="str">
        <f>"SOCIAL SECURITY TAXES"</f>
        <v>SOCIAL SECURITY TAXES</v>
      </c>
      <c r="G2033" s="5">
        <v>118927.16</v>
      </c>
      <c r="H2033" t="str">
        <f t="shared" ref="H2033:H2064" si="46">"SOCIAL SECURITY TAXES"</f>
        <v>SOCIAL SECURITY TAXES</v>
      </c>
    </row>
    <row r="2034" spans="5:8" x14ac:dyDescent="0.25">
      <c r="E2034" t="str">
        <f>""</f>
        <v/>
      </c>
      <c r="F2034" t="str">
        <f>""</f>
        <v/>
      </c>
      <c r="H2034" t="str">
        <f t="shared" si="46"/>
        <v>SOCIAL SECURITY TAXES</v>
      </c>
    </row>
    <row r="2035" spans="5:8" x14ac:dyDescent="0.25">
      <c r="E2035" t="str">
        <f>""</f>
        <v/>
      </c>
      <c r="F2035" t="str">
        <f>""</f>
        <v/>
      </c>
      <c r="H2035" t="str">
        <f t="shared" si="46"/>
        <v>SOCIAL SECURITY TAXES</v>
      </c>
    </row>
    <row r="2036" spans="5:8" x14ac:dyDescent="0.25">
      <c r="E2036" t="str">
        <f>""</f>
        <v/>
      </c>
      <c r="F2036" t="str">
        <f>""</f>
        <v/>
      </c>
      <c r="H2036" t="str">
        <f t="shared" si="46"/>
        <v>SOCIAL SECURITY TAXES</v>
      </c>
    </row>
    <row r="2037" spans="5:8" x14ac:dyDescent="0.25">
      <c r="E2037" t="str">
        <f>""</f>
        <v/>
      </c>
      <c r="F2037" t="str">
        <f>""</f>
        <v/>
      </c>
      <c r="H2037" t="str">
        <f t="shared" si="46"/>
        <v>SOCIAL SECURITY TAXES</v>
      </c>
    </row>
    <row r="2038" spans="5:8" x14ac:dyDescent="0.25">
      <c r="E2038" t="str">
        <f>""</f>
        <v/>
      </c>
      <c r="F2038" t="str">
        <f>""</f>
        <v/>
      </c>
      <c r="H2038" t="str">
        <f t="shared" si="46"/>
        <v>SOCIAL SECURITY TAXES</v>
      </c>
    </row>
    <row r="2039" spans="5:8" x14ac:dyDescent="0.25">
      <c r="E2039" t="str">
        <f>""</f>
        <v/>
      </c>
      <c r="F2039" t="str">
        <f>""</f>
        <v/>
      </c>
      <c r="H2039" t="str">
        <f t="shared" si="46"/>
        <v>SOCIAL SECURITY TAXES</v>
      </c>
    </row>
    <row r="2040" spans="5:8" x14ac:dyDescent="0.25">
      <c r="E2040" t="str">
        <f>""</f>
        <v/>
      </c>
      <c r="F2040" t="str">
        <f>""</f>
        <v/>
      </c>
      <c r="H2040" t="str">
        <f t="shared" si="46"/>
        <v>SOCIAL SECURITY TAXES</v>
      </c>
    </row>
    <row r="2041" spans="5:8" x14ac:dyDescent="0.25">
      <c r="E2041" t="str">
        <f>""</f>
        <v/>
      </c>
      <c r="F2041" t="str">
        <f>""</f>
        <v/>
      </c>
      <c r="H2041" t="str">
        <f t="shared" si="46"/>
        <v>SOCIAL SECURITY TAXES</v>
      </c>
    </row>
    <row r="2042" spans="5:8" x14ac:dyDescent="0.25">
      <c r="E2042" t="str">
        <f>""</f>
        <v/>
      </c>
      <c r="F2042" t="str">
        <f>""</f>
        <v/>
      </c>
      <c r="H2042" t="str">
        <f t="shared" si="46"/>
        <v>SOCIAL SECURITY TAXES</v>
      </c>
    </row>
    <row r="2043" spans="5:8" x14ac:dyDescent="0.25">
      <c r="E2043" t="str">
        <f>""</f>
        <v/>
      </c>
      <c r="F2043" t="str">
        <f>""</f>
        <v/>
      </c>
      <c r="H2043" t="str">
        <f t="shared" si="46"/>
        <v>SOCIAL SECURITY TAXES</v>
      </c>
    </row>
    <row r="2044" spans="5:8" x14ac:dyDescent="0.25">
      <c r="E2044" t="str">
        <f>""</f>
        <v/>
      </c>
      <c r="F2044" t="str">
        <f>""</f>
        <v/>
      </c>
      <c r="H2044" t="str">
        <f t="shared" si="46"/>
        <v>SOCIAL SECURITY TAXES</v>
      </c>
    </row>
    <row r="2045" spans="5:8" x14ac:dyDescent="0.25">
      <c r="E2045" t="str">
        <f>""</f>
        <v/>
      </c>
      <c r="F2045" t="str">
        <f>""</f>
        <v/>
      </c>
      <c r="H2045" t="str">
        <f t="shared" si="46"/>
        <v>SOCIAL SECURITY TAXES</v>
      </c>
    </row>
    <row r="2046" spans="5:8" x14ac:dyDescent="0.25">
      <c r="E2046" t="str">
        <f>""</f>
        <v/>
      </c>
      <c r="F2046" t="str">
        <f>""</f>
        <v/>
      </c>
      <c r="H2046" t="str">
        <f t="shared" si="46"/>
        <v>SOCIAL SECURITY TAXES</v>
      </c>
    </row>
    <row r="2047" spans="5:8" x14ac:dyDescent="0.25">
      <c r="E2047" t="str">
        <f>""</f>
        <v/>
      </c>
      <c r="F2047" t="str">
        <f>""</f>
        <v/>
      </c>
      <c r="H2047" t="str">
        <f t="shared" si="46"/>
        <v>SOCIAL SECURITY TAXES</v>
      </c>
    </row>
    <row r="2048" spans="5:8" x14ac:dyDescent="0.25">
      <c r="E2048" t="str">
        <f>""</f>
        <v/>
      </c>
      <c r="F2048" t="str">
        <f>""</f>
        <v/>
      </c>
      <c r="H2048" t="str">
        <f t="shared" si="46"/>
        <v>SOCIAL SECURITY TAXES</v>
      </c>
    </row>
    <row r="2049" spans="5:8" x14ac:dyDescent="0.25">
      <c r="E2049" t="str">
        <f>""</f>
        <v/>
      </c>
      <c r="F2049" t="str">
        <f>""</f>
        <v/>
      </c>
      <c r="H2049" t="str">
        <f t="shared" si="46"/>
        <v>SOCIAL SECURITY TAXES</v>
      </c>
    </row>
    <row r="2050" spans="5:8" x14ac:dyDescent="0.25">
      <c r="E2050" t="str">
        <f>""</f>
        <v/>
      </c>
      <c r="F2050" t="str">
        <f>""</f>
        <v/>
      </c>
      <c r="H2050" t="str">
        <f t="shared" si="46"/>
        <v>SOCIAL SECURITY TAXES</v>
      </c>
    </row>
    <row r="2051" spans="5:8" x14ac:dyDescent="0.25">
      <c r="E2051" t="str">
        <f>""</f>
        <v/>
      </c>
      <c r="F2051" t="str">
        <f>""</f>
        <v/>
      </c>
      <c r="H2051" t="str">
        <f t="shared" si="46"/>
        <v>SOCIAL SECURITY TAXES</v>
      </c>
    </row>
    <row r="2052" spans="5:8" x14ac:dyDescent="0.25">
      <c r="E2052" t="str">
        <f>""</f>
        <v/>
      </c>
      <c r="F2052" t="str">
        <f>""</f>
        <v/>
      </c>
      <c r="H2052" t="str">
        <f t="shared" si="46"/>
        <v>SOCIAL SECURITY TAXES</v>
      </c>
    </row>
    <row r="2053" spans="5:8" x14ac:dyDescent="0.25">
      <c r="E2053" t="str">
        <f>""</f>
        <v/>
      </c>
      <c r="F2053" t="str">
        <f>""</f>
        <v/>
      </c>
      <c r="H2053" t="str">
        <f t="shared" si="46"/>
        <v>SOCIAL SECURITY TAXES</v>
      </c>
    </row>
    <row r="2054" spans="5:8" x14ac:dyDescent="0.25">
      <c r="E2054" t="str">
        <f>""</f>
        <v/>
      </c>
      <c r="F2054" t="str">
        <f>""</f>
        <v/>
      </c>
      <c r="H2054" t="str">
        <f t="shared" si="46"/>
        <v>SOCIAL SECURITY TAXES</v>
      </c>
    </row>
    <row r="2055" spans="5:8" x14ac:dyDescent="0.25">
      <c r="E2055" t="str">
        <f>""</f>
        <v/>
      </c>
      <c r="F2055" t="str">
        <f>""</f>
        <v/>
      </c>
      <c r="H2055" t="str">
        <f t="shared" si="46"/>
        <v>SOCIAL SECURITY TAXES</v>
      </c>
    </row>
    <row r="2056" spans="5:8" x14ac:dyDescent="0.25">
      <c r="E2056" t="str">
        <f>""</f>
        <v/>
      </c>
      <c r="F2056" t="str">
        <f>""</f>
        <v/>
      </c>
      <c r="H2056" t="str">
        <f t="shared" si="46"/>
        <v>SOCIAL SECURITY TAXES</v>
      </c>
    </row>
    <row r="2057" spans="5:8" x14ac:dyDescent="0.25">
      <c r="E2057" t="str">
        <f>""</f>
        <v/>
      </c>
      <c r="F2057" t="str">
        <f>""</f>
        <v/>
      </c>
      <c r="H2057" t="str">
        <f t="shared" si="46"/>
        <v>SOCIAL SECURITY TAXES</v>
      </c>
    </row>
    <row r="2058" spans="5:8" x14ac:dyDescent="0.25">
      <c r="E2058" t="str">
        <f>""</f>
        <v/>
      </c>
      <c r="F2058" t="str">
        <f>""</f>
        <v/>
      </c>
      <c r="H2058" t="str">
        <f t="shared" si="46"/>
        <v>SOCIAL SECURITY TAXES</v>
      </c>
    </row>
    <row r="2059" spans="5:8" x14ac:dyDescent="0.25">
      <c r="E2059" t="str">
        <f>""</f>
        <v/>
      </c>
      <c r="F2059" t="str">
        <f>""</f>
        <v/>
      </c>
      <c r="H2059" t="str">
        <f t="shared" si="46"/>
        <v>SOCIAL SECURITY TAXES</v>
      </c>
    </row>
    <row r="2060" spans="5:8" x14ac:dyDescent="0.25">
      <c r="E2060" t="str">
        <f>""</f>
        <v/>
      </c>
      <c r="F2060" t="str">
        <f>""</f>
        <v/>
      </c>
      <c r="H2060" t="str">
        <f t="shared" si="46"/>
        <v>SOCIAL SECURITY TAXES</v>
      </c>
    </row>
    <row r="2061" spans="5:8" x14ac:dyDescent="0.25">
      <c r="E2061" t="str">
        <f>""</f>
        <v/>
      </c>
      <c r="F2061" t="str">
        <f>""</f>
        <v/>
      </c>
      <c r="H2061" t="str">
        <f t="shared" si="46"/>
        <v>SOCIAL SECURITY TAXES</v>
      </c>
    </row>
    <row r="2062" spans="5:8" x14ac:dyDescent="0.25">
      <c r="E2062" t="str">
        <f>""</f>
        <v/>
      </c>
      <c r="F2062" t="str">
        <f>""</f>
        <v/>
      </c>
      <c r="H2062" t="str">
        <f t="shared" si="46"/>
        <v>SOCIAL SECURITY TAXES</v>
      </c>
    </row>
    <row r="2063" spans="5:8" x14ac:dyDescent="0.25">
      <c r="E2063" t="str">
        <f>""</f>
        <v/>
      </c>
      <c r="F2063" t="str">
        <f>""</f>
        <v/>
      </c>
      <c r="H2063" t="str">
        <f t="shared" si="46"/>
        <v>SOCIAL SECURITY TAXES</v>
      </c>
    </row>
    <row r="2064" spans="5:8" x14ac:dyDescent="0.25">
      <c r="E2064" t="str">
        <f>""</f>
        <v/>
      </c>
      <c r="F2064" t="str">
        <f>""</f>
        <v/>
      </c>
      <c r="H2064" t="str">
        <f t="shared" si="46"/>
        <v>SOCIAL SECURITY TAXES</v>
      </c>
    </row>
    <row r="2065" spans="5:8" x14ac:dyDescent="0.25">
      <c r="E2065" t="str">
        <f>""</f>
        <v/>
      </c>
      <c r="F2065" t="str">
        <f>""</f>
        <v/>
      </c>
      <c r="H2065" t="str">
        <f t="shared" ref="H2065:H2089" si="47">"SOCIAL SECURITY TAXES"</f>
        <v>SOCIAL SECURITY TAXES</v>
      </c>
    </row>
    <row r="2066" spans="5:8" x14ac:dyDescent="0.25">
      <c r="E2066" t="str">
        <f>""</f>
        <v/>
      </c>
      <c r="F2066" t="str">
        <f>""</f>
        <v/>
      </c>
      <c r="H2066" t="str">
        <f t="shared" si="47"/>
        <v>SOCIAL SECURITY TAXES</v>
      </c>
    </row>
    <row r="2067" spans="5:8" x14ac:dyDescent="0.25">
      <c r="E2067" t="str">
        <f>""</f>
        <v/>
      </c>
      <c r="F2067" t="str">
        <f>""</f>
        <v/>
      </c>
      <c r="H2067" t="str">
        <f t="shared" si="47"/>
        <v>SOCIAL SECURITY TAXES</v>
      </c>
    </row>
    <row r="2068" spans="5:8" x14ac:dyDescent="0.25">
      <c r="E2068" t="str">
        <f>""</f>
        <v/>
      </c>
      <c r="F2068" t="str">
        <f>""</f>
        <v/>
      </c>
      <c r="H2068" t="str">
        <f t="shared" si="47"/>
        <v>SOCIAL SECURITY TAXES</v>
      </c>
    </row>
    <row r="2069" spans="5:8" x14ac:dyDescent="0.25">
      <c r="E2069" t="str">
        <f>""</f>
        <v/>
      </c>
      <c r="F2069" t="str">
        <f>""</f>
        <v/>
      </c>
      <c r="H2069" t="str">
        <f t="shared" si="47"/>
        <v>SOCIAL SECURITY TAXES</v>
      </c>
    </row>
    <row r="2070" spans="5:8" x14ac:dyDescent="0.25">
      <c r="E2070" t="str">
        <f>""</f>
        <v/>
      </c>
      <c r="F2070" t="str">
        <f>""</f>
        <v/>
      </c>
      <c r="H2070" t="str">
        <f t="shared" si="47"/>
        <v>SOCIAL SECURITY TAXES</v>
      </c>
    </row>
    <row r="2071" spans="5:8" x14ac:dyDescent="0.25">
      <c r="E2071" t="str">
        <f>""</f>
        <v/>
      </c>
      <c r="F2071" t="str">
        <f>""</f>
        <v/>
      </c>
      <c r="H2071" t="str">
        <f t="shared" si="47"/>
        <v>SOCIAL SECURITY TAXES</v>
      </c>
    </row>
    <row r="2072" spans="5:8" x14ac:dyDescent="0.25">
      <c r="E2072" t="str">
        <f>""</f>
        <v/>
      </c>
      <c r="F2072" t="str">
        <f>""</f>
        <v/>
      </c>
      <c r="H2072" t="str">
        <f t="shared" si="47"/>
        <v>SOCIAL SECURITY TAXES</v>
      </c>
    </row>
    <row r="2073" spans="5:8" x14ac:dyDescent="0.25">
      <c r="E2073" t="str">
        <f>""</f>
        <v/>
      </c>
      <c r="F2073" t="str">
        <f>""</f>
        <v/>
      </c>
      <c r="H2073" t="str">
        <f t="shared" si="47"/>
        <v>SOCIAL SECURITY TAXES</v>
      </c>
    </row>
    <row r="2074" spans="5:8" x14ac:dyDescent="0.25">
      <c r="E2074" t="str">
        <f>""</f>
        <v/>
      </c>
      <c r="F2074" t="str">
        <f>""</f>
        <v/>
      </c>
      <c r="H2074" t="str">
        <f t="shared" si="47"/>
        <v>SOCIAL SECURITY TAXES</v>
      </c>
    </row>
    <row r="2075" spans="5:8" x14ac:dyDescent="0.25">
      <c r="E2075" t="str">
        <f>""</f>
        <v/>
      </c>
      <c r="F2075" t="str">
        <f>""</f>
        <v/>
      </c>
      <c r="H2075" t="str">
        <f t="shared" si="47"/>
        <v>SOCIAL SECURITY TAXES</v>
      </c>
    </row>
    <row r="2076" spans="5:8" x14ac:dyDescent="0.25">
      <c r="E2076" t="str">
        <f>""</f>
        <v/>
      </c>
      <c r="F2076" t="str">
        <f>""</f>
        <v/>
      </c>
      <c r="H2076" t="str">
        <f t="shared" si="47"/>
        <v>SOCIAL SECURITY TAXES</v>
      </c>
    </row>
    <row r="2077" spans="5:8" x14ac:dyDescent="0.25">
      <c r="E2077" t="str">
        <f>""</f>
        <v/>
      </c>
      <c r="F2077" t="str">
        <f>""</f>
        <v/>
      </c>
      <c r="H2077" t="str">
        <f t="shared" si="47"/>
        <v>SOCIAL SECURITY TAXES</v>
      </c>
    </row>
    <row r="2078" spans="5:8" x14ac:dyDescent="0.25">
      <c r="E2078" t="str">
        <f>""</f>
        <v/>
      </c>
      <c r="F2078" t="str">
        <f>""</f>
        <v/>
      </c>
      <c r="H2078" t="str">
        <f t="shared" si="47"/>
        <v>SOCIAL SECURITY TAXES</v>
      </c>
    </row>
    <row r="2079" spans="5:8" x14ac:dyDescent="0.25">
      <c r="E2079" t="str">
        <f>""</f>
        <v/>
      </c>
      <c r="F2079" t="str">
        <f>""</f>
        <v/>
      </c>
      <c r="H2079" t="str">
        <f t="shared" si="47"/>
        <v>SOCIAL SECURITY TAXES</v>
      </c>
    </row>
    <row r="2080" spans="5:8" x14ac:dyDescent="0.25">
      <c r="E2080" t="str">
        <f>""</f>
        <v/>
      </c>
      <c r="F2080" t="str">
        <f>""</f>
        <v/>
      </c>
      <c r="H2080" t="str">
        <f t="shared" si="47"/>
        <v>SOCIAL SECURITY TAXES</v>
      </c>
    </row>
    <row r="2081" spans="5:8" x14ac:dyDescent="0.25">
      <c r="E2081" t="str">
        <f>""</f>
        <v/>
      </c>
      <c r="F2081" t="str">
        <f>""</f>
        <v/>
      </c>
      <c r="H2081" t="str">
        <f t="shared" si="47"/>
        <v>SOCIAL SECURITY TAXES</v>
      </c>
    </row>
    <row r="2082" spans="5:8" x14ac:dyDescent="0.25">
      <c r="E2082" t="str">
        <f>""</f>
        <v/>
      </c>
      <c r="F2082" t="str">
        <f>""</f>
        <v/>
      </c>
      <c r="H2082" t="str">
        <f t="shared" si="47"/>
        <v>SOCIAL SECURITY TAXES</v>
      </c>
    </row>
    <row r="2083" spans="5:8" x14ac:dyDescent="0.25">
      <c r="E2083" t="str">
        <f>""</f>
        <v/>
      </c>
      <c r="F2083" t="str">
        <f>""</f>
        <v/>
      </c>
      <c r="H2083" t="str">
        <f t="shared" si="47"/>
        <v>SOCIAL SECURITY TAXES</v>
      </c>
    </row>
    <row r="2084" spans="5:8" x14ac:dyDescent="0.25">
      <c r="E2084" t="str">
        <f>""</f>
        <v/>
      </c>
      <c r="F2084" t="str">
        <f>""</f>
        <v/>
      </c>
      <c r="H2084" t="str">
        <f t="shared" si="47"/>
        <v>SOCIAL SECURITY TAXES</v>
      </c>
    </row>
    <row r="2085" spans="5:8" x14ac:dyDescent="0.25">
      <c r="E2085" t="str">
        <f>""</f>
        <v/>
      </c>
      <c r="F2085" t="str">
        <f>""</f>
        <v/>
      </c>
      <c r="H2085" t="str">
        <f t="shared" si="47"/>
        <v>SOCIAL SECURITY TAXES</v>
      </c>
    </row>
    <row r="2086" spans="5:8" x14ac:dyDescent="0.25">
      <c r="E2086" t="str">
        <f>"T3 202107214730"</f>
        <v>T3 202107214730</v>
      </c>
      <c r="F2086" t="str">
        <f>"SOCIAL SECURITY TAXES"</f>
        <v>SOCIAL SECURITY TAXES</v>
      </c>
      <c r="G2086" s="5">
        <v>3744.02</v>
      </c>
      <c r="H2086" t="str">
        <f t="shared" si="47"/>
        <v>SOCIAL SECURITY TAXES</v>
      </c>
    </row>
    <row r="2087" spans="5:8" x14ac:dyDescent="0.25">
      <c r="E2087" t="str">
        <f>""</f>
        <v/>
      </c>
      <c r="F2087" t="str">
        <f>""</f>
        <v/>
      </c>
      <c r="H2087" t="str">
        <f t="shared" si="47"/>
        <v>SOCIAL SECURITY TAXES</v>
      </c>
    </row>
    <row r="2088" spans="5:8" x14ac:dyDescent="0.25">
      <c r="E2088" t="str">
        <f>"T3 202107214731"</f>
        <v>T3 202107214731</v>
      </c>
      <c r="F2088" t="str">
        <f>"SOCIAL SECURITY TAXES"</f>
        <v>SOCIAL SECURITY TAXES</v>
      </c>
      <c r="G2088" s="5">
        <v>4452.3999999999996</v>
      </c>
      <c r="H2088" t="str">
        <f t="shared" si="47"/>
        <v>SOCIAL SECURITY TAXES</v>
      </c>
    </row>
    <row r="2089" spans="5:8" x14ac:dyDescent="0.25">
      <c r="E2089" t="str">
        <f>""</f>
        <v/>
      </c>
      <c r="F2089" t="str">
        <f>""</f>
        <v/>
      </c>
      <c r="H2089" t="str">
        <f t="shared" si="47"/>
        <v>SOCIAL SECURITY TAXES</v>
      </c>
    </row>
    <row r="2090" spans="5:8" x14ac:dyDescent="0.25">
      <c r="E2090" t="str">
        <f>"T4 202107214729"</f>
        <v>T4 202107214729</v>
      </c>
      <c r="F2090" t="str">
        <f>"MEDICARE TAXES"</f>
        <v>MEDICARE TAXES</v>
      </c>
      <c r="G2090" s="5">
        <v>27813.7</v>
      </c>
      <c r="H2090" t="str">
        <f t="shared" ref="H2090:H2121" si="48">"MEDICARE TAXES"</f>
        <v>MEDICARE TAXES</v>
      </c>
    </row>
    <row r="2091" spans="5:8" x14ac:dyDescent="0.25">
      <c r="E2091" t="str">
        <f>""</f>
        <v/>
      </c>
      <c r="F2091" t="str">
        <f>""</f>
        <v/>
      </c>
      <c r="H2091" t="str">
        <f t="shared" si="48"/>
        <v>MEDICARE TAXES</v>
      </c>
    </row>
    <row r="2092" spans="5:8" x14ac:dyDescent="0.25">
      <c r="E2092" t="str">
        <f>""</f>
        <v/>
      </c>
      <c r="F2092" t="str">
        <f>""</f>
        <v/>
      </c>
      <c r="H2092" t="str">
        <f t="shared" si="48"/>
        <v>MEDICARE TAXES</v>
      </c>
    </row>
    <row r="2093" spans="5:8" x14ac:dyDescent="0.25">
      <c r="E2093" t="str">
        <f>""</f>
        <v/>
      </c>
      <c r="F2093" t="str">
        <f>""</f>
        <v/>
      </c>
      <c r="H2093" t="str">
        <f t="shared" si="48"/>
        <v>MEDICARE TAXES</v>
      </c>
    </row>
    <row r="2094" spans="5:8" x14ac:dyDescent="0.25">
      <c r="E2094" t="str">
        <f>""</f>
        <v/>
      </c>
      <c r="F2094" t="str">
        <f>""</f>
        <v/>
      </c>
      <c r="H2094" t="str">
        <f t="shared" si="48"/>
        <v>MEDICARE TAXES</v>
      </c>
    </row>
    <row r="2095" spans="5:8" x14ac:dyDescent="0.25">
      <c r="E2095" t="str">
        <f>""</f>
        <v/>
      </c>
      <c r="F2095" t="str">
        <f>""</f>
        <v/>
      </c>
      <c r="H2095" t="str">
        <f t="shared" si="48"/>
        <v>MEDICARE TAXES</v>
      </c>
    </row>
    <row r="2096" spans="5:8" x14ac:dyDescent="0.25">
      <c r="E2096" t="str">
        <f>""</f>
        <v/>
      </c>
      <c r="F2096" t="str">
        <f>""</f>
        <v/>
      </c>
      <c r="H2096" t="str">
        <f t="shared" si="48"/>
        <v>MEDICARE TAXES</v>
      </c>
    </row>
    <row r="2097" spans="5:8" x14ac:dyDescent="0.25">
      <c r="E2097" t="str">
        <f>""</f>
        <v/>
      </c>
      <c r="F2097" t="str">
        <f>""</f>
        <v/>
      </c>
      <c r="H2097" t="str">
        <f t="shared" si="48"/>
        <v>MEDICARE TAXES</v>
      </c>
    </row>
    <row r="2098" spans="5:8" x14ac:dyDescent="0.25">
      <c r="E2098" t="str">
        <f>""</f>
        <v/>
      </c>
      <c r="F2098" t="str">
        <f>""</f>
        <v/>
      </c>
      <c r="H2098" t="str">
        <f t="shared" si="48"/>
        <v>MEDICARE TAXES</v>
      </c>
    </row>
    <row r="2099" spans="5:8" x14ac:dyDescent="0.25">
      <c r="E2099" t="str">
        <f>""</f>
        <v/>
      </c>
      <c r="F2099" t="str">
        <f>""</f>
        <v/>
      </c>
      <c r="H2099" t="str">
        <f t="shared" si="48"/>
        <v>MEDICARE TAXES</v>
      </c>
    </row>
    <row r="2100" spans="5:8" x14ac:dyDescent="0.25">
      <c r="E2100" t="str">
        <f>""</f>
        <v/>
      </c>
      <c r="F2100" t="str">
        <f>""</f>
        <v/>
      </c>
      <c r="H2100" t="str">
        <f t="shared" si="48"/>
        <v>MEDICARE TAXES</v>
      </c>
    </row>
    <row r="2101" spans="5:8" x14ac:dyDescent="0.25">
      <c r="E2101" t="str">
        <f>""</f>
        <v/>
      </c>
      <c r="F2101" t="str">
        <f>""</f>
        <v/>
      </c>
      <c r="H2101" t="str">
        <f t="shared" si="48"/>
        <v>MEDICARE TAXES</v>
      </c>
    </row>
    <row r="2102" spans="5:8" x14ac:dyDescent="0.25">
      <c r="E2102" t="str">
        <f>""</f>
        <v/>
      </c>
      <c r="F2102" t="str">
        <f>""</f>
        <v/>
      </c>
      <c r="H2102" t="str">
        <f t="shared" si="48"/>
        <v>MEDICARE TAXES</v>
      </c>
    </row>
    <row r="2103" spans="5:8" x14ac:dyDescent="0.25">
      <c r="E2103" t="str">
        <f>""</f>
        <v/>
      </c>
      <c r="F2103" t="str">
        <f>""</f>
        <v/>
      </c>
      <c r="H2103" t="str">
        <f t="shared" si="48"/>
        <v>MEDICARE TAXES</v>
      </c>
    </row>
    <row r="2104" spans="5:8" x14ac:dyDescent="0.25">
      <c r="E2104" t="str">
        <f>""</f>
        <v/>
      </c>
      <c r="F2104" t="str">
        <f>""</f>
        <v/>
      </c>
      <c r="H2104" t="str">
        <f t="shared" si="48"/>
        <v>MEDICARE TAXES</v>
      </c>
    </row>
    <row r="2105" spans="5:8" x14ac:dyDescent="0.25">
      <c r="E2105" t="str">
        <f>""</f>
        <v/>
      </c>
      <c r="F2105" t="str">
        <f>""</f>
        <v/>
      </c>
      <c r="H2105" t="str">
        <f t="shared" si="48"/>
        <v>MEDICARE TAXES</v>
      </c>
    </row>
    <row r="2106" spans="5:8" x14ac:dyDescent="0.25">
      <c r="E2106" t="str">
        <f>""</f>
        <v/>
      </c>
      <c r="F2106" t="str">
        <f>""</f>
        <v/>
      </c>
      <c r="H2106" t="str">
        <f t="shared" si="48"/>
        <v>MEDICARE TAXES</v>
      </c>
    </row>
    <row r="2107" spans="5:8" x14ac:dyDescent="0.25">
      <c r="E2107" t="str">
        <f>""</f>
        <v/>
      </c>
      <c r="F2107" t="str">
        <f>""</f>
        <v/>
      </c>
      <c r="H2107" t="str">
        <f t="shared" si="48"/>
        <v>MEDICARE TAXES</v>
      </c>
    </row>
    <row r="2108" spans="5:8" x14ac:dyDescent="0.25">
      <c r="E2108" t="str">
        <f>""</f>
        <v/>
      </c>
      <c r="F2108" t="str">
        <f>""</f>
        <v/>
      </c>
      <c r="H2108" t="str">
        <f t="shared" si="48"/>
        <v>MEDICARE TAXES</v>
      </c>
    </row>
    <row r="2109" spans="5:8" x14ac:dyDescent="0.25">
      <c r="E2109" t="str">
        <f>""</f>
        <v/>
      </c>
      <c r="F2109" t="str">
        <f>""</f>
        <v/>
      </c>
      <c r="H2109" t="str">
        <f t="shared" si="48"/>
        <v>MEDICARE TAXES</v>
      </c>
    </row>
    <row r="2110" spans="5:8" x14ac:dyDescent="0.25">
      <c r="E2110" t="str">
        <f>""</f>
        <v/>
      </c>
      <c r="F2110" t="str">
        <f>""</f>
        <v/>
      </c>
      <c r="H2110" t="str">
        <f t="shared" si="48"/>
        <v>MEDICARE TAXES</v>
      </c>
    </row>
    <row r="2111" spans="5:8" x14ac:dyDescent="0.25">
      <c r="E2111" t="str">
        <f>""</f>
        <v/>
      </c>
      <c r="F2111" t="str">
        <f>""</f>
        <v/>
      </c>
      <c r="H2111" t="str">
        <f t="shared" si="48"/>
        <v>MEDICARE TAXES</v>
      </c>
    </row>
    <row r="2112" spans="5:8" x14ac:dyDescent="0.25">
      <c r="E2112" t="str">
        <f>""</f>
        <v/>
      </c>
      <c r="F2112" t="str">
        <f>""</f>
        <v/>
      </c>
      <c r="H2112" t="str">
        <f t="shared" si="48"/>
        <v>MEDICARE TAXES</v>
      </c>
    </row>
    <row r="2113" spans="5:8" x14ac:dyDescent="0.25">
      <c r="E2113" t="str">
        <f>""</f>
        <v/>
      </c>
      <c r="F2113" t="str">
        <f>""</f>
        <v/>
      </c>
      <c r="H2113" t="str">
        <f t="shared" si="48"/>
        <v>MEDICARE TAXES</v>
      </c>
    </row>
    <row r="2114" spans="5:8" x14ac:dyDescent="0.25">
      <c r="E2114" t="str">
        <f>""</f>
        <v/>
      </c>
      <c r="F2114" t="str">
        <f>""</f>
        <v/>
      </c>
      <c r="H2114" t="str">
        <f t="shared" si="48"/>
        <v>MEDICARE TAXES</v>
      </c>
    </row>
    <row r="2115" spans="5:8" x14ac:dyDescent="0.25">
      <c r="E2115" t="str">
        <f>""</f>
        <v/>
      </c>
      <c r="F2115" t="str">
        <f>""</f>
        <v/>
      </c>
      <c r="H2115" t="str">
        <f t="shared" si="48"/>
        <v>MEDICARE TAXES</v>
      </c>
    </row>
    <row r="2116" spans="5:8" x14ac:dyDescent="0.25">
      <c r="E2116" t="str">
        <f>""</f>
        <v/>
      </c>
      <c r="F2116" t="str">
        <f>""</f>
        <v/>
      </c>
      <c r="H2116" t="str">
        <f t="shared" si="48"/>
        <v>MEDICARE TAXES</v>
      </c>
    </row>
    <row r="2117" spans="5:8" x14ac:dyDescent="0.25">
      <c r="E2117" t="str">
        <f>""</f>
        <v/>
      </c>
      <c r="F2117" t="str">
        <f>""</f>
        <v/>
      </c>
      <c r="H2117" t="str">
        <f t="shared" si="48"/>
        <v>MEDICARE TAXES</v>
      </c>
    </row>
    <row r="2118" spans="5:8" x14ac:dyDescent="0.25">
      <c r="E2118" t="str">
        <f>""</f>
        <v/>
      </c>
      <c r="F2118" t="str">
        <f>""</f>
        <v/>
      </c>
      <c r="H2118" t="str">
        <f t="shared" si="48"/>
        <v>MEDICARE TAXES</v>
      </c>
    </row>
    <row r="2119" spans="5:8" x14ac:dyDescent="0.25">
      <c r="E2119" t="str">
        <f>""</f>
        <v/>
      </c>
      <c r="F2119" t="str">
        <f>""</f>
        <v/>
      </c>
      <c r="H2119" t="str">
        <f t="shared" si="48"/>
        <v>MEDICARE TAXES</v>
      </c>
    </row>
    <row r="2120" spans="5:8" x14ac:dyDescent="0.25">
      <c r="E2120" t="str">
        <f>""</f>
        <v/>
      </c>
      <c r="F2120" t="str">
        <f>""</f>
        <v/>
      </c>
      <c r="H2120" t="str">
        <f t="shared" si="48"/>
        <v>MEDICARE TAXES</v>
      </c>
    </row>
    <row r="2121" spans="5:8" x14ac:dyDescent="0.25">
      <c r="E2121" t="str">
        <f>""</f>
        <v/>
      </c>
      <c r="F2121" t="str">
        <f>""</f>
        <v/>
      </c>
      <c r="H2121" t="str">
        <f t="shared" si="48"/>
        <v>MEDICARE TAXES</v>
      </c>
    </row>
    <row r="2122" spans="5:8" x14ac:dyDescent="0.25">
      <c r="E2122" t="str">
        <f>""</f>
        <v/>
      </c>
      <c r="F2122" t="str">
        <f>""</f>
        <v/>
      </c>
      <c r="H2122" t="str">
        <f t="shared" ref="H2122:H2146" si="49">"MEDICARE TAXES"</f>
        <v>MEDICARE TAXES</v>
      </c>
    </row>
    <row r="2123" spans="5:8" x14ac:dyDescent="0.25">
      <c r="E2123" t="str">
        <f>""</f>
        <v/>
      </c>
      <c r="F2123" t="str">
        <f>""</f>
        <v/>
      </c>
      <c r="H2123" t="str">
        <f t="shared" si="49"/>
        <v>MEDICARE TAXES</v>
      </c>
    </row>
    <row r="2124" spans="5:8" x14ac:dyDescent="0.25">
      <c r="E2124" t="str">
        <f>""</f>
        <v/>
      </c>
      <c r="F2124" t="str">
        <f>""</f>
        <v/>
      </c>
      <c r="H2124" t="str">
        <f t="shared" si="49"/>
        <v>MEDICARE TAXES</v>
      </c>
    </row>
    <row r="2125" spans="5:8" x14ac:dyDescent="0.25">
      <c r="E2125" t="str">
        <f>""</f>
        <v/>
      </c>
      <c r="F2125" t="str">
        <f>""</f>
        <v/>
      </c>
      <c r="H2125" t="str">
        <f t="shared" si="49"/>
        <v>MEDICARE TAXES</v>
      </c>
    </row>
    <row r="2126" spans="5:8" x14ac:dyDescent="0.25">
      <c r="E2126" t="str">
        <f>""</f>
        <v/>
      </c>
      <c r="F2126" t="str">
        <f>""</f>
        <v/>
      </c>
      <c r="H2126" t="str">
        <f t="shared" si="49"/>
        <v>MEDICARE TAXES</v>
      </c>
    </row>
    <row r="2127" spans="5:8" x14ac:dyDescent="0.25">
      <c r="E2127" t="str">
        <f>""</f>
        <v/>
      </c>
      <c r="F2127" t="str">
        <f>""</f>
        <v/>
      </c>
      <c r="H2127" t="str">
        <f t="shared" si="49"/>
        <v>MEDICARE TAXES</v>
      </c>
    </row>
    <row r="2128" spans="5:8" x14ac:dyDescent="0.25">
      <c r="E2128" t="str">
        <f>""</f>
        <v/>
      </c>
      <c r="F2128" t="str">
        <f>""</f>
        <v/>
      </c>
      <c r="H2128" t="str">
        <f t="shared" si="49"/>
        <v>MEDICARE TAXES</v>
      </c>
    </row>
    <row r="2129" spans="5:8" x14ac:dyDescent="0.25">
      <c r="E2129" t="str">
        <f>""</f>
        <v/>
      </c>
      <c r="F2129" t="str">
        <f>""</f>
        <v/>
      </c>
      <c r="H2129" t="str">
        <f t="shared" si="49"/>
        <v>MEDICARE TAXES</v>
      </c>
    </row>
    <row r="2130" spans="5:8" x14ac:dyDescent="0.25">
      <c r="E2130" t="str">
        <f>""</f>
        <v/>
      </c>
      <c r="F2130" t="str">
        <f>""</f>
        <v/>
      </c>
      <c r="H2130" t="str">
        <f t="shared" si="49"/>
        <v>MEDICARE TAXES</v>
      </c>
    </row>
    <row r="2131" spans="5:8" x14ac:dyDescent="0.25">
      <c r="E2131" t="str">
        <f>""</f>
        <v/>
      </c>
      <c r="F2131" t="str">
        <f>""</f>
        <v/>
      </c>
      <c r="H2131" t="str">
        <f t="shared" si="49"/>
        <v>MEDICARE TAXES</v>
      </c>
    </row>
    <row r="2132" spans="5:8" x14ac:dyDescent="0.25">
      <c r="E2132" t="str">
        <f>""</f>
        <v/>
      </c>
      <c r="F2132" t="str">
        <f>""</f>
        <v/>
      </c>
      <c r="H2132" t="str">
        <f t="shared" si="49"/>
        <v>MEDICARE TAXES</v>
      </c>
    </row>
    <row r="2133" spans="5:8" x14ac:dyDescent="0.25">
      <c r="E2133" t="str">
        <f>""</f>
        <v/>
      </c>
      <c r="F2133" t="str">
        <f>""</f>
        <v/>
      </c>
      <c r="H2133" t="str">
        <f t="shared" si="49"/>
        <v>MEDICARE TAXES</v>
      </c>
    </row>
    <row r="2134" spans="5:8" x14ac:dyDescent="0.25">
      <c r="E2134" t="str">
        <f>""</f>
        <v/>
      </c>
      <c r="F2134" t="str">
        <f>""</f>
        <v/>
      </c>
      <c r="H2134" t="str">
        <f t="shared" si="49"/>
        <v>MEDICARE TAXES</v>
      </c>
    </row>
    <row r="2135" spans="5:8" x14ac:dyDescent="0.25">
      <c r="E2135" t="str">
        <f>""</f>
        <v/>
      </c>
      <c r="F2135" t="str">
        <f>""</f>
        <v/>
      </c>
      <c r="H2135" t="str">
        <f t="shared" si="49"/>
        <v>MEDICARE TAXES</v>
      </c>
    </row>
    <row r="2136" spans="5:8" x14ac:dyDescent="0.25">
      <c r="E2136" t="str">
        <f>""</f>
        <v/>
      </c>
      <c r="F2136" t="str">
        <f>""</f>
        <v/>
      </c>
      <c r="H2136" t="str">
        <f t="shared" si="49"/>
        <v>MEDICARE TAXES</v>
      </c>
    </row>
    <row r="2137" spans="5:8" x14ac:dyDescent="0.25">
      <c r="E2137" t="str">
        <f>""</f>
        <v/>
      </c>
      <c r="F2137" t="str">
        <f>""</f>
        <v/>
      </c>
      <c r="H2137" t="str">
        <f t="shared" si="49"/>
        <v>MEDICARE TAXES</v>
      </c>
    </row>
    <row r="2138" spans="5:8" x14ac:dyDescent="0.25">
      <c r="E2138" t="str">
        <f>""</f>
        <v/>
      </c>
      <c r="F2138" t="str">
        <f>""</f>
        <v/>
      </c>
      <c r="H2138" t="str">
        <f t="shared" si="49"/>
        <v>MEDICARE TAXES</v>
      </c>
    </row>
    <row r="2139" spans="5:8" x14ac:dyDescent="0.25">
      <c r="E2139" t="str">
        <f>""</f>
        <v/>
      </c>
      <c r="F2139" t="str">
        <f>""</f>
        <v/>
      </c>
      <c r="H2139" t="str">
        <f t="shared" si="49"/>
        <v>MEDICARE TAXES</v>
      </c>
    </row>
    <row r="2140" spans="5:8" x14ac:dyDescent="0.25">
      <c r="E2140" t="str">
        <f>""</f>
        <v/>
      </c>
      <c r="F2140" t="str">
        <f>""</f>
        <v/>
      </c>
      <c r="H2140" t="str">
        <f t="shared" si="49"/>
        <v>MEDICARE TAXES</v>
      </c>
    </row>
    <row r="2141" spans="5:8" x14ac:dyDescent="0.25">
      <c r="E2141" t="str">
        <f>""</f>
        <v/>
      </c>
      <c r="F2141" t="str">
        <f>""</f>
        <v/>
      </c>
      <c r="H2141" t="str">
        <f t="shared" si="49"/>
        <v>MEDICARE TAXES</v>
      </c>
    </row>
    <row r="2142" spans="5:8" x14ac:dyDescent="0.25">
      <c r="E2142" t="str">
        <f>""</f>
        <v/>
      </c>
      <c r="F2142" t="str">
        <f>""</f>
        <v/>
      </c>
      <c r="H2142" t="str">
        <f t="shared" si="49"/>
        <v>MEDICARE TAXES</v>
      </c>
    </row>
    <row r="2143" spans="5:8" x14ac:dyDescent="0.25">
      <c r="E2143" t="str">
        <f>"T4 202107214730"</f>
        <v>T4 202107214730</v>
      </c>
      <c r="F2143" t="str">
        <f>"MEDICARE TAXES"</f>
        <v>MEDICARE TAXES</v>
      </c>
      <c r="G2143" s="5">
        <v>875.66</v>
      </c>
      <c r="H2143" t="str">
        <f t="shared" si="49"/>
        <v>MEDICARE TAXES</v>
      </c>
    </row>
    <row r="2144" spans="5:8" x14ac:dyDescent="0.25">
      <c r="E2144" t="str">
        <f>""</f>
        <v/>
      </c>
      <c r="F2144" t="str">
        <f>""</f>
        <v/>
      </c>
      <c r="H2144" t="str">
        <f t="shared" si="49"/>
        <v>MEDICARE TAXES</v>
      </c>
    </row>
    <row r="2145" spans="1:8" x14ac:dyDescent="0.25">
      <c r="E2145" t="str">
        <f>"T4 202107214731"</f>
        <v>T4 202107214731</v>
      </c>
      <c r="F2145" t="str">
        <f>"MEDICARE TAXES"</f>
        <v>MEDICARE TAXES</v>
      </c>
      <c r="G2145" s="5">
        <v>1041.3399999999999</v>
      </c>
      <c r="H2145" t="str">
        <f t="shared" si="49"/>
        <v>MEDICARE TAXES</v>
      </c>
    </row>
    <row r="2146" spans="1:8" x14ac:dyDescent="0.25">
      <c r="E2146" t="str">
        <f>""</f>
        <v/>
      </c>
      <c r="F2146" t="str">
        <f>""</f>
        <v/>
      </c>
      <c r="H2146" t="str">
        <f t="shared" si="49"/>
        <v>MEDICARE TAXES</v>
      </c>
    </row>
    <row r="2147" spans="1:8" x14ac:dyDescent="0.25">
      <c r="A2147" t="s">
        <v>443</v>
      </c>
      <c r="B2147">
        <v>1215</v>
      </c>
      <c r="C2147" s="5">
        <v>425.32</v>
      </c>
      <c r="D2147" s="3">
        <v>44404</v>
      </c>
      <c r="E2147" t="str">
        <f>"LIX202107074399"</f>
        <v>LIX202107074399</v>
      </c>
      <c r="F2147" t="str">
        <f>"TEXAS LIFE/OLIVO GROUP"</f>
        <v>TEXAS LIFE/OLIVO GROUP</v>
      </c>
      <c r="G2147" s="5">
        <v>212.66</v>
      </c>
      <c r="H2147" t="str">
        <f>"TEXAS LIFE/OLIVO GROUP"</f>
        <v>TEXAS LIFE/OLIVO GROUP</v>
      </c>
    </row>
    <row r="2148" spans="1:8" x14ac:dyDescent="0.25">
      <c r="E2148" t="str">
        <f>"LIX202107214729"</f>
        <v>LIX202107214729</v>
      </c>
      <c r="F2148" t="str">
        <f>"TEXAS LIFE/OLIVO GROUP"</f>
        <v>TEXAS LIFE/OLIVO GROUP</v>
      </c>
      <c r="G2148" s="5">
        <v>212.66</v>
      </c>
      <c r="H2148" t="str">
        <f>"TEXAS LIFE/OLIVO GROUP"</f>
        <v>TEXAS LIFE/OLIVO GROUP</v>
      </c>
    </row>
    <row r="2149" spans="1:8" x14ac:dyDescent="0.25">
      <c r="A2149" t="s">
        <v>444</v>
      </c>
      <c r="B2149">
        <v>48423</v>
      </c>
      <c r="C2149" s="5">
        <v>390108.5</v>
      </c>
      <c r="D2149" s="3">
        <v>44404</v>
      </c>
      <c r="E2149" t="str">
        <f>"202107274748"</f>
        <v>202107274748</v>
      </c>
      <c r="F2149" t="str">
        <f>"RETIREE INS - JULY 2021"</f>
        <v>RETIREE INS - JULY 2021</v>
      </c>
      <c r="G2149" s="5">
        <v>17603.22</v>
      </c>
      <c r="H2149" t="str">
        <f>"RETIREE INS - JULY 2021"</f>
        <v>RETIREE INS - JULY 2021</v>
      </c>
    </row>
    <row r="2150" spans="1:8" x14ac:dyDescent="0.25">
      <c r="E2150" t="str">
        <f>"2EC202107074399"</f>
        <v>2EC202107074399</v>
      </c>
      <c r="F2150" t="str">
        <f>"BCBS PAYABLE"</f>
        <v>BCBS PAYABLE</v>
      </c>
      <c r="G2150" s="5">
        <v>52613.120000000003</v>
      </c>
      <c r="H2150" t="str">
        <f t="shared" ref="H2150:H2213" si="50">"BCBS PAYABLE"</f>
        <v>BCBS PAYABLE</v>
      </c>
    </row>
    <row r="2151" spans="1:8" x14ac:dyDescent="0.25">
      <c r="E2151" t="str">
        <f>""</f>
        <v/>
      </c>
      <c r="F2151" t="str">
        <f>""</f>
        <v/>
      </c>
      <c r="H2151" t="str">
        <f t="shared" si="50"/>
        <v>BCBS PAYABLE</v>
      </c>
    </row>
    <row r="2152" spans="1:8" x14ac:dyDescent="0.25">
      <c r="E2152" t="str">
        <f>""</f>
        <v/>
      </c>
      <c r="F2152" t="str">
        <f>""</f>
        <v/>
      </c>
      <c r="H2152" t="str">
        <f t="shared" si="50"/>
        <v>BCBS PAYABLE</v>
      </c>
    </row>
    <row r="2153" spans="1:8" x14ac:dyDescent="0.25">
      <c r="E2153" t="str">
        <f>""</f>
        <v/>
      </c>
      <c r="F2153" t="str">
        <f>""</f>
        <v/>
      </c>
      <c r="H2153" t="str">
        <f t="shared" si="50"/>
        <v>BCBS PAYABLE</v>
      </c>
    </row>
    <row r="2154" spans="1:8" x14ac:dyDescent="0.25">
      <c r="E2154" t="str">
        <f>""</f>
        <v/>
      </c>
      <c r="F2154" t="str">
        <f>""</f>
        <v/>
      </c>
      <c r="H2154" t="str">
        <f t="shared" si="50"/>
        <v>BCBS PAYABLE</v>
      </c>
    </row>
    <row r="2155" spans="1:8" x14ac:dyDescent="0.25">
      <c r="E2155" t="str">
        <f>""</f>
        <v/>
      </c>
      <c r="F2155" t="str">
        <f>""</f>
        <v/>
      </c>
      <c r="H2155" t="str">
        <f t="shared" si="50"/>
        <v>BCBS PAYABLE</v>
      </c>
    </row>
    <row r="2156" spans="1:8" x14ac:dyDescent="0.25">
      <c r="E2156" t="str">
        <f>""</f>
        <v/>
      </c>
      <c r="F2156" t="str">
        <f>""</f>
        <v/>
      </c>
      <c r="H2156" t="str">
        <f t="shared" si="50"/>
        <v>BCBS PAYABLE</v>
      </c>
    </row>
    <row r="2157" spans="1:8" x14ac:dyDescent="0.25">
      <c r="E2157" t="str">
        <f>""</f>
        <v/>
      </c>
      <c r="F2157" t="str">
        <f>""</f>
        <v/>
      </c>
      <c r="H2157" t="str">
        <f t="shared" si="50"/>
        <v>BCBS PAYABLE</v>
      </c>
    </row>
    <row r="2158" spans="1:8" x14ac:dyDescent="0.25">
      <c r="E2158" t="str">
        <f>""</f>
        <v/>
      </c>
      <c r="F2158" t="str">
        <f>""</f>
        <v/>
      </c>
      <c r="H2158" t="str">
        <f t="shared" si="50"/>
        <v>BCBS PAYABLE</v>
      </c>
    </row>
    <row r="2159" spans="1:8" x14ac:dyDescent="0.25">
      <c r="E2159" t="str">
        <f>""</f>
        <v/>
      </c>
      <c r="F2159" t="str">
        <f>""</f>
        <v/>
      </c>
      <c r="H2159" t="str">
        <f t="shared" si="50"/>
        <v>BCBS PAYABLE</v>
      </c>
    </row>
    <row r="2160" spans="1:8" x14ac:dyDescent="0.25">
      <c r="E2160" t="str">
        <f>""</f>
        <v/>
      </c>
      <c r="F2160" t="str">
        <f>""</f>
        <v/>
      </c>
      <c r="H2160" t="str">
        <f t="shared" si="50"/>
        <v>BCBS PAYABLE</v>
      </c>
    </row>
    <row r="2161" spans="5:8" x14ac:dyDescent="0.25">
      <c r="E2161" t="str">
        <f>""</f>
        <v/>
      </c>
      <c r="F2161" t="str">
        <f>""</f>
        <v/>
      </c>
      <c r="H2161" t="str">
        <f t="shared" si="50"/>
        <v>BCBS PAYABLE</v>
      </c>
    </row>
    <row r="2162" spans="5:8" x14ac:dyDescent="0.25">
      <c r="E2162" t="str">
        <f>""</f>
        <v/>
      </c>
      <c r="F2162" t="str">
        <f>""</f>
        <v/>
      </c>
      <c r="H2162" t="str">
        <f t="shared" si="50"/>
        <v>BCBS PAYABLE</v>
      </c>
    </row>
    <row r="2163" spans="5:8" x14ac:dyDescent="0.25">
      <c r="E2163" t="str">
        <f>""</f>
        <v/>
      </c>
      <c r="F2163" t="str">
        <f>""</f>
        <v/>
      </c>
      <c r="H2163" t="str">
        <f t="shared" si="50"/>
        <v>BCBS PAYABLE</v>
      </c>
    </row>
    <row r="2164" spans="5:8" x14ac:dyDescent="0.25">
      <c r="E2164" t="str">
        <f>""</f>
        <v/>
      </c>
      <c r="F2164" t="str">
        <f>""</f>
        <v/>
      </c>
      <c r="H2164" t="str">
        <f t="shared" si="50"/>
        <v>BCBS PAYABLE</v>
      </c>
    </row>
    <row r="2165" spans="5:8" x14ac:dyDescent="0.25">
      <c r="E2165" t="str">
        <f>""</f>
        <v/>
      </c>
      <c r="F2165" t="str">
        <f>""</f>
        <v/>
      </c>
      <c r="H2165" t="str">
        <f t="shared" si="50"/>
        <v>BCBS PAYABLE</v>
      </c>
    </row>
    <row r="2166" spans="5:8" x14ac:dyDescent="0.25">
      <c r="E2166" t="str">
        <f>""</f>
        <v/>
      </c>
      <c r="F2166" t="str">
        <f>""</f>
        <v/>
      </c>
      <c r="H2166" t="str">
        <f t="shared" si="50"/>
        <v>BCBS PAYABLE</v>
      </c>
    </row>
    <row r="2167" spans="5:8" x14ac:dyDescent="0.25">
      <c r="E2167" t="str">
        <f>""</f>
        <v/>
      </c>
      <c r="F2167" t="str">
        <f>""</f>
        <v/>
      </c>
      <c r="H2167" t="str">
        <f t="shared" si="50"/>
        <v>BCBS PAYABLE</v>
      </c>
    </row>
    <row r="2168" spans="5:8" x14ac:dyDescent="0.25">
      <c r="E2168" t="str">
        <f>""</f>
        <v/>
      </c>
      <c r="F2168" t="str">
        <f>""</f>
        <v/>
      </c>
      <c r="H2168" t="str">
        <f t="shared" si="50"/>
        <v>BCBS PAYABLE</v>
      </c>
    </row>
    <row r="2169" spans="5:8" x14ac:dyDescent="0.25">
      <c r="E2169" t="str">
        <f>""</f>
        <v/>
      </c>
      <c r="F2169" t="str">
        <f>""</f>
        <v/>
      </c>
      <c r="H2169" t="str">
        <f t="shared" si="50"/>
        <v>BCBS PAYABLE</v>
      </c>
    </row>
    <row r="2170" spans="5:8" x14ac:dyDescent="0.25">
      <c r="E2170" t="str">
        <f>""</f>
        <v/>
      </c>
      <c r="F2170" t="str">
        <f>""</f>
        <v/>
      </c>
      <c r="H2170" t="str">
        <f t="shared" si="50"/>
        <v>BCBS PAYABLE</v>
      </c>
    </row>
    <row r="2171" spans="5:8" x14ac:dyDescent="0.25">
      <c r="E2171" t="str">
        <f>""</f>
        <v/>
      </c>
      <c r="F2171" t="str">
        <f>""</f>
        <v/>
      </c>
      <c r="H2171" t="str">
        <f t="shared" si="50"/>
        <v>BCBS PAYABLE</v>
      </c>
    </row>
    <row r="2172" spans="5:8" x14ac:dyDescent="0.25">
      <c r="E2172" t="str">
        <f>""</f>
        <v/>
      </c>
      <c r="F2172" t="str">
        <f>""</f>
        <v/>
      </c>
      <c r="H2172" t="str">
        <f t="shared" si="50"/>
        <v>BCBS PAYABLE</v>
      </c>
    </row>
    <row r="2173" spans="5:8" x14ac:dyDescent="0.25">
      <c r="E2173" t="str">
        <f>""</f>
        <v/>
      </c>
      <c r="F2173" t="str">
        <f>""</f>
        <v/>
      </c>
      <c r="H2173" t="str">
        <f t="shared" si="50"/>
        <v>BCBS PAYABLE</v>
      </c>
    </row>
    <row r="2174" spans="5:8" x14ac:dyDescent="0.25">
      <c r="E2174" t="str">
        <f>""</f>
        <v/>
      </c>
      <c r="F2174" t="str">
        <f>""</f>
        <v/>
      </c>
      <c r="H2174" t="str">
        <f t="shared" si="50"/>
        <v>BCBS PAYABLE</v>
      </c>
    </row>
    <row r="2175" spans="5:8" x14ac:dyDescent="0.25">
      <c r="E2175" t="str">
        <f>""</f>
        <v/>
      </c>
      <c r="F2175" t="str">
        <f>""</f>
        <v/>
      </c>
      <c r="H2175" t="str">
        <f t="shared" si="50"/>
        <v>BCBS PAYABLE</v>
      </c>
    </row>
    <row r="2176" spans="5:8" x14ac:dyDescent="0.25">
      <c r="E2176" t="str">
        <f>""</f>
        <v/>
      </c>
      <c r="F2176" t="str">
        <f>""</f>
        <v/>
      </c>
      <c r="H2176" t="str">
        <f t="shared" si="50"/>
        <v>BCBS PAYABLE</v>
      </c>
    </row>
    <row r="2177" spans="5:8" x14ac:dyDescent="0.25">
      <c r="E2177" t="str">
        <f>""</f>
        <v/>
      </c>
      <c r="F2177" t="str">
        <f>""</f>
        <v/>
      </c>
      <c r="H2177" t="str">
        <f t="shared" si="50"/>
        <v>BCBS PAYABLE</v>
      </c>
    </row>
    <row r="2178" spans="5:8" x14ac:dyDescent="0.25">
      <c r="E2178" t="str">
        <f>""</f>
        <v/>
      </c>
      <c r="F2178" t="str">
        <f>""</f>
        <v/>
      </c>
      <c r="H2178" t="str">
        <f t="shared" si="50"/>
        <v>BCBS PAYABLE</v>
      </c>
    </row>
    <row r="2179" spans="5:8" x14ac:dyDescent="0.25">
      <c r="E2179" t="str">
        <f>""</f>
        <v/>
      </c>
      <c r="F2179" t="str">
        <f>""</f>
        <v/>
      </c>
      <c r="H2179" t="str">
        <f t="shared" si="50"/>
        <v>BCBS PAYABLE</v>
      </c>
    </row>
    <row r="2180" spans="5:8" x14ac:dyDescent="0.25">
      <c r="E2180" t="str">
        <f>""</f>
        <v/>
      </c>
      <c r="F2180" t="str">
        <f>""</f>
        <v/>
      </c>
      <c r="H2180" t="str">
        <f t="shared" si="50"/>
        <v>BCBS PAYABLE</v>
      </c>
    </row>
    <row r="2181" spans="5:8" x14ac:dyDescent="0.25">
      <c r="E2181" t="str">
        <f>""</f>
        <v/>
      </c>
      <c r="F2181" t="str">
        <f>""</f>
        <v/>
      </c>
      <c r="H2181" t="str">
        <f t="shared" si="50"/>
        <v>BCBS PAYABLE</v>
      </c>
    </row>
    <row r="2182" spans="5:8" x14ac:dyDescent="0.25">
      <c r="E2182" t="str">
        <f>""</f>
        <v/>
      </c>
      <c r="F2182" t="str">
        <f>""</f>
        <v/>
      </c>
      <c r="H2182" t="str">
        <f t="shared" si="50"/>
        <v>BCBS PAYABLE</v>
      </c>
    </row>
    <row r="2183" spans="5:8" x14ac:dyDescent="0.25">
      <c r="E2183" t="str">
        <f>""</f>
        <v/>
      </c>
      <c r="F2183" t="str">
        <f>""</f>
        <v/>
      </c>
      <c r="H2183" t="str">
        <f t="shared" si="50"/>
        <v>BCBS PAYABLE</v>
      </c>
    </row>
    <row r="2184" spans="5:8" x14ac:dyDescent="0.25">
      <c r="E2184" t="str">
        <f>"2EC202107074400"</f>
        <v>2EC202107074400</v>
      </c>
      <c r="F2184" t="str">
        <f>"BCBS PAYABLE"</f>
        <v>BCBS PAYABLE</v>
      </c>
      <c r="G2184" s="5">
        <v>2348.8000000000002</v>
      </c>
      <c r="H2184" t="str">
        <f t="shared" si="50"/>
        <v>BCBS PAYABLE</v>
      </c>
    </row>
    <row r="2185" spans="5:8" x14ac:dyDescent="0.25">
      <c r="E2185" t="str">
        <f>""</f>
        <v/>
      </c>
      <c r="F2185" t="str">
        <f>""</f>
        <v/>
      </c>
      <c r="H2185" t="str">
        <f t="shared" si="50"/>
        <v>BCBS PAYABLE</v>
      </c>
    </row>
    <row r="2186" spans="5:8" x14ac:dyDescent="0.25">
      <c r="E2186" t="str">
        <f>"2EC202107214729"</f>
        <v>2EC202107214729</v>
      </c>
      <c r="F2186" t="str">
        <f>"BCBS PAYABLE"</f>
        <v>BCBS PAYABLE</v>
      </c>
      <c r="G2186" s="5">
        <v>52613.120000000003</v>
      </c>
      <c r="H2186" t="str">
        <f t="shared" si="50"/>
        <v>BCBS PAYABLE</v>
      </c>
    </row>
    <row r="2187" spans="5:8" x14ac:dyDescent="0.25">
      <c r="E2187" t="str">
        <f>""</f>
        <v/>
      </c>
      <c r="F2187" t="str">
        <f>""</f>
        <v/>
      </c>
      <c r="H2187" t="str">
        <f t="shared" si="50"/>
        <v>BCBS PAYABLE</v>
      </c>
    </row>
    <row r="2188" spans="5:8" x14ac:dyDescent="0.25">
      <c r="E2188" t="str">
        <f>""</f>
        <v/>
      </c>
      <c r="F2188" t="str">
        <f>""</f>
        <v/>
      </c>
      <c r="H2188" t="str">
        <f t="shared" si="50"/>
        <v>BCBS PAYABLE</v>
      </c>
    </row>
    <row r="2189" spans="5:8" x14ac:dyDescent="0.25">
      <c r="E2189" t="str">
        <f>""</f>
        <v/>
      </c>
      <c r="F2189" t="str">
        <f>""</f>
        <v/>
      </c>
      <c r="H2189" t="str">
        <f t="shared" si="50"/>
        <v>BCBS PAYABLE</v>
      </c>
    </row>
    <row r="2190" spans="5:8" x14ac:dyDescent="0.25">
      <c r="E2190" t="str">
        <f>""</f>
        <v/>
      </c>
      <c r="F2190" t="str">
        <f>""</f>
        <v/>
      </c>
      <c r="H2190" t="str">
        <f t="shared" si="50"/>
        <v>BCBS PAYABLE</v>
      </c>
    </row>
    <row r="2191" spans="5:8" x14ac:dyDescent="0.25">
      <c r="E2191" t="str">
        <f>""</f>
        <v/>
      </c>
      <c r="F2191" t="str">
        <f>""</f>
        <v/>
      </c>
      <c r="H2191" t="str">
        <f t="shared" si="50"/>
        <v>BCBS PAYABLE</v>
      </c>
    </row>
    <row r="2192" spans="5:8" x14ac:dyDescent="0.25">
      <c r="E2192" t="str">
        <f>""</f>
        <v/>
      </c>
      <c r="F2192" t="str">
        <f>""</f>
        <v/>
      </c>
      <c r="H2192" t="str">
        <f t="shared" si="50"/>
        <v>BCBS PAYABLE</v>
      </c>
    </row>
    <row r="2193" spans="5:8" x14ac:dyDescent="0.25">
      <c r="E2193" t="str">
        <f>""</f>
        <v/>
      </c>
      <c r="F2193" t="str">
        <f>""</f>
        <v/>
      </c>
      <c r="H2193" t="str">
        <f t="shared" si="50"/>
        <v>BCBS PAYABLE</v>
      </c>
    </row>
    <row r="2194" spans="5:8" x14ac:dyDescent="0.25">
      <c r="E2194" t="str">
        <f>""</f>
        <v/>
      </c>
      <c r="F2194" t="str">
        <f>""</f>
        <v/>
      </c>
      <c r="H2194" t="str">
        <f t="shared" si="50"/>
        <v>BCBS PAYABLE</v>
      </c>
    </row>
    <row r="2195" spans="5:8" x14ac:dyDescent="0.25">
      <c r="E2195" t="str">
        <f>""</f>
        <v/>
      </c>
      <c r="F2195" t="str">
        <f>""</f>
        <v/>
      </c>
      <c r="H2195" t="str">
        <f t="shared" si="50"/>
        <v>BCBS PAYABLE</v>
      </c>
    </row>
    <row r="2196" spans="5:8" x14ac:dyDescent="0.25">
      <c r="E2196" t="str">
        <f>""</f>
        <v/>
      </c>
      <c r="F2196" t="str">
        <f>""</f>
        <v/>
      </c>
      <c r="H2196" t="str">
        <f t="shared" si="50"/>
        <v>BCBS PAYABLE</v>
      </c>
    </row>
    <row r="2197" spans="5:8" x14ac:dyDescent="0.25">
      <c r="E2197" t="str">
        <f>""</f>
        <v/>
      </c>
      <c r="F2197" t="str">
        <f>""</f>
        <v/>
      </c>
      <c r="H2197" t="str">
        <f t="shared" si="50"/>
        <v>BCBS PAYABLE</v>
      </c>
    </row>
    <row r="2198" spans="5:8" x14ac:dyDescent="0.25">
      <c r="E2198" t="str">
        <f>""</f>
        <v/>
      </c>
      <c r="F2198" t="str">
        <f>""</f>
        <v/>
      </c>
      <c r="H2198" t="str">
        <f t="shared" si="50"/>
        <v>BCBS PAYABLE</v>
      </c>
    </row>
    <row r="2199" spans="5:8" x14ac:dyDescent="0.25">
      <c r="E2199" t="str">
        <f>""</f>
        <v/>
      </c>
      <c r="F2199" t="str">
        <f>""</f>
        <v/>
      </c>
      <c r="H2199" t="str">
        <f t="shared" si="50"/>
        <v>BCBS PAYABLE</v>
      </c>
    </row>
    <row r="2200" spans="5:8" x14ac:dyDescent="0.25">
      <c r="E2200" t="str">
        <f>""</f>
        <v/>
      </c>
      <c r="F2200" t="str">
        <f>""</f>
        <v/>
      </c>
      <c r="H2200" t="str">
        <f t="shared" si="50"/>
        <v>BCBS PAYABLE</v>
      </c>
    </row>
    <row r="2201" spans="5:8" x14ac:dyDescent="0.25">
      <c r="E2201" t="str">
        <f>""</f>
        <v/>
      </c>
      <c r="F2201" t="str">
        <f>""</f>
        <v/>
      </c>
      <c r="H2201" t="str">
        <f t="shared" si="50"/>
        <v>BCBS PAYABLE</v>
      </c>
    </row>
    <row r="2202" spans="5:8" x14ac:dyDescent="0.25">
      <c r="E2202" t="str">
        <f>""</f>
        <v/>
      </c>
      <c r="F2202" t="str">
        <f>""</f>
        <v/>
      </c>
      <c r="H2202" t="str">
        <f t="shared" si="50"/>
        <v>BCBS PAYABLE</v>
      </c>
    </row>
    <row r="2203" spans="5:8" x14ac:dyDescent="0.25">
      <c r="E2203" t="str">
        <f>""</f>
        <v/>
      </c>
      <c r="F2203" t="str">
        <f>""</f>
        <v/>
      </c>
      <c r="H2203" t="str">
        <f t="shared" si="50"/>
        <v>BCBS PAYABLE</v>
      </c>
    </row>
    <row r="2204" spans="5:8" x14ac:dyDescent="0.25">
      <c r="E2204" t="str">
        <f>""</f>
        <v/>
      </c>
      <c r="F2204" t="str">
        <f>""</f>
        <v/>
      </c>
      <c r="H2204" t="str">
        <f t="shared" si="50"/>
        <v>BCBS PAYABLE</v>
      </c>
    </row>
    <row r="2205" spans="5:8" x14ac:dyDescent="0.25">
      <c r="E2205" t="str">
        <f>""</f>
        <v/>
      </c>
      <c r="F2205" t="str">
        <f>""</f>
        <v/>
      </c>
      <c r="H2205" t="str">
        <f t="shared" si="50"/>
        <v>BCBS PAYABLE</v>
      </c>
    </row>
    <row r="2206" spans="5:8" x14ac:dyDescent="0.25">
      <c r="E2206" t="str">
        <f>""</f>
        <v/>
      </c>
      <c r="F2206" t="str">
        <f>""</f>
        <v/>
      </c>
      <c r="H2206" t="str">
        <f t="shared" si="50"/>
        <v>BCBS PAYABLE</v>
      </c>
    </row>
    <row r="2207" spans="5:8" x14ac:dyDescent="0.25">
      <c r="E2207" t="str">
        <f>""</f>
        <v/>
      </c>
      <c r="F2207" t="str">
        <f>""</f>
        <v/>
      </c>
      <c r="H2207" t="str">
        <f t="shared" si="50"/>
        <v>BCBS PAYABLE</v>
      </c>
    </row>
    <row r="2208" spans="5:8" x14ac:dyDescent="0.25">
      <c r="E2208" t="str">
        <f>""</f>
        <v/>
      </c>
      <c r="F2208" t="str">
        <f>""</f>
        <v/>
      </c>
      <c r="H2208" t="str">
        <f t="shared" si="50"/>
        <v>BCBS PAYABLE</v>
      </c>
    </row>
    <row r="2209" spans="5:8" x14ac:dyDescent="0.25">
      <c r="E2209" t="str">
        <f>""</f>
        <v/>
      </c>
      <c r="F2209" t="str">
        <f>""</f>
        <v/>
      </c>
      <c r="H2209" t="str">
        <f t="shared" si="50"/>
        <v>BCBS PAYABLE</v>
      </c>
    </row>
    <row r="2210" spans="5:8" x14ac:dyDescent="0.25">
      <c r="E2210" t="str">
        <f>""</f>
        <v/>
      </c>
      <c r="F2210" t="str">
        <f>""</f>
        <v/>
      </c>
      <c r="H2210" t="str">
        <f t="shared" si="50"/>
        <v>BCBS PAYABLE</v>
      </c>
    </row>
    <row r="2211" spans="5:8" x14ac:dyDescent="0.25">
      <c r="E2211" t="str">
        <f>""</f>
        <v/>
      </c>
      <c r="F2211" t="str">
        <f>""</f>
        <v/>
      </c>
      <c r="H2211" t="str">
        <f t="shared" si="50"/>
        <v>BCBS PAYABLE</v>
      </c>
    </row>
    <row r="2212" spans="5:8" x14ac:dyDescent="0.25">
      <c r="E2212" t="str">
        <f>""</f>
        <v/>
      </c>
      <c r="F2212" t="str">
        <f>""</f>
        <v/>
      </c>
      <c r="H2212" t="str">
        <f t="shared" si="50"/>
        <v>BCBS PAYABLE</v>
      </c>
    </row>
    <row r="2213" spans="5:8" x14ac:dyDescent="0.25">
      <c r="E2213" t="str">
        <f>""</f>
        <v/>
      </c>
      <c r="F2213" t="str">
        <f>""</f>
        <v/>
      </c>
      <c r="H2213" t="str">
        <f t="shared" si="50"/>
        <v>BCBS PAYABLE</v>
      </c>
    </row>
    <row r="2214" spans="5:8" x14ac:dyDescent="0.25">
      <c r="E2214" t="str">
        <f>""</f>
        <v/>
      </c>
      <c r="F2214" t="str">
        <f>""</f>
        <v/>
      </c>
      <c r="H2214" t="str">
        <f t="shared" ref="H2214:H2277" si="51">"BCBS PAYABLE"</f>
        <v>BCBS PAYABLE</v>
      </c>
    </row>
    <row r="2215" spans="5:8" x14ac:dyDescent="0.25">
      <c r="E2215" t="str">
        <f>""</f>
        <v/>
      </c>
      <c r="F2215" t="str">
        <f>""</f>
        <v/>
      </c>
      <c r="H2215" t="str">
        <f t="shared" si="51"/>
        <v>BCBS PAYABLE</v>
      </c>
    </row>
    <row r="2216" spans="5:8" x14ac:dyDescent="0.25">
      <c r="E2216" t="str">
        <f>""</f>
        <v/>
      </c>
      <c r="F2216" t="str">
        <f>""</f>
        <v/>
      </c>
      <c r="H2216" t="str">
        <f t="shared" si="51"/>
        <v>BCBS PAYABLE</v>
      </c>
    </row>
    <row r="2217" spans="5:8" x14ac:dyDescent="0.25">
      <c r="E2217" t="str">
        <f>""</f>
        <v/>
      </c>
      <c r="F2217" t="str">
        <f>""</f>
        <v/>
      </c>
      <c r="H2217" t="str">
        <f t="shared" si="51"/>
        <v>BCBS PAYABLE</v>
      </c>
    </row>
    <row r="2218" spans="5:8" x14ac:dyDescent="0.25">
      <c r="E2218" t="str">
        <f>""</f>
        <v/>
      </c>
      <c r="F2218" t="str">
        <f>""</f>
        <v/>
      </c>
      <c r="H2218" t="str">
        <f t="shared" si="51"/>
        <v>BCBS PAYABLE</v>
      </c>
    </row>
    <row r="2219" spans="5:8" x14ac:dyDescent="0.25">
      <c r="E2219" t="str">
        <f>""</f>
        <v/>
      </c>
      <c r="F2219" t="str">
        <f>""</f>
        <v/>
      </c>
      <c r="H2219" t="str">
        <f t="shared" si="51"/>
        <v>BCBS PAYABLE</v>
      </c>
    </row>
    <row r="2220" spans="5:8" x14ac:dyDescent="0.25">
      <c r="E2220" t="str">
        <f>""</f>
        <v/>
      </c>
      <c r="F2220" t="str">
        <f>""</f>
        <v/>
      </c>
      <c r="H2220" t="str">
        <f t="shared" si="51"/>
        <v>BCBS PAYABLE</v>
      </c>
    </row>
    <row r="2221" spans="5:8" x14ac:dyDescent="0.25">
      <c r="E2221" t="str">
        <f>"2EC202107214730"</f>
        <v>2EC202107214730</v>
      </c>
      <c r="F2221" t="str">
        <f>"BCBS PAYABLE"</f>
        <v>BCBS PAYABLE</v>
      </c>
      <c r="G2221" s="5">
        <v>2348.8000000000002</v>
      </c>
      <c r="H2221" t="str">
        <f t="shared" si="51"/>
        <v>BCBS PAYABLE</v>
      </c>
    </row>
    <row r="2222" spans="5:8" x14ac:dyDescent="0.25">
      <c r="E2222" t="str">
        <f>""</f>
        <v/>
      </c>
      <c r="F2222" t="str">
        <f>""</f>
        <v/>
      </c>
      <c r="H2222" t="str">
        <f t="shared" si="51"/>
        <v>BCBS PAYABLE</v>
      </c>
    </row>
    <row r="2223" spans="5:8" x14ac:dyDescent="0.25">
      <c r="E2223" t="str">
        <f>"2EF202107074399"</f>
        <v>2EF202107074399</v>
      </c>
      <c r="F2223" t="str">
        <f>"BCBS PAYABLE"</f>
        <v>BCBS PAYABLE</v>
      </c>
      <c r="G2223" s="5">
        <v>2799.81</v>
      </c>
      <c r="H2223" t="str">
        <f t="shared" si="51"/>
        <v>BCBS PAYABLE</v>
      </c>
    </row>
    <row r="2224" spans="5:8" x14ac:dyDescent="0.25">
      <c r="E2224" t="str">
        <f>""</f>
        <v/>
      </c>
      <c r="F2224" t="str">
        <f>""</f>
        <v/>
      </c>
      <c r="H2224" t="str">
        <f t="shared" si="51"/>
        <v>BCBS PAYABLE</v>
      </c>
    </row>
    <row r="2225" spans="5:8" x14ac:dyDescent="0.25">
      <c r="E2225" t="str">
        <f>""</f>
        <v/>
      </c>
      <c r="F2225" t="str">
        <f>""</f>
        <v/>
      </c>
      <c r="H2225" t="str">
        <f t="shared" si="51"/>
        <v>BCBS PAYABLE</v>
      </c>
    </row>
    <row r="2226" spans="5:8" x14ac:dyDescent="0.25">
      <c r="E2226" t="str">
        <f>""</f>
        <v/>
      </c>
      <c r="F2226" t="str">
        <f>""</f>
        <v/>
      </c>
      <c r="H2226" t="str">
        <f t="shared" si="51"/>
        <v>BCBS PAYABLE</v>
      </c>
    </row>
    <row r="2227" spans="5:8" x14ac:dyDescent="0.25">
      <c r="E2227" t="str">
        <f>""</f>
        <v/>
      </c>
      <c r="F2227" t="str">
        <f>""</f>
        <v/>
      </c>
      <c r="H2227" t="str">
        <f t="shared" si="51"/>
        <v>BCBS PAYABLE</v>
      </c>
    </row>
    <row r="2228" spans="5:8" x14ac:dyDescent="0.25">
      <c r="E2228" t="str">
        <f>"2EF202107214729"</f>
        <v>2EF202107214729</v>
      </c>
      <c r="F2228" t="str">
        <f>"BCBS PAYABLE"</f>
        <v>BCBS PAYABLE</v>
      </c>
      <c r="G2228" s="5">
        <v>2799.81</v>
      </c>
      <c r="H2228" t="str">
        <f t="shared" si="51"/>
        <v>BCBS PAYABLE</v>
      </c>
    </row>
    <row r="2229" spans="5:8" x14ac:dyDescent="0.25">
      <c r="E2229" t="str">
        <f>""</f>
        <v/>
      </c>
      <c r="F2229" t="str">
        <f>""</f>
        <v/>
      </c>
      <c r="H2229" t="str">
        <f t="shared" si="51"/>
        <v>BCBS PAYABLE</v>
      </c>
    </row>
    <row r="2230" spans="5:8" x14ac:dyDescent="0.25">
      <c r="E2230" t="str">
        <f>""</f>
        <v/>
      </c>
      <c r="F2230" t="str">
        <f>""</f>
        <v/>
      </c>
      <c r="H2230" t="str">
        <f t="shared" si="51"/>
        <v>BCBS PAYABLE</v>
      </c>
    </row>
    <row r="2231" spans="5:8" x14ac:dyDescent="0.25">
      <c r="E2231" t="str">
        <f>""</f>
        <v/>
      </c>
      <c r="F2231" t="str">
        <f>""</f>
        <v/>
      </c>
      <c r="H2231" t="str">
        <f t="shared" si="51"/>
        <v>BCBS PAYABLE</v>
      </c>
    </row>
    <row r="2232" spans="5:8" x14ac:dyDescent="0.25">
      <c r="E2232" t="str">
        <f>""</f>
        <v/>
      </c>
      <c r="F2232" t="str">
        <f>""</f>
        <v/>
      </c>
      <c r="H2232" t="str">
        <f t="shared" si="51"/>
        <v>BCBS PAYABLE</v>
      </c>
    </row>
    <row r="2233" spans="5:8" x14ac:dyDescent="0.25">
      <c r="E2233" t="str">
        <f>"2EO202107074399"</f>
        <v>2EO202107074399</v>
      </c>
      <c r="F2233" t="str">
        <f>"BCBS PAYABLE"</f>
        <v>BCBS PAYABLE</v>
      </c>
      <c r="G2233" s="5">
        <v>108018.28</v>
      </c>
      <c r="H2233" t="str">
        <f t="shared" si="51"/>
        <v>BCBS PAYABLE</v>
      </c>
    </row>
    <row r="2234" spans="5:8" x14ac:dyDescent="0.25">
      <c r="E2234" t="str">
        <f>""</f>
        <v/>
      </c>
      <c r="F2234" t="str">
        <f>""</f>
        <v/>
      </c>
      <c r="H2234" t="str">
        <f t="shared" si="51"/>
        <v>BCBS PAYABLE</v>
      </c>
    </row>
    <row r="2235" spans="5:8" x14ac:dyDescent="0.25">
      <c r="E2235" t="str">
        <f>""</f>
        <v/>
      </c>
      <c r="F2235" t="str">
        <f>""</f>
        <v/>
      </c>
      <c r="H2235" t="str">
        <f t="shared" si="51"/>
        <v>BCBS PAYABLE</v>
      </c>
    </row>
    <row r="2236" spans="5:8" x14ac:dyDescent="0.25">
      <c r="E2236" t="str">
        <f>""</f>
        <v/>
      </c>
      <c r="F2236" t="str">
        <f>""</f>
        <v/>
      </c>
      <c r="H2236" t="str">
        <f t="shared" si="51"/>
        <v>BCBS PAYABLE</v>
      </c>
    </row>
    <row r="2237" spans="5:8" x14ac:dyDescent="0.25">
      <c r="E2237" t="str">
        <f>""</f>
        <v/>
      </c>
      <c r="F2237" t="str">
        <f>""</f>
        <v/>
      </c>
      <c r="H2237" t="str">
        <f t="shared" si="51"/>
        <v>BCBS PAYABLE</v>
      </c>
    </row>
    <row r="2238" spans="5:8" x14ac:dyDescent="0.25">
      <c r="E2238" t="str">
        <f>""</f>
        <v/>
      </c>
      <c r="F2238" t="str">
        <f>""</f>
        <v/>
      </c>
      <c r="H2238" t="str">
        <f t="shared" si="51"/>
        <v>BCBS PAYABLE</v>
      </c>
    </row>
    <row r="2239" spans="5:8" x14ac:dyDescent="0.25">
      <c r="E2239" t="str">
        <f>""</f>
        <v/>
      </c>
      <c r="F2239" t="str">
        <f>""</f>
        <v/>
      </c>
      <c r="H2239" t="str">
        <f t="shared" si="51"/>
        <v>BCBS PAYABLE</v>
      </c>
    </row>
    <row r="2240" spans="5:8" x14ac:dyDescent="0.25">
      <c r="E2240" t="str">
        <f>""</f>
        <v/>
      </c>
      <c r="F2240" t="str">
        <f>""</f>
        <v/>
      </c>
      <c r="H2240" t="str">
        <f t="shared" si="51"/>
        <v>BCBS PAYABLE</v>
      </c>
    </row>
    <row r="2241" spans="5:8" x14ac:dyDescent="0.25">
      <c r="E2241" t="str">
        <f>""</f>
        <v/>
      </c>
      <c r="F2241" t="str">
        <f>""</f>
        <v/>
      </c>
      <c r="H2241" t="str">
        <f t="shared" si="51"/>
        <v>BCBS PAYABLE</v>
      </c>
    </row>
    <row r="2242" spans="5:8" x14ac:dyDescent="0.25">
      <c r="E2242" t="str">
        <f>""</f>
        <v/>
      </c>
      <c r="F2242" t="str">
        <f>""</f>
        <v/>
      </c>
      <c r="H2242" t="str">
        <f t="shared" si="51"/>
        <v>BCBS PAYABLE</v>
      </c>
    </row>
    <row r="2243" spans="5:8" x14ac:dyDescent="0.25">
      <c r="E2243" t="str">
        <f>""</f>
        <v/>
      </c>
      <c r="F2243" t="str">
        <f>""</f>
        <v/>
      </c>
      <c r="H2243" t="str">
        <f t="shared" si="51"/>
        <v>BCBS PAYABLE</v>
      </c>
    </row>
    <row r="2244" spans="5:8" x14ac:dyDescent="0.25">
      <c r="E2244" t="str">
        <f>""</f>
        <v/>
      </c>
      <c r="F2244" t="str">
        <f>""</f>
        <v/>
      </c>
      <c r="H2244" t="str">
        <f t="shared" si="51"/>
        <v>BCBS PAYABLE</v>
      </c>
    </row>
    <row r="2245" spans="5:8" x14ac:dyDescent="0.25">
      <c r="E2245" t="str">
        <f>""</f>
        <v/>
      </c>
      <c r="F2245" t="str">
        <f>""</f>
        <v/>
      </c>
      <c r="H2245" t="str">
        <f t="shared" si="51"/>
        <v>BCBS PAYABLE</v>
      </c>
    </row>
    <row r="2246" spans="5:8" x14ac:dyDescent="0.25">
      <c r="E2246" t="str">
        <f>""</f>
        <v/>
      </c>
      <c r="F2246" t="str">
        <f>""</f>
        <v/>
      </c>
      <c r="H2246" t="str">
        <f t="shared" si="51"/>
        <v>BCBS PAYABLE</v>
      </c>
    </row>
    <row r="2247" spans="5:8" x14ac:dyDescent="0.25">
      <c r="E2247" t="str">
        <f>""</f>
        <v/>
      </c>
      <c r="F2247" t="str">
        <f>""</f>
        <v/>
      </c>
      <c r="H2247" t="str">
        <f t="shared" si="51"/>
        <v>BCBS PAYABLE</v>
      </c>
    </row>
    <row r="2248" spans="5:8" x14ac:dyDescent="0.25">
      <c r="E2248" t="str">
        <f>""</f>
        <v/>
      </c>
      <c r="F2248" t="str">
        <f>""</f>
        <v/>
      </c>
      <c r="H2248" t="str">
        <f t="shared" si="51"/>
        <v>BCBS PAYABLE</v>
      </c>
    </row>
    <row r="2249" spans="5:8" x14ac:dyDescent="0.25">
      <c r="E2249" t="str">
        <f>""</f>
        <v/>
      </c>
      <c r="F2249" t="str">
        <f>""</f>
        <v/>
      </c>
      <c r="H2249" t="str">
        <f t="shared" si="51"/>
        <v>BCBS PAYABLE</v>
      </c>
    </row>
    <row r="2250" spans="5:8" x14ac:dyDescent="0.25">
      <c r="E2250" t="str">
        <f>""</f>
        <v/>
      </c>
      <c r="F2250" t="str">
        <f>""</f>
        <v/>
      </c>
      <c r="H2250" t="str">
        <f t="shared" si="51"/>
        <v>BCBS PAYABLE</v>
      </c>
    </row>
    <row r="2251" spans="5:8" x14ac:dyDescent="0.25">
      <c r="E2251" t="str">
        <f>""</f>
        <v/>
      </c>
      <c r="F2251" t="str">
        <f>""</f>
        <v/>
      </c>
      <c r="H2251" t="str">
        <f t="shared" si="51"/>
        <v>BCBS PAYABLE</v>
      </c>
    </row>
    <row r="2252" spans="5:8" x14ac:dyDescent="0.25">
      <c r="E2252" t="str">
        <f>""</f>
        <v/>
      </c>
      <c r="F2252" t="str">
        <f>""</f>
        <v/>
      </c>
      <c r="H2252" t="str">
        <f t="shared" si="51"/>
        <v>BCBS PAYABLE</v>
      </c>
    </row>
    <row r="2253" spans="5:8" x14ac:dyDescent="0.25">
      <c r="E2253" t="str">
        <f>""</f>
        <v/>
      </c>
      <c r="F2253" t="str">
        <f>""</f>
        <v/>
      </c>
      <c r="H2253" t="str">
        <f t="shared" si="51"/>
        <v>BCBS PAYABLE</v>
      </c>
    </row>
    <row r="2254" spans="5:8" x14ac:dyDescent="0.25">
      <c r="E2254" t="str">
        <f>""</f>
        <v/>
      </c>
      <c r="F2254" t="str">
        <f>""</f>
        <v/>
      </c>
      <c r="H2254" t="str">
        <f t="shared" si="51"/>
        <v>BCBS PAYABLE</v>
      </c>
    </row>
    <row r="2255" spans="5:8" x14ac:dyDescent="0.25">
      <c r="E2255" t="str">
        <f>""</f>
        <v/>
      </c>
      <c r="F2255" t="str">
        <f>""</f>
        <v/>
      </c>
      <c r="H2255" t="str">
        <f t="shared" si="51"/>
        <v>BCBS PAYABLE</v>
      </c>
    </row>
    <row r="2256" spans="5:8" x14ac:dyDescent="0.25">
      <c r="E2256" t="str">
        <f>""</f>
        <v/>
      </c>
      <c r="F2256" t="str">
        <f>""</f>
        <v/>
      </c>
      <c r="H2256" t="str">
        <f t="shared" si="51"/>
        <v>BCBS PAYABLE</v>
      </c>
    </row>
    <row r="2257" spans="5:8" x14ac:dyDescent="0.25">
      <c r="E2257" t="str">
        <f>""</f>
        <v/>
      </c>
      <c r="F2257" t="str">
        <f>""</f>
        <v/>
      </c>
      <c r="H2257" t="str">
        <f t="shared" si="51"/>
        <v>BCBS PAYABLE</v>
      </c>
    </row>
    <row r="2258" spans="5:8" x14ac:dyDescent="0.25">
      <c r="E2258" t="str">
        <f>""</f>
        <v/>
      </c>
      <c r="F2258" t="str">
        <f>""</f>
        <v/>
      </c>
      <c r="H2258" t="str">
        <f t="shared" si="51"/>
        <v>BCBS PAYABLE</v>
      </c>
    </row>
    <row r="2259" spans="5:8" x14ac:dyDescent="0.25">
      <c r="E2259" t="str">
        <f>""</f>
        <v/>
      </c>
      <c r="F2259" t="str">
        <f>""</f>
        <v/>
      </c>
      <c r="H2259" t="str">
        <f t="shared" si="51"/>
        <v>BCBS PAYABLE</v>
      </c>
    </row>
    <row r="2260" spans="5:8" x14ac:dyDescent="0.25">
      <c r="E2260" t="str">
        <f>""</f>
        <v/>
      </c>
      <c r="F2260" t="str">
        <f>""</f>
        <v/>
      </c>
      <c r="H2260" t="str">
        <f t="shared" si="51"/>
        <v>BCBS PAYABLE</v>
      </c>
    </row>
    <row r="2261" spans="5:8" x14ac:dyDescent="0.25">
      <c r="E2261" t="str">
        <f>""</f>
        <v/>
      </c>
      <c r="F2261" t="str">
        <f>""</f>
        <v/>
      </c>
      <c r="H2261" t="str">
        <f t="shared" si="51"/>
        <v>BCBS PAYABLE</v>
      </c>
    </row>
    <row r="2262" spans="5:8" x14ac:dyDescent="0.25">
      <c r="E2262" t="str">
        <f>""</f>
        <v/>
      </c>
      <c r="F2262" t="str">
        <f>""</f>
        <v/>
      </c>
      <c r="H2262" t="str">
        <f t="shared" si="51"/>
        <v>BCBS PAYABLE</v>
      </c>
    </row>
    <row r="2263" spans="5:8" x14ac:dyDescent="0.25">
      <c r="E2263" t="str">
        <f>""</f>
        <v/>
      </c>
      <c r="F2263" t="str">
        <f>""</f>
        <v/>
      </c>
      <c r="H2263" t="str">
        <f t="shared" si="51"/>
        <v>BCBS PAYABLE</v>
      </c>
    </row>
    <row r="2264" spans="5:8" x14ac:dyDescent="0.25">
      <c r="E2264" t="str">
        <f>""</f>
        <v/>
      </c>
      <c r="F2264" t="str">
        <f>""</f>
        <v/>
      </c>
      <c r="H2264" t="str">
        <f t="shared" si="51"/>
        <v>BCBS PAYABLE</v>
      </c>
    </row>
    <row r="2265" spans="5:8" x14ac:dyDescent="0.25">
      <c r="E2265" t="str">
        <f>""</f>
        <v/>
      </c>
      <c r="F2265" t="str">
        <f>""</f>
        <v/>
      </c>
      <c r="H2265" t="str">
        <f t="shared" si="51"/>
        <v>BCBS PAYABLE</v>
      </c>
    </row>
    <row r="2266" spans="5:8" x14ac:dyDescent="0.25">
      <c r="E2266" t="str">
        <f>""</f>
        <v/>
      </c>
      <c r="F2266" t="str">
        <f>""</f>
        <v/>
      </c>
      <c r="H2266" t="str">
        <f t="shared" si="51"/>
        <v>BCBS PAYABLE</v>
      </c>
    </row>
    <row r="2267" spans="5:8" x14ac:dyDescent="0.25">
      <c r="E2267" t="str">
        <f>""</f>
        <v/>
      </c>
      <c r="F2267" t="str">
        <f>""</f>
        <v/>
      </c>
      <c r="H2267" t="str">
        <f t="shared" si="51"/>
        <v>BCBS PAYABLE</v>
      </c>
    </row>
    <row r="2268" spans="5:8" x14ac:dyDescent="0.25">
      <c r="E2268" t="str">
        <f>""</f>
        <v/>
      </c>
      <c r="F2268" t="str">
        <f>""</f>
        <v/>
      </c>
      <c r="H2268" t="str">
        <f t="shared" si="51"/>
        <v>BCBS PAYABLE</v>
      </c>
    </row>
    <row r="2269" spans="5:8" x14ac:dyDescent="0.25">
      <c r="E2269" t="str">
        <f>""</f>
        <v/>
      </c>
      <c r="F2269" t="str">
        <f>""</f>
        <v/>
      </c>
      <c r="H2269" t="str">
        <f t="shared" si="51"/>
        <v>BCBS PAYABLE</v>
      </c>
    </row>
    <row r="2270" spans="5:8" x14ac:dyDescent="0.25">
      <c r="E2270" t="str">
        <f>""</f>
        <v/>
      </c>
      <c r="F2270" t="str">
        <f>""</f>
        <v/>
      </c>
      <c r="H2270" t="str">
        <f t="shared" si="51"/>
        <v>BCBS PAYABLE</v>
      </c>
    </row>
    <row r="2271" spans="5:8" x14ac:dyDescent="0.25">
      <c r="E2271" t="str">
        <f>""</f>
        <v/>
      </c>
      <c r="F2271" t="str">
        <f>""</f>
        <v/>
      </c>
      <c r="H2271" t="str">
        <f t="shared" si="51"/>
        <v>BCBS PAYABLE</v>
      </c>
    </row>
    <row r="2272" spans="5:8" x14ac:dyDescent="0.25">
      <c r="E2272" t="str">
        <f>""</f>
        <v/>
      </c>
      <c r="F2272" t="str">
        <f>""</f>
        <v/>
      </c>
      <c r="H2272" t="str">
        <f t="shared" si="51"/>
        <v>BCBS PAYABLE</v>
      </c>
    </row>
    <row r="2273" spans="5:8" x14ac:dyDescent="0.25">
      <c r="E2273" t="str">
        <f>""</f>
        <v/>
      </c>
      <c r="F2273" t="str">
        <f>""</f>
        <v/>
      </c>
      <c r="H2273" t="str">
        <f t="shared" si="51"/>
        <v>BCBS PAYABLE</v>
      </c>
    </row>
    <row r="2274" spans="5:8" x14ac:dyDescent="0.25">
      <c r="E2274" t="str">
        <f>""</f>
        <v/>
      </c>
      <c r="F2274" t="str">
        <f>""</f>
        <v/>
      </c>
      <c r="H2274" t="str">
        <f t="shared" si="51"/>
        <v>BCBS PAYABLE</v>
      </c>
    </row>
    <row r="2275" spans="5:8" x14ac:dyDescent="0.25">
      <c r="E2275" t="str">
        <f>""</f>
        <v/>
      </c>
      <c r="F2275" t="str">
        <f>""</f>
        <v/>
      </c>
      <c r="H2275" t="str">
        <f t="shared" si="51"/>
        <v>BCBS PAYABLE</v>
      </c>
    </row>
    <row r="2276" spans="5:8" x14ac:dyDescent="0.25">
      <c r="E2276" t="str">
        <f>""</f>
        <v/>
      </c>
      <c r="F2276" t="str">
        <f>""</f>
        <v/>
      </c>
      <c r="H2276" t="str">
        <f t="shared" si="51"/>
        <v>BCBS PAYABLE</v>
      </c>
    </row>
    <row r="2277" spans="5:8" x14ac:dyDescent="0.25">
      <c r="E2277" t="str">
        <f>""</f>
        <v/>
      </c>
      <c r="F2277" t="str">
        <f>""</f>
        <v/>
      </c>
      <c r="H2277" t="str">
        <f t="shared" si="51"/>
        <v>BCBS PAYABLE</v>
      </c>
    </row>
    <row r="2278" spans="5:8" x14ac:dyDescent="0.25">
      <c r="E2278" t="str">
        <f>""</f>
        <v/>
      </c>
      <c r="F2278" t="str">
        <f>""</f>
        <v/>
      </c>
      <c r="H2278" t="str">
        <f t="shared" ref="H2278:H2341" si="52">"BCBS PAYABLE"</f>
        <v>BCBS PAYABLE</v>
      </c>
    </row>
    <row r="2279" spans="5:8" x14ac:dyDescent="0.25">
      <c r="E2279" t="str">
        <f>""</f>
        <v/>
      </c>
      <c r="F2279" t="str">
        <f>""</f>
        <v/>
      </c>
      <c r="H2279" t="str">
        <f t="shared" si="52"/>
        <v>BCBS PAYABLE</v>
      </c>
    </row>
    <row r="2280" spans="5:8" x14ac:dyDescent="0.25">
      <c r="E2280" t="str">
        <f>"2EO202107074400"</f>
        <v>2EO202107074400</v>
      </c>
      <c r="F2280" t="str">
        <f>"BCBS PAYABLE"</f>
        <v>BCBS PAYABLE</v>
      </c>
      <c r="G2280" s="5">
        <v>3076.47</v>
      </c>
      <c r="H2280" t="str">
        <f t="shared" si="52"/>
        <v>BCBS PAYABLE</v>
      </c>
    </row>
    <row r="2281" spans="5:8" x14ac:dyDescent="0.25">
      <c r="E2281" t="str">
        <f>"2EO202107214729"</f>
        <v>2EO202107214729</v>
      </c>
      <c r="F2281" t="str">
        <f>"BCBS PAYABLE"</f>
        <v>BCBS PAYABLE</v>
      </c>
      <c r="G2281" s="5">
        <v>108018.28</v>
      </c>
      <c r="H2281" t="str">
        <f t="shared" si="52"/>
        <v>BCBS PAYABLE</v>
      </c>
    </row>
    <row r="2282" spans="5:8" x14ac:dyDescent="0.25">
      <c r="E2282" t="str">
        <f>""</f>
        <v/>
      </c>
      <c r="F2282" t="str">
        <f>""</f>
        <v/>
      </c>
      <c r="H2282" t="str">
        <f t="shared" si="52"/>
        <v>BCBS PAYABLE</v>
      </c>
    </row>
    <row r="2283" spans="5:8" x14ac:dyDescent="0.25">
      <c r="E2283" t="str">
        <f>""</f>
        <v/>
      </c>
      <c r="F2283" t="str">
        <f>""</f>
        <v/>
      </c>
      <c r="H2283" t="str">
        <f t="shared" si="52"/>
        <v>BCBS PAYABLE</v>
      </c>
    </row>
    <row r="2284" spans="5:8" x14ac:dyDescent="0.25">
      <c r="E2284" t="str">
        <f>""</f>
        <v/>
      </c>
      <c r="F2284" t="str">
        <f>""</f>
        <v/>
      </c>
      <c r="H2284" t="str">
        <f t="shared" si="52"/>
        <v>BCBS PAYABLE</v>
      </c>
    </row>
    <row r="2285" spans="5:8" x14ac:dyDescent="0.25">
      <c r="E2285" t="str">
        <f>""</f>
        <v/>
      </c>
      <c r="F2285" t="str">
        <f>""</f>
        <v/>
      </c>
      <c r="H2285" t="str">
        <f t="shared" si="52"/>
        <v>BCBS PAYABLE</v>
      </c>
    </row>
    <row r="2286" spans="5:8" x14ac:dyDescent="0.25">
      <c r="E2286" t="str">
        <f>""</f>
        <v/>
      </c>
      <c r="F2286" t="str">
        <f>""</f>
        <v/>
      </c>
      <c r="H2286" t="str">
        <f t="shared" si="52"/>
        <v>BCBS PAYABLE</v>
      </c>
    </row>
    <row r="2287" spans="5:8" x14ac:dyDescent="0.25">
      <c r="E2287" t="str">
        <f>""</f>
        <v/>
      </c>
      <c r="F2287" t="str">
        <f>""</f>
        <v/>
      </c>
      <c r="H2287" t="str">
        <f t="shared" si="52"/>
        <v>BCBS PAYABLE</v>
      </c>
    </row>
    <row r="2288" spans="5:8" x14ac:dyDescent="0.25">
      <c r="E2288" t="str">
        <f>""</f>
        <v/>
      </c>
      <c r="F2288" t="str">
        <f>""</f>
        <v/>
      </c>
      <c r="H2288" t="str">
        <f t="shared" si="52"/>
        <v>BCBS PAYABLE</v>
      </c>
    </row>
    <row r="2289" spans="5:8" x14ac:dyDescent="0.25">
      <c r="E2289" t="str">
        <f>""</f>
        <v/>
      </c>
      <c r="F2289" t="str">
        <f>""</f>
        <v/>
      </c>
      <c r="H2289" t="str">
        <f t="shared" si="52"/>
        <v>BCBS PAYABLE</v>
      </c>
    </row>
    <row r="2290" spans="5:8" x14ac:dyDescent="0.25">
      <c r="E2290" t="str">
        <f>""</f>
        <v/>
      </c>
      <c r="F2290" t="str">
        <f>""</f>
        <v/>
      </c>
      <c r="H2290" t="str">
        <f t="shared" si="52"/>
        <v>BCBS PAYABLE</v>
      </c>
    </row>
    <row r="2291" spans="5:8" x14ac:dyDescent="0.25">
      <c r="E2291" t="str">
        <f>""</f>
        <v/>
      </c>
      <c r="F2291" t="str">
        <f>""</f>
        <v/>
      </c>
      <c r="H2291" t="str">
        <f t="shared" si="52"/>
        <v>BCBS PAYABLE</v>
      </c>
    </row>
    <row r="2292" spans="5:8" x14ac:dyDescent="0.25">
      <c r="E2292" t="str">
        <f>""</f>
        <v/>
      </c>
      <c r="F2292" t="str">
        <f>""</f>
        <v/>
      </c>
      <c r="H2292" t="str">
        <f t="shared" si="52"/>
        <v>BCBS PAYABLE</v>
      </c>
    </row>
    <row r="2293" spans="5:8" x14ac:dyDescent="0.25">
      <c r="E2293" t="str">
        <f>""</f>
        <v/>
      </c>
      <c r="F2293" t="str">
        <f>""</f>
        <v/>
      </c>
      <c r="H2293" t="str">
        <f t="shared" si="52"/>
        <v>BCBS PAYABLE</v>
      </c>
    </row>
    <row r="2294" spans="5:8" x14ac:dyDescent="0.25">
      <c r="E2294" t="str">
        <f>""</f>
        <v/>
      </c>
      <c r="F2294" t="str">
        <f>""</f>
        <v/>
      </c>
      <c r="H2294" t="str">
        <f t="shared" si="52"/>
        <v>BCBS PAYABLE</v>
      </c>
    </row>
    <row r="2295" spans="5:8" x14ac:dyDescent="0.25">
      <c r="E2295" t="str">
        <f>""</f>
        <v/>
      </c>
      <c r="F2295" t="str">
        <f>""</f>
        <v/>
      </c>
      <c r="H2295" t="str">
        <f t="shared" si="52"/>
        <v>BCBS PAYABLE</v>
      </c>
    </row>
    <row r="2296" spans="5:8" x14ac:dyDescent="0.25">
      <c r="E2296" t="str">
        <f>""</f>
        <v/>
      </c>
      <c r="F2296" t="str">
        <f>""</f>
        <v/>
      </c>
      <c r="H2296" t="str">
        <f t="shared" si="52"/>
        <v>BCBS PAYABLE</v>
      </c>
    </row>
    <row r="2297" spans="5:8" x14ac:dyDescent="0.25">
      <c r="E2297" t="str">
        <f>""</f>
        <v/>
      </c>
      <c r="F2297" t="str">
        <f>""</f>
        <v/>
      </c>
      <c r="H2297" t="str">
        <f t="shared" si="52"/>
        <v>BCBS PAYABLE</v>
      </c>
    </row>
    <row r="2298" spans="5:8" x14ac:dyDescent="0.25">
      <c r="E2298" t="str">
        <f>""</f>
        <v/>
      </c>
      <c r="F2298" t="str">
        <f>""</f>
        <v/>
      </c>
      <c r="H2298" t="str">
        <f t="shared" si="52"/>
        <v>BCBS PAYABLE</v>
      </c>
    </row>
    <row r="2299" spans="5:8" x14ac:dyDescent="0.25">
      <c r="E2299" t="str">
        <f>""</f>
        <v/>
      </c>
      <c r="F2299" t="str">
        <f>""</f>
        <v/>
      </c>
      <c r="H2299" t="str">
        <f t="shared" si="52"/>
        <v>BCBS PAYABLE</v>
      </c>
    </row>
    <row r="2300" spans="5:8" x14ac:dyDescent="0.25">
      <c r="E2300" t="str">
        <f>""</f>
        <v/>
      </c>
      <c r="F2300" t="str">
        <f>""</f>
        <v/>
      </c>
      <c r="H2300" t="str">
        <f t="shared" si="52"/>
        <v>BCBS PAYABLE</v>
      </c>
    </row>
    <row r="2301" spans="5:8" x14ac:dyDescent="0.25">
      <c r="E2301" t="str">
        <f>""</f>
        <v/>
      </c>
      <c r="F2301" t="str">
        <f>""</f>
        <v/>
      </c>
      <c r="H2301" t="str">
        <f t="shared" si="52"/>
        <v>BCBS PAYABLE</v>
      </c>
    </row>
    <row r="2302" spans="5:8" x14ac:dyDescent="0.25">
      <c r="E2302" t="str">
        <f>""</f>
        <v/>
      </c>
      <c r="F2302" t="str">
        <f>""</f>
        <v/>
      </c>
      <c r="H2302" t="str">
        <f t="shared" si="52"/>
        <v>BCBS PAYABLE</v>
      </c>
    </row>
    <row r="2303" spans="5:8" x14ac:dyDescent="0.25">
      <c r="E2303" t="str">
        <f>""</f>
        <v/>
      </c>
      <c r="F2303" t="str">
        <f>""</f>
        <v/>
      </c>
      <c r="H2303" t="str">
        <f t="shared" si="52"/>
        <v>BCBS PAYABLE</v>
      </c>
    </row>
    <row r="2304" spans="5:8" x14ac:dyDescent="0.25">
      <c r="E2304" t="str">
        <f>""</f>
        <v/>
      </c>
      <c r="F2304" t="str">
        <f>""</f>
        <v/>
      </c>
      <c r="H2304" t="str">
        <f t="shared" si="52"/>
        <v>BCBS PAYABLE</v>
      </c>
    </row>
    <row r="2305" spans="5:8" x14ac:dyDescent="0.25">
      <c r="E2305" t="str">
        <f>""</f>
        <v/>
      </c>
      <c r="F2305" t="str">
        <f>""</f>
        <v/>
      </c>
      <c r="H2305" t="str">
        <f t="shared" si="52"/>
        <v>BCBS PAYABLE</v>
      </c>
    </row>
    <row r="2306" spans="5:8" x14ac:dyDescent="0.25">
      <c r="E2306" t="str">
        <f>""</f>
        <v/>
      </c>
      <c r="F2306" t="str">
        <f>""</f>
        <v/>
      </c>
      <c r="H2306" t="str">
        <f t="shared" si="52"/>
        <v>BCBS PAYABLE</v>
      </c>
    </row>
    <row r="2307" spans="5:8" x14ac:dyDescent="0.25">
      <c r="E2307" t="str">
        <f>""</f>
        <v/>
      </c>
      <c r="F2307" t="str">
        <f>""</f>
        <v/>
      </c>
      <c r="H2307" t="str">
        <f t="shared" si="52"/>
        <v>BCBS PAYABLE</v>
      </c>
    </row>
    <row r="2308" spans="5:8" x14ac:dyDescent="0.25">
      <c r="E2308" t="str">
        <f>""</f>
        <v/>
      </c>
      <c r="F2308" t="str">
        <f>""</f>
        <v/>
      </c>
      <c r="H2308" t="str">
        <f t="shared" si="52"/>
        <v>BCBS PAYABLE</v>
      </c>
    </row>
    <row r="2309" spans="5:8" x14ac:dyDescent="0.25">
      <c r="E2309" t="str">
        <f>""</f>
        <v/>
      </c>
      <c r="F2309" t="str">
        <f>""</f>
        <v/>
      </c>
      <c r="H2309" t="str">
        <f t="shared" si="52"/>
        <v>BCBS PAYABLE</v>
      </c>
    </row>
    <row r="2310" spans="5:8" x14ac:dyDescent="0.25">
      <c r="E2310" t="str">
        <f>""</f>
        <v/>
      </c>
      <c r="F2310" t="str">
        <f>""</f>
        <v/>
      </c>
      <c r="H2310" t="str">
        <f t="shared" si="52"/>
        <v>BCBS PAYABLE</v>
      </c>
    </row>
    <row r="2311" spans="5:8" x14ac:dyDescent="0.25">
      <c r="E2311" t="str">
        <f>""</f>
        <v/>
      </c>
      <c r="F2311" t="str">
        <f>""</f>
        <v/>
      </c>
      <c r="H2311" t="str">
        <f t="shared" si="52"/>
        <v>BCBS PAYABLE</v>
      </c>
    </row>
    <row r="2312" spans="5:8" x14ac:dyDescent="0.25">
      <c r="E2312" t="str">
        <f>""</f>
        <v/>
      </c>
      <c r="F2312" t="str">
        <f>""</f>
        <v/>
      </c>
      <c r="H2312" t="str">
        <f t="shared" si="52"/>
        <v>BCBS PAYABLE</v>
      </c>
    </row>
    <row r="2313" spans="5:8" x14ac:dyDescent="0.25">
      <c r="E2313" t="str">
        <f>""</f>
        <v/>
      </c>
      <c r="F2313" t="str">
        <f>""</f>
        <v/>
      </c>
      <c r="H2313" t="str">
        <f t="shared" si="52"/>
        <v>BCBS PAYABLE</v>
      </c>
    </row>
    <row r="2314" spans="5:8" x14ac:dyDescent="0.25">
      <c r="E2314" t="str">
        <f>""</f>
        <v/>
      </c>
      <c r="F2314" t="str">
        <f>""</f>
        <v/>
      </c>
      <c r="H2314" t="str">
        <f t="shared" si="52"/>
        <v>BCBS PAYABLE</v>
      </c>
    </row>
    <row r="2315" spans="5:8" x14ac:dyDescent="0.25">
      <c r="E2315" t="str">
        <f>""</f>
        <v/>
      </c>
      <c r="F2315" t="str">
        <f>""</f>
        <v/>
      </c>
      <c r="H2315" t="str">
        <f t="shared" si="52"/>
        <v>BCBS PAYABLE</v>
      </c>
    </row>
    <row r="2316" spans="5:8" x14ac:dyDescent="0.25">
      <c r="E2316" t="str">
        <f>""</f>
        <v/>
      </c>
      <c r="F2316" t="str">
        <f>""</f>
        <v/>
      </c>
      <c r="H2316" t="str">
        <f t="shared" si="52"/>
        <v>BCBS PAYABLE</v>
      </c>
    </row>
    <row r="2317" spans="5:8" x14ac:dyDescent="0.25">
      <c r="E2317" t="str">
        <f>""</f>
        <v/>
      </c>
      <c r="F2317" t="str">
        <f>""</f>
        <v/>
      </c>
      <c r="H2317" t="str">
        <f t="shared" si="52"/>
        <v>BCBS PAYABLE</v>
      </c>
    </row>
    <row r="2318" spans="5:8" x14ac:dyDescent="0.25">
      <c r="E2318" t="str">
        <f>""</f>
        <v/>
      </c>
      <c r="F2318" t="str">
        <f>""</f>
        <v/>
      </c>
      <c r="H2318" t="str">
        <f t="shared" si="52"/>
        <v>BCBS PAYABLE</v>
      </c>
    </row>
    <row r="2319" spans="5:8" x14ac:dyDescent="0.25">
      <c r="E2319" t="str">
        <f>""</f>
        <v/>
      </c>
      <c r="F2319" t="str">
        <f>""</f>
        <v/>
      </c>
      <c r="H2319" t="str">
        <f t="shared" si="52"/>
        <v>BCBS PAYABLE</v>
      </c>
    </row>
    <row r="2320" spans="5:8" x14ac:dyDescent="0.25">
      <c r="E2320" t="str">
        <f>""</f>
        <v/>
      </c>
      <c r="F2320" t="str">
        <f>""</f>
        <v/>
      </c>
      <c r="H2320" t="str">
        <f t="shared" si="52"/>
        <v>BCBS PAYABLE</v>
      </c>
    </row>
    <row r="2321" spans="5:8" x14ac:dyDescent="0.25">
      <c r="E2321" t="str">
        <f>""</f>
        <v/>
      </c>
      <c r="F2321" t="str">
        <f>""</f>
        <v/>
      </c>
      <c r="H2321" t="str">
        <f t="shared" si="52"/>
        <v>BCBS PAYABLE</v>
      </c>
    </row>
    <row r="2322" spans="5:8" x14ac:dyDescent="0.25">
      <c r="E2322" t="str">
        <f>""</f>
        <v/>
      </c>
      <c r="F2322" t="str">
        <f>""</f>
        <v/>
      </c>
      <c r="H2322" t="str">
        <f t="shared" si="52"/>
        <v>BCBS PAYABLE</v>
      </c>
    </row>
    <row r="2323" spans="5:8" x14ac:dyDescent="0.25">
      <c r="E2323" t="str">
        <f>""</f>
        <v/>
      </c>
      <c r="F2323" t="str">
        <f>""</f>
        <v/>
      </c>
      <c r="H2323" t="str">
        <f t="shared" si="52"/>
        <v>BCBS PAYABLE</v>
      </c>
    </row>
    <row r="2324" spans="5:8" x14ac:dyDescent="0.25">
      <c r="E2324" t="str">
        <f>""</f>
        <v/>
      </c>
      <c r="F2324" t="str">
        <f>""</f>
        <v/>
      </c>
      <c r="H2324" t="str">
        <f t="shared" si="52"/>
        <v>BCBS PAYABLE</v>
      </c>
    </row>
    <row r="2325" spans="5:8" x14ac:dyDescent="0.25">
      <c r="E2325" t="str">
        <f>""</f>
        <v/>
      </c>
      <c r="F2325" t="str">
        <f>""</f>
        <v/>
      </c>
      <c r="H2325" t="str">
        <f t="shared" si="52"/>
        <v>BCBS PAYABLE</v>
      </c>
    </row>
    <row r="2326" spans="5:8" x14ac:dyDescent="0.25">
      <c r="E2326" t="str">
        <f>""</f>
        <v/>
      </c>
      <c r="F2326" t="str">
        <f>""</f>
        <v/>
      </c>
      <c r="H2326" t="str">
        <f t="shared" si="52"/>
        <v>BCBS PAYABLE</v>
      </c>
    </row>
    <row r="2327" spans="5:8" x14ac:dyDescent="0.25">
      <c r="E2327" t="str">
        <f>""</f>
        <v/>
      </c>
      <c r="F2327" t="str">
        <f>""</f>
        <v/>
      </c>
      <c r="H2327" t="str">
        <f t="shared" si="52"/>
        <v>BCBS PAYABLE</v>
      </c>
    </row>
    <row r="2328" spans="5:8" x14ac:dyDescent="0.25">
      <c r="E2328" t="str">
        <f>"2EO202107214730"</f>
        <v>2EO202107214730</v>
      </c>
      <c r="F2328" t="str">
        <f>"BCBS PAYABLE"</f>
        <v>BCBS PAYABLE</v>
      </c>
      <c r="G2328" s="5">
        <v>3076.47</v>
      </c>
      <c r="H2328" t="str">
        <f t="shared" si="52"/>
        <v>BCBS PAYABLE</v>
      </c>
    </row>
    <row r="2329" spans="5:8" x14ac:dyDescent="0.25">
      <c r="E2329" t="str">
        <f>"2ES202107074399"</f>
        <v>2ES202107074399</v>
      </c>
      <c r="F2329" t="str">
        <f>"BCBS PAYABLE"</f>
        <v>BCBS PAYABLE</v>
      </c>
      <c r="G2329" s="5">
        <v>17939.79</v>
      </c>
      <c r="H2329" t="str">
        <f t="shared" si="52"/>
        <v>BCBS PAYABLE</v>
      </c>
    </row>
    <row r="2330" spans="5:8" x14ac:dyDescent="0.25">
      <c r="E2330" t="str">
        <f>""</f>
        <v/>
      </c>
      <c r="F2330" t="str">
        <f>""</f>
        <v/>
      </c>
      <c r="H2330" t="str">
        <f t="shared" si="52"/>
        <v>BCBS PAYABLE</v>
      </c>
    </row>
    <row r="2331" spans="5:8" x14ac:dyDescent="0.25">
      <c r="E2331" t="str">
        <f>""</f>
        <v/>
      </c>
      <c r="F2331" t="str">
        <f>""</f>
        <v/>
      </c>
      <c r="H2331" t="str">
        <f t="shared" si="52"/>
        <v>BCBS PAYABLE</v>
      </c>
    </row>
    <row r="2332" spans="5:8" x14ac:dyDescent="0.25">
      <c r="E2332" t="str">
        <f>""</f>
        <v/>
      </c>
      <c r="F2332" t="str">
        <f>""</f>
        <v/>
      </c>
      <c r="H2332" t="str">
        <f t="shared" si="52"/>
        <v>BCBS PAYABLE</v>
      </c>
    </row>
    <row r="2333" spans="5:8" x14ac:dyDescent="0.25">
      <c r="E2333" t="str">
        <f>""</f>
        <v/>
      </c>
      <c r="F2333" t="str">
        <f>""</f>
        <v/>
      </c>
      <c r="H2333" t="str">
        <f t="shared" si="52"/>
        <v>BCBS PAYABLE</v>
      </c>
    </row>
    <row r="2334" spans="5:8" x14ac:dyDescent="0.25">
      <c r="E2334" t="str">
        <f>""</f>
        <v/>
      </c>
      <c r="F2334" t="str">
        <f>""</f>
        <v/>
      </c>
      <c r="H2334" t="str">
        <f t="shared" si="52"/>
        <v>BCBS PAYABLE</v>
      </c>
    </row>
    <row r="2335" spans="5:8" x14ac:dyDescent="0.25">
      <c r="E2335" t="str">
        <f>""</f>
        <v/>
      </c>
      <c r="F2335" t="str">
        <f>""</f>
        <v/>
      </c>
      <c r="H2335" t="str">
        <f t="shared" si="52"/>
        <v>BCBS PAYABLE</v>
      </c>
    </row>
    <row r="2336" spans="5:8" x14ac:dyDescent="0.25">
      <c r="E2336" t="str">
        <f>""</f>
        <v/>
      </c>
      <c r="F2336" t="str">
        <f>""</f>
        <v/>
      </c>
      <c r="H2336" t="str">
        <f t="shared" si="52"/>
        <v>BCBS PAYABLE</v>
      </c>
    </row>
    <row r="2337" spans="5:8" x14ac:dyDescent="0.25">
      <c r="E2337" t="str">
        <f>""</f>
        <v/>
      </c>
      <c r="F2337" t="str">
        <f>""</f>
        <v/>
      </c>
      <c r="H2337" t="str">
        <f t="shared" si="52"/>
        <v>BCBS PAYABLE</v>
      </c>
    </row>
    <row r="2338" spans="5:8" x14ac:dyDescent="0.25">
      <c r="E2338" t="str">
        <f>""</f>
        <v/>
      </c>
      <c r="F2338" t="str">
        <f>""</f>
        <v/>
      </c>
      <c r="H2338" t="str">
        <f t="shared" si="52"/>
        <v>BCBS PAYABLE</v>
      </c>
    </row>
    <row r="2339" spans="5:8" x14ac:dyDescent="0.25">
      <c r="E2339" t="str">
        <f>""</f>
        <v/>
      </c>
      <c r="F2339" t="str">
        <f>""</f>
        <v/>
      </c>
      <c r="H2339" t="str">
        <f t="shared" si="52"/>
        <v>BCBS PAYABLE</v>
      </c>
    </row>
    <row r="2340" spans="5:8" x14ac:dyDescent="0.25">
      <c r="E2340" t="str">
        <f>""</f>
        <v/>
      </c>
      <c r="F2340" t="str">
        <f>""</f>
        <v/>
      </c>
      <c r="H2340" t="str">
        <f t="shared" si="52"/>
        <v>BCBS PAYABLE</v>
      </c>
    </row>
    <row r="2341" spans="5:8" x14ac:dyDescent="0.25">
      <c r="E2341" t="str">
        <f>""</f>
        <v/>
      </c>
      <c r="F2341" t="str">
        <f>""</f>
        <v/>
      </c>
      <c r="H2341" t="str">
        <f t="shared" si="52"/>
        <v>BCBS PAYABLE</v>
      </c>
    </row>
    <row r="2342" spans="5:8" x14ac:dyDescent="0.25">
      <c r="E2342" t="str">
        <f>""</f>
        <v/>
      </c>
      <c r="F2342" t="str">
        <f>""</f>
        <v/>
      </c>
      <c r="H2342" t="str">
        <f t="shared" ref="H2342:H2364" si="53">"BCBS PAYABLE"</f>
        <v>BCBS PAYABLE</v>
      </c>
    </row>
    <row r="2343" spans="5:8" x14ac:dyDescent="0.25">
      <c r="E2343" t="str">
        <f>""</f>
        <v/>
      </c>
      <c r="F2343" t="str">
        <f>""</f>
        <v/>
      </c>
      <c r="H2343" t="str">
        <f t="shared" si="53"/>
        <v>BCBS PAYABLE</v>
      </c>
    </row>
    <row r="2344" spans="5:8" x14ac:dyDescent="0.25">
      <c r="E2344" t="str">
        <f>""</f>
        <v/>
      </c>
      <c r="F2344" t="str">
        <f>""</f>
        <v/>
      </c>
      <c r="H2344" t="str">
        <f t="shared" si="53"/>
        <v>BCBS PAYABLE</v>
      </c>
    </row>
    <row r="2345" spans="5:8" x14ac:dyDescent="0.25">
      <c r="E2345" t="str">
        <f>""</f>
        <v/>
      </c>
      <c r="F2345" t="str">
        <f>""</f>
        <v/>
      </c>
      <c r="H2345" t="str">
        <f t="shared" si="53"/>
        <v>BCBS PAYABLE</v>
      </c>
    </row>
    <row r="2346" spans="5:8" x14ac:dyDescent="0.25">
      <c r="E2346" t="str">
        <f>""</f>
        <v/>
      </c>
      <c r="F2346" t="str">
        <f>""</f>
        <v/>
      </c>
      <c r="H2346" t="str">
        <f t="shared" si="53"/>
        <v>BCBS PAYABLE</v>
      </c>
    </row>
    <row r="2347" spans="5:8" x14ac:dyDescent="0.25">
      <c r="E2347" t="str">
        <f>"2ES202107214729"</f>
        <v>2ES202107214729</v>
      </c>
      <c r="F2347" t="str">
        <f>"BCBS PAYABLE"</f>
        <v>BCBS PAYABLE</v>
      </c>
      <c r="G2347" s="5">
        <v>16852.53</v>
      </c>
      <c r="H2347" t="str">
        <f t="shared" si="53"/>
        <v>BCBS PAYABLE</v>
      </c>
    </row>
    <row r="2348" spans="5:8" x14ac:dyDescent="0.25">
      <c r="E2348" t="str">
        <f>""</f>
        <v/>
      </c>
      <c r="F2348" t="str">
        <f>""</f>
        <v/>
      </c>
      <c r="H2348" t="str">
        <f t="shared" si="53"/>
        <v>BCBS PAYABLE</v>
      </c>
    </row>
    <row r="2349" spans="5:8" x14ac:dyDescent="0.25">
      <c r="E2349" t="str">
        <f>""</f>
        <v/>
      </c>
      <c r="F2349" t="str">
        <f>""</f>
        <v/>
      </c>
      <c r="H2349" t="str">
        <f t="shared" si="53"/>
        <v>BCBS PAYABLE</v>
      </c>
    </row>
    <row r="2350" spans="5:8" x14ac:dyDescent="0.25">
      <c r="E2350" t="str">
        <f>""</f>
        <v/>
      </c>
      <c r="F2350" t="str">
        <f>""</f>
        <v/>
      </c>
      <c r="H2350" t="str">
        <f t="shared" si="53"/>
        <v>BCBS PAYABLE</v>
      </c>
    </row>
    <row r="2351" spans="5:8" x14ac:dyDescent="0.25">
      <c r="E2351" t="str">
        <f>""</f>
        <v/>
      </c>
      <c r="F2351" t="str">
        <f>""</f>
        <v/>
      </c>
      <c r="H2351" t="str">
        <f t="shared" si="53"/>
        <v>BCBS PAYABLE</v>
      </c>
    </row>
    <row r="2352" spans="5:8" x14ac:dyDescent="0.25">
      <c r="E2352" t="str">
        <f>""</f>
        <v/>
      </c>
      <c r="F2352" t="str">
        <f>""</f>
        <v/>
      </c>
      <c r="H2352" t="str">
        <f t="shared" si="53"/>
        <v>BCBS PAYABLE</v>
      </c>
    </row>
    <row r="2353" spans="1:8" x14ac:dyDescent="0.25">
      <c r="E2353" t="str">
        <f>""</f>
        <v/>
      </c>
      <c r="F2353" t="str">
        <f>""</f>
        <v/>
      </c>
      <c r="H2353" t="str">
        <f t="shared" si="53"/>
        <v>BCBS PAYABLE</v>
      </c>
    </row>
    <row r="2354" spans="1:8" x14ac:dyDescent="0.25">
      <c r="E2354" t="str">
        <f>""</f>
        <v/>
      </c>
      <c r="F2354" t="str">
        <f>""</f>
        <v/>
      </c>
      <c r="H2354" t="str">
        <f t="shared" si="53"/>
        <v>BCBS PAYABLE</v>
      </c>
    </row>
    <row r="2355" spans="1:8" x14ac:dyDescent="0.25">
      <c r="E2355" t="str">
        <f>""</f>
        <v/>
      </c>
      <c r="F2355" t="str">
        <f>""</f>
        <v/>
      </c>
      <c r="H2355" t="str">
        <f t="shared" si="53"/>
        <v>BCBS PAYABLE</v>
      </c>
    </row>
    <row r="2356" spans="1:8" x14ac:dyDescent="0.25">
      <c r="E2356" t="str">
        <f>""</f>
        <v/>
      </c>
      <c r="F2356" t="str">
        <f>""</f>
        <v/>
      </c>
      <c r="H2356" t="str">
        <f t="shared" si="53"/>
        <v>BCBS PAYABLE</v>
      </c>
    </row>
    <row r="2357" spans="1:8" x14ac:dyDescent="0.25">
      <c r="E2357" t="str">
        <f>""</f>
        <v/>
      </c>
      <c r="F2357" t="str">
        <f>""</f>
        <v/>
      </c>
      <c r="H2357" t="str">
        <f t="shared" si="53"/>
        <v>BCBS PAYABLE</v>
      </c>
    </row>
    <row r="2358" spans="1:8" x14ac:dyDescent="0.25">
      <c r="E2358" t="str">
        <f>""</f>
        <v/>
      </c>
      <c r="F2358" t="str">
        <f>""</f>
        <v/>
      </c>
      <c r="H2358" t="str">
        <f t="shared" si="53"/>
        <v>BCBS PAYABLE</v>
      </c>
    </row>
    <row r="2359" spans="1:8" x14ac:dyDescent="0.25">
      <c r="E2359" t="str">
        <f>""</f>
        <v/>
      </c>
      <c r="F2359" t="str">
        <f>""</f>
        <v/>
      </c>
      <c r="H2359" t="str">
        <f t="shared" si="53"/>
        <v>BCBS PAYABLE</v>
      </c>
    </row>
    <row r="2360" spans="1:8" x14ac:dyDescent="0.25">
      <c r="E2360" t="str">
        <f>""</f>
        <v/>
      </c>
      <c r="F2360" t="str">
        <f>""</f>
        <v/>
      </c>
      <c r="H2360" t="str">
        <f t="shared" si="53"/>
        <v>BCBS PAYABLE</v>
      </c>
    </row>
    <row r="2361" spans="1:8" x14ac:dyDescent="0.25">
      <c r="E2361" t="str">
        <f>""</f>
        <v/>
      </c>
      <c r="F2361" t="str">
        <f>""</f>
        <v/>
      </c>
      <c r="H2361" t="str">
        <f t="shared" si="53"/>
        <v>BCBS PAYABLE</v>
      </c>
    </row>
    <row r="2362" spans="1:8" x14ac:dyDescent="0.25">
      <c r="E2362" t="str">
        <f>""</f>
        <v/>
      </c>
      <c r="F2362" t="str">
        <f>""</f>
        <v/>
      </c>
      <c r="H2362" t="str">
        <f t="shared" si="53"/>
        <v>BCBS PAYABLE</v>
      </c>
    </row>
    <row r="2363" spans="1:8" x14ac:dyDescent="0.25">
      <c r="E2363" t="str">
        <f>""</f>
        <v/>
      </c>
      <c r="F2363" t="str">
        <f>""</f>
        <v/>
      </c>
      <c r="H2363" t="str">
        <f t="shared" si="53"/>
        <v>BCBS PAYABLE</v>
      </c>
    </row>
    <row r="2364" spans="1:8" x14ac:dyDescent="0.25">
      <c r="E2364" t="str">
        <f>""</f>
        <v/>
      </c>
      <c r="F2364" t="str">
        <f>""</f>
        <v/>
      </c>
      <c r="H2364" t="str">
        <f t="shared" si="53"/>
        <v>BCBS PAYABLE</v>
      </c>
    </row>
    <row r="2365" spans="1:8" x14ac:dyDescent="0.25">
      <c r="A2365" t="s">
        <v>445</v>
      </c>
      <c r="B2365">
        <v>1167</v>
      </c>
      <c r="C2365" s="5">
        <v>10194.959999999999</v>
      </c>
      <c r="D2365" s="3">
        <v>44386</v>
      </c>
      <c r="E2365" t="str">
        <f>"FSA202107074399"</f>
        <v>FSA202107074399</v>
      </c>
      <c r="F2365" t="str">
        <f>"TASC FSA"</f>
        <v>TASC FSA</v>
      </c>
      <c r="G2365" s="5">
        <v>7200.1</v>
      </c>
      <c r="H2365" t="str">
        <f>"TASC FSA"</f>
        <v>TASC FSA</v>
      </c>
    </row>
    <row r="2366" spans="1:8" x14ac:dyDescent="0.25">
      <c r="E2366" t="str">
        <f>"FSA202107074400"</f>
        <v>FSA202107074400</v>
      </c>
      <c r="F2366" t="str">
        <f>"TASC FSA"</f>
        <v>TASC FSA</v>
      </c>
      <c r="G2366" s="5">
        <v>328.74</v>
      </c>
      <c r="H2366" t="str">
        <f>"TASC FSA"</f>
        <v>TASC FSA</v>
      </c>
    </row>
    <row r="2367" spans="1:8" x14ac:dyDescent="0.25">
      <c r="E2367" t="str">
        <f>"FSC202107074399"</f>
        <v>FSC202107074399</v>
      </c>
      <c r="F2367" t="str">
        <f>"TASC DEPENDENT CARE"</f>
        <v>TASC DEPENDENT CARE</v>
      </c>
      <c r="G2367" s="5">
        <v>50</v>
      </c>
      <c r="H2367" t="str">
        <f>"TASC DEPENDENT CARE"</f>
        <v>TASC DEPENDENT CARE</v>
      </c>
    </row>
    <row r="2368" spans="1:8" x14ac:dyDescent="0.25">
      <c r="E2368" t="str">
        <f>"FSF202107074399"</f>
        <v>FSF202107074399</v>
      </c>
      <c r="F2368" t="str">
        <f>"TASC - FSA  FEES"</f>
        <v>TASC - FSA  FEES</v>
      </c>
      <c r="G2368" s="5">
        <v>243</v>
      </c>
      <c r="H2368" t="str">
        <f t="shared" ref="H2368:H2407" si="54">"TASC - FSA  FEES"</f>
        <v>TASC - FSA  FEES</v>
      </c>
    </row>
    <row r="2369" spans="5:8" x14ac:dyDescent="0.25">
      <c r="E2369" t="str">
        <f>""</f>
        <v/>
      </c>
      <c r="F2369" t="str">
        <f>""</f>
        <v/>
      </c>
      <c r="H2369" t="str">
        <f t="shared" si="54"/>
        <v>TASC - FSA  FEES</v>
      </c>
    </row>
    <row r="2370" spans="5:8" x14ac:dyDescent="0.25">
      <c r="E2370" t="str">
        <f>""</f>
        <v/>
      </c>
      <c r="F2370" t="str">
        <f>""</f>
        <v/>
      </c>
      <c r="H2370" t="str">
        <f t="shared" si="54"/>
        <v>TASC - FSA  FEES</v>
      </c>
    </row>
    <row r="2371" spans="5:8" x14ac:dyDescent="0.25">
      <c r="E2371" t="str">
        <f>""</f>
        <v/>
      </c>
      <c r="F2371" t="str">
        <f>""</f>
        <v/>
      </c>
      <c r="H2371" t="str">
        <f t="shared" si="54"/>
        <v>TASC - FSA  FEES</v>
      </c>
    </row>
    <row r="2372" spans="5:8" x14ac:dyDescent="0.25">
      <c r="E2372" t="str">
        <f>""</f>
        <v/>
      </c>
      <c r="F2372" t="str">
        <f>""</f>
        <v/>
      </c>
      <c r="H2372" t="str">
        <f t="shared" si="54"/>
        <v>TASC - FSA  FEES</v>
      </c>
    </row>
    <row r="2373" spans="5:8" x14ac:dyDescent="0.25">
      <c r="E2373" t="str">
        <f>""</f>
        <v/>
      </c>
      <c r="F2373" t="str">
        <f>""</f>
        <v/>
      </c>
      <c r="H2373" t="str">
        <f t="shared" si="54"/>
        <v>TASC - FSA  FEES</v>
      </c>
    </row>
    <row r="2374" spans="5:8" x14ac:dyDescent="0.25">
      <c r="E2374" t="str">
        <f>""</f>
        <v/>
      </c>
      <c r="F2374" t="str">
        <f>""</f>
        <v/>
      </c>
      <c r="H2374" t="str">
        <f t="shared" si="54"/>
        <v>TASC - FSA  FEES</v>
      </c>
    </row>
    <row r="2375" spans="5:8" x14ac:dyDescent="0.25">
      <c r="E2375" t="str">
        <f>""</f>
        <v/>
      </c>
      <c r="F2375" t="str">
        <f>""</f>
        <v/>
      </c>
      <c r="H2375" t="str">
        <f t="shared" si="54"/>
        <v>TASC - FSA  FEES</v>
      </c>
    </row>
    <row r="2376" spans="5:8" x14ac:dyDescent="0.25">
      <c r="E2376" t="str">
        <f>""</f>
        <v/>
      </c>
      <c r="F2376" t="str">
        <f>""</f>
        <v/>
      </c>
      <c r="H2376" t="str">
        <f t="shared" si="54"/>
        <v>TASC - FSA  FEES</v>
      </c>
    </row>
    <row r="2377" spans="5:8" x14ac:dyDescent="0.25">
      <c r="E2377" t="str">
        <f>""</f>
        <v/>
      </c>
      <c r="F2377" t="str">
        <f>""</f>
        <v/>
      </c>
      <c r="H2377" t="str">
        <f t="shared" si="54"/>
        <v>TASC - FSA  FEES</v>
      </c>
    </row>
    <row r="2378" spans="5:8" x14ac:dyDescent="0.25">
      <c r="E2378" t="str">
        <f>""</f>
        <v/>
      </c>
      <c r="F2378" t="str">
        <f>""</f>
        <v/>
      </c>
      <c r="H2378" t="str">
        <f t="shared" si="54"/>
        <v>TASC - FSA  FEES</v>
      </c>
    </row>
    <row r="2379" spans="5:8" x14ac:dyDescent="0.25">
      <c r="E2379" t="str">
        <f>""</f>
        <v/>
      </c>
      <c r="F2379" t="str">
        <f>""</f>
        <v/>
      </c>
      <c r="H2379" t="str">
        <f t="shared" si="54"/>
        <v>TASC - FSA  FEES</v>
      </c>
    </row>
    <row r="2380" spans="5:8" x14ac:dyDescent="0.25">
      <c r="E2380" t="str">
        <f>""</f>
        <v/>
      </c>
      <c r="F2380" t="str">
        <f>""</f>
        <v/>
      </c>
      <c r="H2380" t="str">
        <f t="shared" si="54"/>
        <v>TASC - FSA  FEES</v>
      </c>
    </row>
    <row r="2381" spans="5:8" x14ac:dyDescent="0.25">
      <c r="E2381" t="str">
        <f>""</f>
        <v/>
      </c>
      <c r="F2381" t="str">
        <f>""</f>
        <v/>
      </c>
      <c r="H2381" t="str">
        <f t="shared" si="54"/>
        <v>TASC - FSA  FEES</v>
      </c>
    </row>
    <row r="2382" spans="5:8" x14ac:dyDescent="0.25">
      <c r="E2382" t="str">
        <f>""</f>
        <v/>
      </c>
      <c r="F2382" t="str">
        <f>""</f>
        <v/>
      </c>
      <c r="H2382" t="str">
        <f t="shared" si="54"/>
        <v>TASC - FSA  FEES</v>
      </c>
    </row>
    <row r="2383" spans="5:8" x14ac:dyDescent="0.25">
      <c r="E2383" t="str">
        <f>""</f>
        <v/>
      </c>
      <c r="F2383" t="str">
        <f>""</f>
        <v/>
      </c>
      <c r="H2383" t="str">
        <f t="shared" si="54"/>
        <v>TASC - FSA  FEES</v>
      </c>
    </row>
    <row r="2384" spans="5:8" x14ac:dyDescent="0.25">
      <c r="E2384" t="str">
        <f>""</f>
        <v/>
      </c>
      <c r="F2384" t="str">
        <f>""</f>
        <v/>
      </c>
      <c r="H2384" t="str">
        <f t="shared" si="54"/>
        <v>TASC - FSA  FEES</v>
      </c>
    </row>
    <row r="2385" spans="5:8" x14ac:dyDescent="0.25">
      <c r="E2385" t="str">
        <f>""</f>
        <v/>
      </c>
      <c r="F2385" t="str">
        <f>""</f>
        <v/>
      </c>
      <c r="H2385" t="str">
        <f t="shared" si="54"/>
        <v>TASC - FSA  FEES</v>
      </c>
    </row>
    <row r="2386" spans="5:8" x14ac:dyDescent="0.25">
      <c r="E2386" t="str">
        <f>""</f>
        <v/>
      </c>
      <c r="F2386" t="str">
        <f>""</f>
        <v/>
      </c>
      <c r="H2386" t="str">
        <f t="shared" si="54"/>
        <v>TASC - FSA  FEES</v>
      </c>
    </row>
    <row r="2387" spans="5:8" x14ac:dyDescent="0.25">
      <c r="E2387" t="str">
        <f>""</f>
        <v/>
      </c>
      <c r="F2387" t="str">
        <f>""</f>
        <v/>
      </c>
      <c r="H2387" t="str">
        <f t="shared" si="54"/>
        <v>TASC - FSA  FEES</v>
      </c>
    </row>
    <row r="2388" spans="5:8" x14ac:dyDescent="0.25">
      <c r="E2388" t="str">
        <f>""</f>
        <v/>
      </c>
      <c r="F2388" t="str">
        <f>""</f>
        <v/>
      </c>
      <c r="H2388" t="str">
        <f t="shared" si="54"/>
        <v>TASC - FSA  FEES</v>
      </c>
    </row>
    <row r="2389" spans="5:8" x14ac:dyDescent="0.25">
      <c r="E2389" t="str">
        <f>""</f>
        <v/>
      </c>
      <c r="F2389" t="str">
        <f>""</f>
        <v/>
      </c>
      <c r="H2389" t="str">
        <f t="shared" si="54"/>
        <v>TASC - FSA  FEES</v>
      </c>
    </row>
    <row r="2390" spans="5:8" x14ac:dyDescent="0.25">
      <c r="E2390" t="str">
        <f>""</f>
        <v/>
      </c>
      <c r="F2390" t="str">
        <f>""</f>
        <v/>
      </c>
      <c r="H2390" t="str">
        <f t="shared" si="54"/>
        <v>TASC - FSA  FEES</v>
      </c>
    </row>
    <row r="2391" spans="5:8" x14ac:dyDescent="0.25">
      <c r="E2391" t="str">
        <f>""</f>
        <v/>
      </c>
      <c r="F2391" t="str">
        <f>""</f>
        <v/>
      </c>
      <c r="H2391" t="str">
        <f t="shared" si="54"/>
        <v>TASC - FSA  FEES</v>
      </c>
    </row>
    <row r="2392" spans="5:8" x14ac:dyDescent="0.25">
      <c r="E2392" t="str">
        <f>""</f>
        <v/>
      </c>
      <c r="F2392" t="str">
        <f>""</f>
        <v/>
      </c>
      <c r="H2392" t="str">
        <f t="shared" si="54"/>
        <v>TASC - FSA  FEES</v>
      </c>
    </row>
    <row r="2393" spans="5:8" x14ac:dyDescent="0.25">
      <c r="E2393" t="str">
        <f>""</f>
        <v/>
      </c>
      <c r="F2393" t="str">
        <f>""</f>
        <v/>
      </c>
      <c r="H2393" t="str">
        <f t="shared" si="54"/>
        <v>TASC - FSA  FEES</v>
      </c>
    </row>
    <row r="2394" spans="5:8" x14ac:dyDescent="0.25">
      <c r="E2394" t="str">
        <f>""</f>
        <v/>
      </c>
      <c r="F2394" t="str">
        <f>""</f>
        <v/>
      </c>
      <c r="H2394" t="str">
        <f t="shared" si="54"/>
        <v>TASC - FSA  FEES</v>
      </c>
    </row>
    <row r="2395" spans="5:8" x14ac:dyDescent="0.25">
      <c r="E2395" t="str">
        <f>""</f>
        <v/>
      </c>
      <c r="F2395" t="str">
        <f>""</f>
        <v/>
      </c>
      <c r="H2395" t="str">
        <f t="shared" si="54"/>
        <v>TASC - FSA  FEES</v>
      </c>
    </row>
    <row r="2396" spans="5:8" x14ac:dyDescent="0.25">
      <c r="E2396" t="str">
        <f>""</f>
        <v/>
      </c>
      <c r="F2396" t="str">
        <f>""</f>
        <v/>
      </c>
      <c r="H2396" t="str">
        <f t="shared" si="54"/>
        <v>TASC - FSA  FEES</v>
      </c>
    </row>
    <row r="2397" spans="5:8" x14ac:dyDescent="0.25">
      <c r="E2397" t="str">
        <f>""</f>
        <v/>
      </c>
      <c r="F2397" t="str">
        <f>""</f>
        <v/>
      </c>
      <c r="H2397" t="str">
        <f t="shared" si="54"/>
        <v>TASC - FSA  FEES</v>
      </c>
    </row>
    <row r="2398" spans="5:8" x14ac:dyDescent="0.25">
      <c r="E2398" t="str">
        <f>""</f>
        <v/>
      </c>
      <c r="F2398" t="str">
        <f>""</f>
        <v/>
      </c>
      <c r="H2398" t="str">
        <f t="shared" si="54"/>
        <v>TASC - FSA  FEES</v>
      </c>
    </row>
    <row r="2399" spans="5:8" x14ac:dyDescent="0.25">
      <c r="E2399" t="str">
        <f>""</f>
        <v/>
      </c>
      <c r="F2399" t="str">
        <f>""</f>
        <v/>
      </c>
      <c r="H2399" t="str">
        <f t="shared" si="54"/>
        <v>TASC - FSA  FEES</v>
      </c>
    </row>
    <row r="2400" spans="5:8" x14ac:dyDescent="0.25">
      <c r="E2400" t="str">
        <f>""</f>
        <v/>
      </c>
      <c r="F2400" t="str">
        <f>""</f>
        <v/>
      </c>
      <c r="H2400" t="str">
        <f t="shared" si="54"/>
        <v>TASC - FSA  FEES</v>
      </c>
    </row>
    <row r="2401" spans="5:8" x14ac:dyDescent="0.25">
      <c r="E2401" t="str">
        <f>""</f>
        <v/>
      </c>
      <c r="F2401" t="str">
        <f>""</f>
        <v/>
      </c>
      <c r="H2401" t="str">
        <f t="shared" si="54"/>
        <v>TASC - FSA  FEES</v>
      </c>
    </row>
    <row r="2402" spans="5:8" x14ac:dyDescent="0.25">
      <c r="E2402" t="str">
        <f>""</f>
        <v/>
      </c>
      <c r="F2402" t="str">
        <f>""</f>
        <v/>
      </c>
      <c r="H2402" t="str">
        <f t="shared" si="54"/>
        <v>TASC - FSA  FEES</v>
      </c>
    </row>
    <row r="2403" spans="5:8" x14ac:dyDescent="0.25">
      <c r="E2403" t="str">
        <f>""</f>
        <v/>
      </c>
      <c r="F2403" t="str">
        <f>""</f>
        <v/>
      </c>
      <c r="H2403" t="str">
        <f t="shared" si="54"/>
        <v>TASC - FSA  FEES</v>
      </c>
    </row>
    <row r="2404" spans="5:8" x14ac:dyDescent="0.25">
      <c r="E2404" t="str">
        <f>""</f>
        <v/>
      </c>
      <c r="F2404" t="str">
        <f>""</f>
        <v/>
      </c>
      <c r="H2404" t="str">
        <f t="shared" si="54"/>
        <v>TASC - FSA  FEES</v>
      </c>
    </row>
    <row r="2405" spans="5:8" x14ac:dyDescent="0.25">
      <c r="E2405" t="str">
        <f>""</f>
        <v/>
      </c>
      <c r="F2405" t="str">
        <f>""</f>
        <v/>
      </c>
      <c r="H2405" t="str">
        <f t="shared" si="54"/>
        <v>TASC - FSA  FEES</v>
      </c>
    </row>
    <row r="2406" spans="5:8" x14ac:dyDescent="0.25">
      <c r="E2406" t="str">
        <f>""</f>
        <v/>
      </c>
      <c r="F2406" t="str">
        <f>""</f>
        <v/>
      </c>
      <c r="H2406" t="str">
        <f t="shared" si="54"/>
        <v>TASC - FSA  FEES</v>
      </c>
    </row>
    <row r="2407" spans="5:8" x14ac:dyDescent="0.25">
      <c r="E2407" t="str">
        <f>"FSF202107074400"</f>
        <v>FSF202107074400</v>
      </c>
      <c r="F2407" t="str">
        <f>"TASC - FSA  FEES"</f>
        <v>TASC - FSA  FEES</v>
      </c>
      <c r="G2407" s="5">
        <v>10.8</v>
      </c>
      <c r="H2407" t="str">
        <f t="shared" si="54"/>
        <v>TASC - FSA  FEES</v>
      </c>
    </row>
    <row r="2408" spans="5:8" x14ac:dyDescent="0.25">
      <c r="E2408" t="str">
        <f>"HRA202107074399"</f>
        <v>HRA202107074399</v>
      </c>
      <c r="F2408" t="str">
        <f>"TASC HRA"</f>
        <v>TASC HRA</v>
      </c>
      <c r="G2408" s="5">
        <v>1500.12</v>
      </c>
      <c r="H2408" t="str">
        <f t="shared" ref="H2408:H2413" si="55">"TASC HRA"</f>
        <v>TASC HRA</v>
      </c>
    </row>
    <row r="2409" spans="5:8" x14ac:dyDescent="0.25">
      <c r="E2409" t="str">
        <f>""</f>
        <v/>
      </c>
      <c r="F2409" t="str">
        <f>""</f>
        <v/>
      </c>
      <c r="H2409" t="str">
        <f t="shared" si="55"/>
        <v>TASC HRA</v>
      </c>
    </row>
    <row r="2410" spans="5:8" x14ac:dyDescent="0.25">
      <c r="E2410" t="str">
        <f>""</f>
        <v/>
      </c>
      <c r="F2410" t="str">
        <f>""</f>
        <v/>
      </c>
      <c r="H2410" t="str">
        <f t="shared" si="55"/>
        <v>TASC HRA</v>
      </c>
    </row>
    <row r="2411" spans="5:8" x14ac:dyDescent="0.25">
      <c r="E2411" t="str">
        <f>""</f>
        <v/>
      </c>
      <c r="F2411" t="str">
        <f>""</f>
        <v/>
      </c>
      <c r="H2411" t="str">
        <f t="shared" si="55"/>
        <v>TASC HRA</v>
      </c>
    </row>
    <row r="2412" spans="5:8" x14ac:dyDescent="0.25">
      <c r="E2412" t="str">
        <f>""</f>
        <v/>
      </c>
      <c r="F2412" t="str">
        <f>""</f>
        <v/>
      </c>
      <c r="H2412" t="str">
        <f t="shared" si="55"/>
        <v>TASC HRA</v>
      </c>
    </row>
    <row r="2413" spans="5:8" x14ac:dyDescent="0.25">
      <c r="E2413" t="str">
        <f>""</f>
        <v/>
      </c>
      <c r="F2413" t="str">
        <f>""</f>
        <v/>
      </c>
      <c r="H2413" t="str">
        <f t="shared" si="55"/>
        <v>TASC HRA</v>
      </c>
    </row>
    <row r="2414" spans="5:8" x14ac:dyDescent="0.25">
      <c r="E2414" t="str">
        <f>"HRF202107074399"</f>
        <v>HRF202107074399</v>
      </c>
      <c r="F2414" t="str">
        <f>"TASC - HRA FEES"</f>
        <v>TASC - HRA FEES</v>
      </c>
      <c r="G2414" s="5">
        <v>837</v>
      </c>
      <c r="H2414" t="str">
        <f t="shared" ref="H2414:H2445" si="56">"TASC - HRA FEES"</f>
        <v>TASC - HRA FEES</v>
      </c>
    </row>
    <row r="2415" spans="5:8" x14ac:dyDescent="0.25">
      <c r="E2415" t="str">
        <f>""</f>
        <v/>
      </c>
      <c r="F2415" t="str">
        <f>""</f>
        <v/>
      </c>
      <c r="H2415" t="str">
        <f t="shared" si="56"/>
        <v>TASC - HRA FEES</v>
      </c>
    </row>
    <row r="2416" spans="5:8" x14ac:dyDescent="0.25">
      <c r="E2416" t="str">
        <f>""</f>
        <v/>
      </c>
      <c r="F2416" t="str">
        <f>""</f>
        <v/>
      </c>
      <c r="H2416" t="str">
        <f t="shared" si="56"/>
        <v>TASC - HRA FEES</v>
      </c>
    </row>
    <row r="2417" spans="5:8" x14ac:dyDescent="0.25">
      <c r="E2417" t="str">
        <f>""</f>
        <v/>
      </c>
      <c r="F2417" t="str">
        <f>""</f>
        <v/>
      </c>
      <c r="H2417" t="str">
        <f t="shared" si="56"/>
        <v>TASC - HRA FEES</v>
      </c>
    </row>
    <row r="2418" spans="5:8" x14ac:dyDescent="0.25">
      <c r="E2418" t="str">
        <f>""</f>
        <v/>
      </c>
      <c r="F2418" t="str">
        <f>""</f>
        <v/>
      </c>
      <c r="H2418" t="str">
        <f t="shared" si="56"/>
        <v>TASC - HRA FEES</v>
      </c>
    </row>
    <row r="2419" spans="5:8" x14ac:dyDescent="0.25">
      <c r="E2419" t="str">
        <f>""</f>
        <v/>
      </c>
      <c r="F2419" t="str">
        <f>""</f>
        <v/>
      </c>
      <c r="H2419" t="str">
        <f t="shared" si="56"/>
        <v>TASC - HRA FEES</v>
      </c>
    </row>
    <row r="2420" spans="5:8" x14ac:dyDescent="0.25">
      <c r="E2420" t="str">
        <f>""</f>
        <v/>
      </c>
      <c r="F2420" t="str">
        <f>""</f>
        <v/>
      </c>
      <c r="H2420" t="str">
        <f t="shared" si="56"/>
        <v>TASC - HRA FEES</v>
      </c>
    </row>
    <row r="2421" spans="5:8" x14ac:dyDescent="0.25">
      <c r="E2421" t="str">
        <f>""</f>
        <v/>
      </c>
      <c r="F2421" t="str">
        <f>""</f>
        <v/>
      </c>
      <c r="H2421" t="str">
        <f t="shared" si="56"/>
        <v>TASC - HRA FEES</v>
      </c>
    </row>
    <row r="2422" spans="5:8" x14ac:dyDescent="0.25">
      <c r="E2422" t="str">
        <f>""</f>
        <v/>
      </c>
      <c r="F2422" t="str">
        <f>""</f>
        <v/>
      </c>
      <c r="H2422" t="str">
        <f t="shared" si="56"/>
        <v>TASC - HRA FEES</v>
      </c>
    </row>
    <row r="2423" spans="5:8" x14ac:dyDescent="0.25">
      <c r="E2423" t="str">
        <f>""</f>
        <v/>
      </c>
      <c r="F2423" t="str">
        <f>""</f>
        <v/>
      </c>
      <c r="H2423" t="str">
        <f t="shared" si="56"/>
        <v>TASC - HRA FEES</v>
      </c>
    </row>
    <row r="2424" spans="5:8" x14ac:dyDescent="0.25">
      <c r="E2424" t="str">
        <f>""</f>
        <v/>
      </c>
      <c r="F2424" t="str">
        <f>""</f>
        <v/>
      </c>
      <c r="H2424" t="str">
        <f t="shared" si="56"/>
        <v>TASC - HRA FEES</v>
      </c>
    </row>
    <row r="2425" spans="5:8" x14ac:dyDescent="0.25">
      <c r="E2425" t="str">
        <f>""</f>
        <v/>
      </c>
      <c r="F2425" t="str">
        <f>""</f>
        <v/>
      </c>
      <c r="H2425" t="str">
        <f t="shared" si="56"/>
        <v>TASC - HRA FEES</v>
      </c>
    </row>
    <row r="2426" spans="5:8" x14ac:dyDescent="0.25">
      <c r="E2426" t="str">
        <f>""</f>
        <v/>
      </c>
      <c r="F2426" t="str">
        <f>""</f>
        <v/>
      </c>
      <c r="H2426" t="str">
        <f t="shared" si="56"/>
        <v>TASC - HRA FEES</v>
      </c>
    </row>
    <row r="2427" spans="5:8" x14ac:dyDescent="0.25">
      <c r="E2427" t="str">
        <f>""</f>
        <v/>
      </c>
      <c r="F2427" t="str">
        <f>""</f>
        <v/>
      </c>
      <c r="H2427" t="str">
        <f t="shared" si="56"/>
        <v>TASC - HRA FEES</v>
      </c>
    </row>
    <row r="2428" spans="5:8" x14ac:dyDescent="0.25">
      <c r="E2428" t="str">
        <f>""</f>
        <v/>
      </c>
      <c r="F2428" t="str">
        <f>""</f>
        <v/>
      </c>
      <c r="H2428" t="str">
        <f t="shared" si="56"/>
        <v>TASC - HRA FEES</v>
      </c>
    </row>
    <row r="2429" spans="5:8" x14ac:dyDescent="0.25">
      <c r="E2429" t="str">
        <f>""</f>
        <v/>
      </c>
      <c r="F2429" t="str">
        <f>""</f>
        <v/>
      </c>
      <c r="H2429" t="str">
        <f t="shared" si="56"/>
        <v>TASC - HRA FEES</v>
      </c>
    </row>
    <row r="2430" spans="5:8" x14ac:dyDescent="0.25">
      <c r="E2430" t="str">
        <f>""</f>
        <v/>
      </c>
      <c r="F2430" t="str">
        <f>""</f>
        <v/>
      </c>
      <c r="H2430" t="str">
        <f t="shared" si="56"/>
        <v>TASC - HRA FEES</v>
      </c>
    </row>
    <row r="2431" spans="5:8" x14ac:dyDescent="0.25">
      <c r="E2431" t="str">
        <f>""</f>
        <v/>
      </c>
      <c r="F2431" t="str">
        <f>""</f>
        <v/>
      </c>
      <c r="H2431" t="str">
        <f t="shared" si="56"/>
        <v>TASC - HRA FEES</v>
      </c>
    </row>
    <row r="2432" spans="5:8" x14ac:dyDescent="0.25">
      <c r="E2432" t="str">
        <f>""</f>
        <v/>
      </c>
      <c r="F2432" t="str">
        <f>""</f>
        <v/>
      </c>
      <c r="H2432" t="str">
        <f t="shared" si="56"/>
        <v>TASC - HRA FEES</v>
      </c>
    </row>
    <row r="2433" spans="5:8" x14ac:dyDescent="0.25">
      <c r="E2433" t="str">
        <f>""</f>
        <v/>
      </c>
      <c r="F2433" t="str">
        <f>""</f>
        <v/>
      </c>
      <c r="H2433" t="str">
        <f t="shared" si="56"/>
        <v>TASC - HRA FEES</v>
      </c>
    </row>
    <row r="2434" spans="5:8" x14ac:dyDescent="0.25">
      <c r="E2434" t="str">
        <f>""</f>
        <v/>
      </c>
      <c r="F2434" t="str">
        <f>""</f>
        <v/>
      </c>
      <c r="H2434" t="str">
        <f t="shared" si="56"/>
        <v>TASC - HRA FEES</v>
      </c>
    </row>
    <row r="2435" spans="5:8" x14ac:dyDescent="0.25">
      <c r="E2435" t="str">
        <f>""</f>
        <v/>
      </c>
      <c r="F2435" t="str">
        <f>""</f>
        <v/>
      </c>
      <c r="H2435" t="str">
        <f t="shared" si="56"/>
        <v>TASC - HRA FEES</v>
      </c>
    </row>
    <row r="2436" spans="5:8" x14ac:dyDescent="0.25">
      <c r="E2436" t="str">
        <f>""</f>
        <v/>
      </c>
      <c r="F2436" t="str">
        <f>""</f>
        <v/>
      </c>
      <c r="H2436" t="str">
        <f t="shared" si="56"/>
        <v>TASC - HRA FEES</v>
      </c>
    </row>
    <row r="2437" spans="5:8" x14ac:dyDescent="0.25">
      <c r="E2437" t="str">
        <f>""</f>
        <v/>
      </c>
      <c r="F2437" t="str">
        <f>""</f>
        <v/>
      </c>
      <c r="H2437" t="str">
        <f t="shared" si="56"/>
        <v>TASC - HRA FEES</v>
      </c>
    </row>
    <row r="2438" spans="5:8" x14ac:dyDescent="0.25">
      <c r="E2438" t="str">
        <f>""</f>
        <v/>
      </c>
      <c r="F2438" t="str">
        <f>""</f>
        <v/>
      </c>
      <c r="H2438" t="str">
        <f t="shared" si="56"/>
        <v>TASC - HRA FEES</v>
      </c>
    </row>
    <row r="2439" spans="5:8" x14ac:dyDescent="0.25">
      <c r="E2439" t="str">
        <f>""</f>
        <v/>
      </c>
      <c r="F2439" t="str">
        <f>""</f>
        <v/>
      </c>
      <c r="H2439" t="str">
        <f t="shared" si="56"/>
        <v>TASC - HRA FEES</v>
      </c>
    </row>
    <row r="2440" spans="5:8" x14ac:dyDescent="0.25">
      <c r="E2440" t="str">
        <f>""</f>
        <v/>
      </c>
      <c r="F2440" t="str">
        <f>""</f>
        <v/>
      </c>
      <c r="H2440" t="str">
        <f t="shared" si="56"/>
        <v>TASC - HRA FEES</v>
      </c>
    </row>
    <row r="2441" spans="5:8" x14ac:dyDescent="0.25">
      <c r="E2441" t="str">
        <f>""</f>
        <v/>
      </c>
      <c r="F2441" t="str">
        <f>""</f>
        <v/>
      </c>
      <c r="H2441" t="str">
        <f t="shared" si="56"/>
        <v>TASC - HRA FEES</v>
      </c>
    </row>
    <row r="2442" spans="5:8" x14ac:dyDescent="0.25">
      <c r="E2442" t="str">
        <f>""</f>
        <v/>
      </c>
      <c r="F2442" t="str">
        <f>""</f>
        <v/>
      </c>
      <c r="H2442" t="str">
        <f t="shared" si="56"/>
        <v>TASC - HRA FEES</v>
      </c>
    </row>
    <row r="2443" spans="5:8" x14ac:dyDescent="0.25">
      <c r="E2443" t="str">
        <f>""</f>
        <v/>
      </c>
      <c r="F2443" t="str">
        <f>""</f>
        <v/>
      </c>
      <c r="H2443" t="str">
        <f t="shared" si="56"/>
        <v>TASC - HRA FEES</v>
      </c>
    </row>
    <row r="2444" spans="5:8" x14ac:dyDescent="0.25">
      <c r="E2444" t="str">
        <f>""</f>
        <v/>
      </c>
      <c r="F2444" t="str">
        <f>""</f>
        <v/>
      </c>
      <c r="H2444" t="str">
        <f t="shared" si="56"/>
        <v>TASC - HRA FEES</v>
      </c>
    </row>
    <row r="2445" spans="5:8" x14ac:dyDescent="0.25">
      <c r="E2445" t="str">
        <f>""</f>
        <v/>
      </c>
      <c r="F2445" t="str">
        <f>""</f>
        <v/>
      </c>
      <c r="H2445" t="str">
        <f t="shared" si="56"/>
        <v>TASC - HRA FEES</v>
      </c>
    </row>
    <row r="2446" spans="5:8" x14ac:dyDescent="0.25">
      <c r="E2446" t="str">
        <f>""</f>
        <v/>
      </c>
      <c r="F2446" t="str">
        <f>""</f>
        <v/>
      </c>
      <c r="H2446" t="str">
        <f t="shared" ref="H2446:H2465" si="57">"TASC - HRA FEES"</f>
        <v>TASC - HRA FEES</v>
      </c>
    </row>
    <row r="2447" spans="5:8" x14ac:dyDescent="0.25">
      <c r="E2447" t="str">
        <f>""</f>
        <v/>
      </c>
      <c r="F2447" t="str">
        <f>""</f>
        <v/>
      </c>
      <c r="H2447" t="str">
        <f t="shared" si="57"/>
        <v>TASC - HRA FEES</v>
      </c>
    </row>
    <row r="2448" spans="5:8" x14ac:dyDescent="0.25">
      <c r="E2448" t="str">
        <f>""</f>
        <v/>
      </c>
      <c r="F2448" t="str">
        <f>""</f>
        <v/>
      </c>
      <c r="H2448" t="str">
        <f t="shared" si="57"/>
        <v>TASC - HRA FEES</v>
      </c>
    </row>
    <row r="2449" spans="5:8" x14ac:dyDescent="0.25">
      <c r="E2449" t="str">
        <f>""</f>
        <v/>
      </c>
      <c r="F2449" t="str">
        <f>""</f>
        <v/>
      </c>
      <c r="H2449" t="str">
        <f t="shared" si="57"/>
        <v>TASC - HRA FEES</v>
      </c>
    </row>
    <row r="2450" spans="5:8" x14ac:dyDescent="0.25">
      <c r="E2450" t="str">
        <f>""</f>
        <v/>
      </c>
      <c r="F2450" t="str">
        <f>""</f>
        <v/>
      </c>
      <c r="H2450" t="str">
        <f t="shared" si="57"/>
        <v>TASC - HRA FEES</v>
      </c>
    </row>
    <row r="2451" spans="5:8" x14ac:dyDescent="0.25">
      <c r="E2451" t="str">
        <f>""</f>
        <v/>
      </c>
      <c r="F2451" t="str">
        <f>""</f>
        <v/>
      </c>
      <c r="H2451" t="str">
        <f t="shared" si="57"/>
        <v>TASC - HRA FEES</v>
      </c>
    </row>
    <row r="2452" spans="5:8" x14ac:dyDescent="0.25">
      <c r="E2452" t="str">
        <f>""</f>
        <v/>
      </c>
      <c r="F2452" t="str">
        <f>""</f>
        <v/>
      </c>
      <c r="H2452" t="str">
        <f t="shared" si="57"/>
        <v>TASC - HRA FEES</v>
      </c>
    </row>
    <row r="2453" spans="5:8" x14ac:dyDescent="0.25">
      <c r="E2453" t="str">
        <f>""</f>
        <v/>
      </c>
      <c r="F2453" t="str">
        <f>""</f>
        <v/>
      </c>
      <c r="H2453" t="str">
        <f t="shared" si="57"/>
        <v>TASC - HRA FEES</v>
      </c>
    </row>
    <row r="2454" spans="5:8" x14ac:dyDescent="0.25">
      <c r="E2454" t="str">
        <f>""</f>
        <v/>
      </c>
      <c r="F2454" t="str">
        <f>""</f>
        <v/>
      </c>
      <c r="H2454" t="str">
        <f t="shared" si="57"/>
        <v>TASC - HRA FEES</v>
      </c>
    </row>
    <row r="2455" spans="5:8" x14ac:dyDescent="0.25">
      <c r="E2455" t="str">
        <f>""</f>
        <v/>
      </c>
      <c r="F2455" t="str">
        <f>""</f>
        <v/>
      </c>
      <c r="H2455" t="str">
        <f t="shared" si="57"/>
        <v>TASC - HRA FEES</v>
      </c>
    </row>
    <row r="2456" spans="5:8" x14ac:dyDescent="0.25">
      <c r="E2456" t="str">
        <f>""</f>
        <v/>
      </c>
      <c r="F2456" t="str">
        <f>""</f>
        <v/>
      </c>
      <c r="H2456" t="str">
        <f t="shared" si="57"/>
        <v>TASC - HRA FEES</v>
      </c>
    </row>
    <row r="2457" spans="5:8" x14ac:dyDescent="0.25">
      <c r="E2457" t="str">
        <f>""</f>
        <v/>
      </c>
      <c r="F2457" t="str">
        <f>""</f>
        <v/>
      </c>
      <c r="H2457" t="str">
        <f t="shared" si="57"/>
        <v>TASC - HRA FEES</v>
      </c>
    </row>
    <row r="2458" spans="5:8" x14ac:dyDescent="0.25">
      <c r="E2458" t="str">
        <f>""</f>
        <v/>
      </c>
      <c r="F2458" t="str">
        <f>""</f>
        <v/>
      </c>
      <c r="H2458" t="str">
        <f t="shared" si="57"/>
        <v>TASC - HRA FEES</v>
      </c>
    </row>
    <row r="2459" spans="5:8" x14ac:dyDescent="0.25">
      <c r="E2459" t="str">
        <f>""</f>
        <v/>
      </c>
      <c r="F2459" t="str">
        <f>""</f>
        <v/>
      </c>
      <c r="H2459" t="str">
        <f t="shared" si="57"/>
        <v>TASC - HRA FEES</v>
      </c>
    </row>
    <row r="2460" spans="5:8" x14ac:dyDescent="0.25">
      <c r="E2460" t="str">
        <f>""</f>
        <v/>
      </c>
      <c r="F2460" t="str">
        <f>""</f>
        <v/>
      </c>
      <c r="H2460" t="str">
        <f t="shared" si="57"/>
        <v>TASC - HRA FEES</v>
      </c>
    </row>
    <row r="2461" spans="5:8" x14ac:dyDescent="0.25">
      <c r="E2461" t="str">
        <f>""</f>
        <v/>
      </c>
      <c r="F2461" t="str">
        <f>""</f>
        <v/>
      </c>
      <c r="H2461" t="str">
        <f t="shared" si="57"/>
        <v>TASC - HRA FEES</v>
      </c>
    </row>
    <row r="2462" spans="5:8" x14ac:dyDescent="0.25">
      <c r="E2462" t="str">
        <f>""</f>
        <v/>
      </c>
      <c r="F2462" t="str">
        <f>""</f>
        <v/>
      </c>
      <c r="H2462" t="str">
        <f t="shared" si="57"/>
        <v>TASC - HRA FEES</v>
      </c>
    </row>
    <row r="2463" spans="5:8" x14ac:dyDescent="0.25">
      <c r="E2463" t="str">
        <f>""</f>
        <v/>
      </c>
      <c r="F2463" t="str">
        <f>""</f>
        <v/>
      </c>
      <c r="H2463" t="str">
        <f t="shared" si="57"/>
        <v>TASC - HRA FEES</v>
      </c>
    </row>
    <row r="2464" spans="5:8" x14ac:dyDescent="0.25">
      <c r="E2464" t="str">
        <f>""</f>
        <v/>
      </c>
      <c r="F2464" t="str">
        <f>""</f>
        <v/>
      </c>
      <c r="H2464" t="str">
        <f t="shared" si="57"/>
        <v>TASC - HRA FEES</v>
      </c>
    </row>
    <row r="2465" spans="1:8" x14ac:dyDescent="0.25">
      <c r="E2465" t="str">
        <f>"HRF202107074400"</f>
        <v>HRF202107074400</v>
      </c>
      <c r="F2465" t="str">
        <f>"TASC - HRA FEES"</f>
        <v>TASC - HRA FEES</v>
      </c>
      <c r="G2465" s="5">
        <v>25.2</v>
      </c>
      <c r="H2465" t="str">
        <f t="shared" si="57"/>
        <v>TASC - HRA FEES</v>
      </c>
    </row>
    <row r="2466" spans="1:8" x14ac:dyDescent="0.25">
      <c r="A2466" t="s">
        <v>445</v>
      </c>
      <c r="B2466">
        <v>1206</v>
      </c>
      <c r="C2466" s="5">
        <v>8687.64</v>
      </c>
      <c r="D2466" s="3">
        <v>44400</v>
      </c>
      <c r="E2466" t="str">
        <f>"FSA202107214729"</f>
        <v>FSA202107214729</v>
      </c>
      <c r="F2466" t="str">
        <f>"TASC FSA"</f>
        <v>TASC FSA</v>
      </c>
      <c r="G2466" s="5">
        <v>7200.1</v>
      </c>
      <c r="H2466" t="str">
        <f>"TASC FSA"</f>
        <v>TASC FSA</v>
      </c>
    </row>
    <row r="2467" spans="1:8" x14ac:dyDescent="0.25">
      <c r="E2467" t="str">
        <f>"FSA202107214730"</f>
        <v>FSA202107214730</v>
      </c>
      <c r="F2467" t="str">
        <f>"TASC FSA"</f>
        <v>TASC FSA</v>
      </c>
      <c r="G2467" s="5">
        <v>328.74</v>
      </c>
      <c r="H2467" t="str">
        <f>"TASC FSA"</f>
        <v>TASC FSA</v>
      </c>
    </row>
    <row r="2468" spans="1:8" x14ac:dyDescent="0.25">
      <c r="E2468" t="str">
        <f>"FSC202107214729"</f>
        <v>FSC202107214729</v>
      </c>
      <c r="F2468" t="str">
        <f>"TASC DEPENDENT CARE"</f>
        <v>TASC DEPENDENT CARE</v>
      </c>
      <c r="G2468" s="5">
        <v>50</v>
      </c>
      <c r="H2468" t="str">
        <f>"TASC DEPENDENT CARE"</f>
        <v>TASC DEPENDENT CARE</v>
      </c>
    </row>
    <row r="2469" spans="1:8" x14ac:dyDescent="0.25">
      <c r="E2469" t="str">
        <f>"FSF202107214729"</f>
        <v>FSF202107214729</v>
      </c>
      <c r="F2469" t="str">
        <f>"TASC - FSA  FEES"</f>
        <v>TASC - FSA  FEES</v>
      </c>
      <c r="G2469" s="5">
        <v>243</v>
      </c>
      <c r="H2469" t="str">
        <f t="shared" ref="H2469:H2508" si="58">"TASC - FSA  FEES"</f>
        <v>TASC - FSA  FEES</v>
      </c>
    </row>
    <row r="2470" spans="1:8" x14ac:dyDescent="0.25">
      <c r="E2470" t="str">
        <f>""</f>
        <v/>
      </c>
      <c r="F2470" t="str">
        <f>""</f>
        <v/>
      </c>
      <c r="H2470" t="str">
        <f t="shared" si="58"/>
        <v>TASC - FSA  FEES</v>
      </c>
    </row>
    <row r="2471" spans="1:8" x14ac:dyDescent="0.25">
      <c r="E2471" t="str">
        <f>""</f>
        <v/>
      </c>
      <c r="F2471" t="str">
        <f>""</f>
        <v/>
      </c>
      <c r="H2471" t="str">
        <f t="shared" si="58"/>
        <v>TASC - FSA  FEES</v>
      </c>
    </row>
    <row r="2472" spans="1:8" x14ac:dyDescent="0.25">
      <c r="E2472" t="str">
        <f>""</f>
        <v/>
      </c>
      <c r="F2472" t="str">
        <f>""</f>
        <v/>
      </c>
      <c r="H2472" t="str">
        <f t="shared" si="58"/>
        <v>TASC - FSA  FEES</v>
      </c>
    </row>
    <row r="2473" spans="1:8" x14ac:dyDescent="0.25">
      <c r="E2473" t="str">
        <f>""</f>
        <v/>
      </c>
      <c r="F2473" t="str">
        <f>""</f>
        <v/>
      </c>
      <c r="H2473" t="str">
        <f t="shared" si="58"/>
        <v>TASC - FSA  FEES</v>
      </c>
    </row>
    <row r="2474" spans="1:8" x14ac:dyDescent="0.25">
      <c r="E2474" t="str">
        <f>""</f>
        <v/>
      </c>
      <c r="F2474" t="str">
        <f>""</f>
        <v/>
      </c>
      <c r="H2474" t="str">
        <f t="shared" si="58"/>
        <v>TASC - FSA  FEES</v>
      </c>
    </row>
    <row r="2475" spans="1:8" x14ac:dyDescent="0.25">
      <c r="E2475" t="str">
        <f>""</f>
        <v/>
      </c>
      <c r="F2475" t="str">
        <f>""</f>
        <v/>
      </c>
      <c r="H2475" t="str">
        <f t="shared" si="58"/>
        <v>TASC - FSA  FEES</v>
      </c>
    </row>
    <row r="2476" spans="1:8" x14ac:dyDescent="0.25">
      <c r="E2476" t="str">
        <f>""</f>
        <v/>
      </c>
      <c r="F2476" t="str">
        <f>""</f>
        <v/>
      </c>
      <c r="H2476" t="str">
        <f t="shared" si="58"/>
        <v>TASC - FSA  FEES</v>
      </c>
    </row>
    <row r="2477" spans="1:8" x14ac:dyDescent="0.25">
      <c r="E2477" t="str">
        <f>""</f>
        <v/>
      </c>
      <c r="F2477" t="str">
        <f>""</f>
        <v/>
      </c>
      <c r="H2477" t="str">
        <f t="shared" si="58"/>
        <v>TASC - FSA  FEES</v>
      </c>
    </row>
    <row r="2478" spans="1:8" x14ac:dyDescent="0.25">
      <c r="E2478" t="str">
        <f>""</f>
        <v/>
      </c>
      <c r="F2478" t="str">
        <f>""</f>
        <v/>
      </c>
      <c r="H2478" t="str">
        <f t="shared" si="58"/>
        <v>TASC - FSA  FEES</v>
      </c>
    </row>
    <row r="2479" spans="1:8" x14ac:dyDescent="0.25">
      <c r="E2479" t="str">
        <f>""</f>
        <v/>
      </c>
      <c r="F2479" t="str">
        <f>""</f>
        <v/>
      </c>
      <c r="H2479" t="str">
        <f t="shared" si="58"/>
        <v>TASC - FSA  FEES</v>
      </c>
    </row>
    <row r="2480" spans="1:8" x14ac:dyDescent="0.25">
      <c r="E2480" t="str">
        <f>""</f>
        <v/>
      </c>
      <c r="F2480" t="str">
        <f>""</f>
        <v/>
      </c>
      <c r="H2480" t="str">
        <f t="shared" si="58"/>
        <v>TASC - FSA  FEES</v>
      </c>
    </row>
    <row r="2481" spans="5:8" x14ac:dyDescent="0.25">
      <c r="E2481" t="str">
        <f>""</f>
        <v/>
      </c>
      <c r="F2481" t="str">
        <f>""</f>
        <v/>
      </c>
      <c r="H2481" t="str">
        <f t="shared" si="58"/>
        <v>TASC - FSA  FEES</v>
      </c>
    </row>
    <row r="2482" spans="5:8" x14ac:dyDescent="0.25">
      <c r="E2482" t="str">
        <f>""</f>
        <v/>
      </c>
      <c r="F2482" t="str">
        <f>""</f>
        <v/>
      </c>
      <c r="H2482" t="str">
        <f t="shared" si="58"/>
        <v>TASC - FSA  FEES</v>
      </c>
    </row>
    <row r="2483" spans="5:8" x14ac:dyDescent="0.25">
      <c r="E2483" t="str">
        <f>""</f>
        <v/>
      </c>
      <c r="F2483" t="str">
        <f>""</f>
        <v/>
      </c>
      <c r="H2483" t="str">
        <f t="shared" si="58"/>
        <v>TASC - FSA  FEES</v>
      </c>
    </row>
    <row r="2484" spans="5:8" x14ac:dyDescent="0.25">
      <c r="E2484" t="str">
        <f>""</f>
        <v/>
      </c>
      <c r="F2484" t="str">
        <f>""</f>
        <v/>
      </c>
      <c r="H2484" t="str">
        <f t="shared" si="58"/>
        <v>TASC - FSA  FEES</v>
      </c>
    </row>
    <row r="2485" spans="5:8" x14ac:dyDescent="0.25">
      <c r="E2485" t="str">
        <f>""</f>
        <v/>
      </c>
      <c r="F2485" t="str">
        <f>""</f>
        <v/>
      </c>
      <c r="H2485" t="str">
        <f t="shared" si="58"/>
        <v>TASC - FSA  FEES</v>
      </c>
    </row>
    <row r="2486" spans="5:8" x14ac:dyDescent="0.25">
      <c r="E2486" t="str">
        <f>""</f>
        <v/>
      </c>
      <c r="F2486" t="str">
        <f>""</f>
        <v/>
      </c>
      <c r="H2486" t="str">
        <f t="shared" si="58"/>
        <v>TASC - FSA  FEES</v>
      </c>
    </row>
    <row r="2487" spans="5:8" x14ac:dyDescent="0.25">
      <c r="E2487" t="str">
        <f>""</f>
        <v/>
      </c>
      <c r="F2487" t="str">
        <f>""</f>
        <v/>
      </c>
      <c r="H2487" t="str">
        <f t="shared" si="58"/>
        <v>TASC - FSA  FEES</v>
      </c>
    </row>
    <row r="2488" spans="5:8" x14ac:dyDescent="0.25">
      <c r="E2488" t="str">
        <f>""</f>
        <v/>
      </c>
      <c r="F2488" t="str">
        <f>""</f>
        <v/>
      </c>
      <c r="H2488" t="str">
        <f t="shared" si="58"/>
        <v>TASC - FSA  FEES</v>
      </c>
    </row>
    <row r="2489" spans="5:8" x14ac:dyDescent="0.25">
      <c r="E2489" t="str">
        <f>""</f>
        <v/>
      </c>
      <c r="F2489" t="str">
        <f>""</f>
        <v/>
      </c>
      <c r="H2489" t="str">
        <f t="shared" si="58"/>
        <v>TASC - FSA  FEES</v>
      </c>
    </row>
    <row r="2490" spans="5:8" x14ac:dyDescent="0.25">
      <c r="E2490" t="str">
        <f>""</f>
        <v/>
      </c>
      <c r="F2490" t="str">
        <f>""</f>
        <v/>
      </c>
      <c r="H2490" t="str">
        <f t="shared" si="58"/>
        <v>TASC - FSA  FEES</v>
      </c>
    </row>
    <row r="2491" spans="5:8" x14ac:dyDescent="0.25">
      <c r="E2491" t="str">
        <f>""</f>
        <v/>
      </c>
      <c r="F2491" t="str">
        <f>""</f>
        <v/>
      </c>
      <c r="H2491" t="str">
        <f t="shared" si="58"/>
        <v>TASC - FSA  FEES</v>
      </c>
    </row>
    <row r="2492" spans="5:8" x14ac:dyDescent="0.25">
      <c r="E2492" t="str">
        <f>""</f>
        <v/>
      </c>
      <c r="F2492" t="str">
        <f>""</f>
        <v/>
      </c>
      <c r="H2492" t="str">
        <f t="shared" si="58"/>
        <v>TASC - FSA  FEES</v>
      </c>
    </row>
    <row r="2493" spans="5:8" x14ac:dyDescent="0.25">
      <c r="E2493" t="str">
        <f>""</f>
        <v/>
      </c>
      <c r="F2493" t="str">
        <f>""</f>
        <v/>
      </c>
      <c r="H2493" t="str">
        <f t="shared" si="58"/>
        <v>TASC - FSA  FEES</v>
      </c>
    </row>
    <row r="2494" spans="5:8" x14ac:dyDescent="0.25">
      <c r="E2494" t="str">
        <f>""</f>
        <v/>
      </c>
      <c r="F2494" t="str">
        <f>""</f>
        <v/>
      </c>
      <c r="H2494" t="str">
        <f t="shared" si="58"/>
        <v>TASC - FSA  FEES</v>
      </c>
    </row>
    <row r="2495" spans="5:8" x14ac:dyDescent="0.25">
      <c r="E2495" t="str">
        <f>""</f>
        <v/>
      </c>
      <c r="F2495" t="str">
        <f>""</f>
        <v/>
      </c>
      <c r="H2495" t="str">
        <f t="shared" si="58"/>
        <v>TASC - FSA  FEES</v>
      </c>
    </row>
    <row r="2496" spans="5:8" x14ac:dyDescent="0.25">
      <c r="E2496" t="str">
        <f>""</f>
        <v/>
      </c>
      <c r="F2496" t="str">
        <f>""</f>
        <v/>
      </c>
      <c r="H2496" t="str">
        <f t="shared" si="58"/>
        <v>TASC - FSA  FEES</v>
      </c>
    </row>
    <row r="2497" spans="5:8" x14ac:dyDescent="0.25">
      <c r="E2497" t="str">
        <f>""</f>
        <v/>
      </c>
      <c r="F2497" t="str">
        <f>""</f>
        <v/>
      </c>
      <c r="H2497" t="str">
        <f t="shared" si="58"/>
        <v>TASC - FSA  FEES</v>
      </c>
    </row>
    <row r="2498" spans="5:8" x14ac:dyDescent="0.25">
      <c r="E2498" t="str">
        <f>""</f>
        <v/>
      </c>
      <c r="F2498" t="str">
        <f>""</f>
        <v/>
      </c>
      <c r="H2498" t="str">
        <f t="shared" si="58"/>
        <v>TASC - FSA  FEES</v>
      </c>
    </row>
    <row r="2499" spans="5:8" x14ac:dyDescent="0.25">
      <c r="E2499" t="str">
        <f>""</f>
        <v/>
      </c>
      <c r="F2499" t="str">
        <f>""</f>
        <v/>
      </c>
      <c r="H2499" t="str">
        <f t="shared" si="58"/>
        <v>TASC - FSA  FEES</v>
      </c>
    </row>
    <row r="2500" spans="5:8" x14ac:dyDescent="0.25">
      <c r="E2500" t="str">
        <f>""</f>
        <v/>
      </c>
      <c r="F2500" t="str">
        <f>""</f>
        <v/>
      </c>
      <c r="H2500" t="str">
        <f t="shared" si="58"/>
        <v>TASC - FSA  FEES</v>
      </c>
    </row>
    <row r="2501" spans="5:8" x14ac:dyDescent="0.25">
      <c r="E2501" t="str">
        <f>""</f>
        <v/>
      </c>
      <c r="F2501" t="str">
        <f>""</f>
        <v/>
      </c>
      <c r="H2501" t="str">
        <f t="shared" si="58"/>
        <v>TASC - FSA  FEES</v>
      </c>
    </row>
    <row r="2502" spans="5:8" x14ac:dyDescent="0.25">
      <c r="E2502" t="str">
        <f>""</f>
        <v/>
      </c>
      <c r="F2502" t="str">
        <f>""</f>
        <v/>
      </c>
      <c r="H2502" t="str">
        <f t="shared" si="58"/>
        <v>TASC - FSA  FEES</v>
      </c>
    </row>
    <row r="2503" spans="5:8" x14ac:dyDescent="0.25">
      <c r="E2503" t="str">
        <f>""</f>
        <v/>
      </c>
      <c r="F2503" t="str">
        <f>""</f>
        <v/>
      </c>
      <c r="H2503" t="str">
        <f t="shared" si="58"/>
        <v>TASC - FSA  FEES</v>
      </c>
    </row>
    <row r="2504" spans="5:8" x14ac:dyDescent="0.25">
      <c r="E2504" t="str">
        <f>""</f>
        <v/>
      </c>
      <c r="F2504" t="str">
        <f>""</f>
        <v/>
      </c>
      <c r="H2504" t="str">
        <f t="shared" si="58"/>
        <v>TASC - FSA  FEES</v>
      </c>
    </row>
    <row r="2505" spans="5:8" x14ac:dyDescent="0.25">
      <c r="E2505" t="str">
        <f>""</f>
        <v/>
      </c>
      <c r="F2505" t="str">
        <f>""</f>
        <v/>
      </c>
      <c r="H2505" t="str">
        <f t="shared" si="58"/>
        <v>TASC - FSA  FEES</v>
      </c>
    </row>
    <row r="2506" spans="5:8" x14ac:dyDescent="0.25">
      <c r="E2506" t="str">
        <f>""</f>
        <v/>
      </c>
      <c r="F2506" t="str">
        <f>""</f>
        <v/>
      </c>
      <c r="H2506" t="str">
        <f t="shared" si="58"/>
        <v>TASC - FSA  FEES</v>
      </c>
    </row>
    <row r="2507" spans="5:8" x14ac:dyDescent="0.25">
      <c r="E2507" t="str">
        <f>""</f>
        <v/>
      </c>
      <c r="F2507" t="str">
        <f>""</f>
        <v/>
      </c>
      <c r="H2507" t="str">
        <f t="shared" si="58"/>
        <v>TASC - FSA  FEES</v>
      </c>
    </row>
    <row r="2508" spans="5:8" x14ac:dyDescent="0.25">
      <c r="E2508" t="str">
        <f>"FSF202107214730"</f>
        <v>FSF202107214730</v>
      </c>
      <c r="F2508" t="str">
        <f>"TASC - FSA  FEES"</f>
        <v>TASC - FSA  FEES</v>
      </c>
      <c r="G2508" s="5">
        <v>10.8</v>
      </c>
      <c r="H2508" t="str">
        <f t="shared" si="58"/>
        <v>TASC - FSA  FEES</v>
      </c>
    </row>
    <row r="2509" spans="5:8" x14ac:dyDescent="0.25">
      <c r="E2509" t="str">
        <f>"HRF202107214729"</f>
        <v>HRF202107214729</v>
      </c>
      <c r="F2509" t="str">
        <f>"TASC - HRA FEES"</f>
        <v>TASC - HRA FEES</v>
      </c>
      <c r="G2509" s="5">
        <v>829.8</v>
      </c>
      <c r="H2509" t="str">
        <f t="shared" ref="H2509:H2540" si="59">"TASC - HRA FEES"</f>
        <v>TASC - HRA FEES</v>
      </c>
    </row>
    <row r="2510" spans="5:8" x14ac:dyDescent="0.25">
      <c r="E2510" t="str">
        <f>""</f>
        <v/>
      </c>
      <c r="F2510" t="str">
        <f>""</f>
        <v/>
      </c>
      <c r="H2510" t="str">
        <f t="shared" si="59"/>
        <v>TASC - HRA FEES</v>
      </c>
    </row>
    <row r="2511" spans="5:8" x14ac:dyDescent="0.25">
      <c r="E2511" t="str">
        <f>""</f>
        <v/>
      </c>
      <c r="F2511" t="str">
        <f>""</f>
        <v/>
      </c>
      <c r="H2511" t="str">
        <f t="shared" si="59"/>
        <v>TASC - HRA FEES</v>
      </c>
    </row>
    <row r="2512" spans="5:8" x14ac:dyDescent="0.25">
      <c r="E2512" t="str">
        <f>""</f>
        <v/>
      </c>
      <c r="F2512" t="str">
        <f>""</f>
        <v/>
      </c>
      <c r="H2512" t="str">
        <f t="shared" si="59"/>
        <v>TASC - HRA FEES</v>
      </c>
    </row>
    <row r="2513" spans="5:8" x14ac:dyDescent="0.25">
      <c r="E2513" t="str">
        <f>""</f>
        <v/>
      </c>
      <c r="F2513" t="str">
        <f>""</f>
        <v/>
      </c>
      <c r="H2513" t="str">
        <f t="shared" si="59"/>
        <v>TASC - HRA FEES</v>
      </c>
    </row>
    <row r="2514" spans="5:8" x14ac:dyDescent="0.25">
      <c r="E2514" t="str">
        <f>""</f>
        <v/>
      </c>
      <c r="F2514" t="str">
        <f>""</f>
        <v/>
      </c>
      <c r="H2514" t="str">
        <f t="shared" si="59"/>
        <v>TASC - HRA FEES</v>
      </c>
    </row>
    <row r="2515" spans="5:8" x14ac:dyDescent="0.25">
      <c r="E2515" t="str">
        <f>""</f>
        <v/>
      </c>
      <c r="F2515" t="str">
        <f>""</f>
        <v/>
      </c>
      <c r="H2515" t="str">
        <f t="shared" si="59"/>
        <v>TASC - HRA FEES</v>
      </c>
    </row>
    <row r="2516" spans="5:8" x14ac:dyDescent="0.25">
      <c r="E2516" t="str">
        <f>""</f>
        <v/>
      </c>
      <c r="F2516" t="str">
        <f>""</f>
        <v/>
      </c>
      <c r="H2516" t="str">
        <f t="shared" si="59"/>
        <v>TASC - HRA FEES</v>
      </c>
    </row>
    <row r="2517" spans="5:8" x14ac:dyDescent="0.25">
      <c r="E2517" t="str">
        <f>""</f>
        <v/>
      </c>
      <c r="F2517" t="str">
        <f>""</f>
        <v/>
      </c>
      <c r="H2517" t="str">
        <f t="shared" si="59"/>
        <v>TASC - HRA FEES</v>
      </c>
    </row>
    <row r="2518" spans="5:8" x14ac:dyDescent="0.25">
      <c r="E2518" t="str">
        <f>""</f>
        <v/>
      </c>
      <c r="F2518" t="str">
        <f>""</f>
        <v/>
      </c>
      <c r="H2518" t="str">
        <f t="shared" si="59"/>
        <v>TASC - HRA FEES</v>
      </c>
    </row>
    <row r="2519" spans="5:8" x14ac:dyDescent="0.25">
      <c r="E2519" t="str">
        <f>""</f>
        <v/>
      </c>
      <c r="F2519" t="str">
        <f>""</f>
        <v/>
      </c>
      <c r="H2519" t="str">
        <f t="shared" si="59"/>
        <v>TASC - HRA FEES</v>
      </c>
    </row>
    <row r="2520" spans="5:8" x14ac:dyDescent="0.25">
      <c r="E2520" t="str">
        <f>""</f>
        <v/>
      </c>
      <c r="F2520" t="str">
        <f>""</f>
        <v/>
      </c>
      <c r="H2520" t="str">
        <f t="shared" si="59"/>
        <v>TASC - HRA FEES</v>
      </c>
    </row>
    <row r="2521" spans="5:8" x14ac:dyDescent="0.25">
      <c r="E2521" t="str">
        <f>""</f>
        <v/>
      </c>
      <c r="F2521" t="str">
        <f>""</f>
        <v/>
      </c>
      <c r="H2521" t="str">
        <f t="shared" si="59"/>
        <v>TASC - HRA FEES</v>
      </c>
    </row>
    <row r="2522" spans="5:8" x14ac:dyDescent="0.25">
      <c r="E2522" t="str">
        <f>""</f>
        <v/>
      </c>
      <c r="F2522" t="str">
        <f>""</f>
        <v/>
      </c>
      <c r="H2522" t="str">
        <f t="shared" si="59"/>
        <v>TASC - HRA FEES</v>
      </c>
    </row>
    <row r="2523" spans="5:8" x14ac:dyDescent="0.25">
      <c r="E2523" t="str">
        <f>""</f>
        <v/>
      </c>
      <c r="F2523" t="str">
        <f>""</f>
        <v/>
      </c>
      <c r="H2523" t="str">
        <f t="shared" si="59"/>
        <v>TASC - HRA FEES</v>
      </c>
    </row>
    <row r="2524" spans="5:8" x14ac:dyDescent="0.25">
      <c r="E2524" t="str">
        <f>""</f>
        <v/>
      </c>
      <c r="F2524" t="str">
        <f>""</f>
        <v/>
      </c>
      <c r="H2524" t="str">
        <f t="shared" si="59"/>
        <v>TASC - HRA FEES</v>
      </c>
    </row>
    <row r="2525" spans="5:8" x14ac:dyDescent="0.25">
      <c r="E2525" t="str">
        <f>""</f>
        <v/>
      </c>
      <c r="F2525" t="str">
        <f>""</f>
        <v/>
      </c>
      <c r="H2525" t="str">
        <f t="shared" si="59"/>
        <v>TASC - HRA FEES</v>
      </c>
    </row>
    <row r="2526" spans="5:8" x14ac:dyDescent="0.25">
      <c r="E2526" t="str">
        <f>""</f>
        <v/>
      </c>
      <c r="F2526" t="str">
        <f>""</f>
        <v/>
      </c>
      <c r="H2526" t="str">
        <f t="shared" si="59"/>
        <v>TASC - HRA FEES</v>
      </c>
    </row>
    <row r="2527" spans="5:8" x14ac:dyDescent="0.25">
      <c r="E2527" t="str">
        <f>""</f>
        <v/>
      </c>
      <c r="F2527" t="str">
        <f>""</f>
        <v/>
      </c>
      <c r="H2527" t="str">
        <f t="shared" si="59"/>
        <v>TASC - HRA FEES</v>
      </c>
    </row>
    <row r="2528" spans="5:8" x14ac:dyDescent="0.25">
      <c r="E2528" t="str">
        <f>""</f>
        <v/>
      </c>
      <c r="F2528" t="str">
        <f>""</f>
        <v/>
      </c>
      <c r="H2528" t="str">
        <f t="shared" si="59"/>
        <v>TASC - HRA FEES</v>
      </c>
    </row>
    <row r="2529" spans="5:8" x14ac:dyDescent="0.25">
      <c r="E2529" t="str">
        <f>""</f>
        <v/>
      </c>
      <c r="F2529" t="str">
        <f>""</f>
        <v/>
      </c>
      <c r="H2529" t="str">
        <f t="shared" si="59"/>
        <v>TASC - HRA FEES</v>
      </c>
    </row>
    <row r="2530" spans="5:8" x14ac:dyDescent="0.25">
      <c r="E2530" t="str">
        <f>""</f>
        <v/>
      </c>
      <c r="F2530" t="str">
        <f>""</f>
        <v/>
      </c>
      <c r="H2530" t="str">
        <f t="shared" si="59"/>
        <v>TASC - HRA FEES</v>
      </c>
    </row>
    <row r="2531" spans="5:8" x14ac:dyDescent="0.25">
      <c r="E2531" t="str">
        <f>""</f>
        <v/>
      </c>
      <c r="F2531" t="str">
        <f>""</f>
        <v/>
      </c>
      <c r="H2531" t="str">
        <f t="shared" si="59"/>
        <v>TASC - HRA FEES</v>
      </c>
    </row>
    <row r="2532" spans="5:8" x14ac:dyDescent="0.25">
      <c r="E2532" t="str">
        <f>""</f>
        <v/>
      </c>
      <c r="F2532" t="str">
        <f>""</f>
        <v/>
      </c>
      <c r="H2532" t="str">
        <f t="shared" si="59"/>
        <v>TASC - HRA FEES</v>
      </c>
    </row>
    <row r="2533" spans="5:8" x14ac:dyDescent="0.25">
      <c r="E2533" t="str">
        <f>""</f>
        <v/>
      </c>
      <c r="F2533" t="str">
        <f>""</f>
        <v/>
      </c>
      <c r="H2533" t="str">
        <f t="shared" si="59"/>
        <v>TASC - HRA FEES</v>
      </c>
    </row>
    <row r="2534" spans="5:8" x14ac:dyDescent="0.25">
      <c r="E2534" t="str">
        <f>""</f>
        <v/>
      </c>
      <c r="F2534" t="str">
        <f>""</f>
        <v/>
      </c>
      <c r="H2534" t="str">
        <f t="shared" si="59"/>
        <v>TASC - HRA FEES</v>
      </c>
    </row>
    <row r="2535" spans="5:8" x14ac:dyDescent="0.25">
      <c r="E2535" t="str">
        <f>""</f>
        <v/>
      </c>
      <c r="F2535" t="str">
        <f>""</f>
        <v/>
      </c>
      <c r="H2535" t="str">
        <f t="shared" si="59"/>
        <v>TASC - HRA FEES</v>
      </c>
    </row>
    <row r="2536" spans="5:8" x14ac:dyDescent="0.25">
      <c r="E2536" t="str">
        <f>""</f>
        <v/>
      </c>
      <c r="F2536" t="str">
        <f>""</f>
        <v/>
      </c>
      <c r="H2536" t="str">
        <f t="shared" si="59"/>
        <v>TASC - HRA FEES</v>
      </c>
    </row>
    <row r="2537" spans="5:8" x14ac:dyDescent="0.25">
      <c r="E2537" t="str">
        <f>""</f>
        <v/>
      </c>
      <c r="F2537" t="str">
        <f>""</f>
        <v/>
      </c>
      <c r="H2537" t="str">
        <f t="shared" si="59"/>
        <v>TASC - HRA FEES</v>
      </c>
    </row>
    <row r="2538" spans="5:8" x14ac:dyDescent="0.25">
      <c r="E2538" t="str">
        <f>""</f>
        <v/>
      </c>
      <c r="F2538" t="str">
        <f>""</f>
        <v/>
      </c>
      <c r="H2538" t="str">
        <f t="shared" si="59"/>
        <v>TASC - HRA FEES</v>
      </c>
    </row>
    <row r="2539" spans="5:8" x14ac:dyDescent="0.25">
      <c r="E2539" t="str">
        <f>""</f>
        <v/>
      </c>
      <c r="F2539" t="str">
        <f>""</f>
        <v/>
      </c>
      <c r="H2539" t="str">
        <f t="shared" si="59"/>
        <v>TASC - HRA FEES</v>
      </c>
    </row>
    <row r="2540" spans="5:8" x14ac:dyDescent="0.25">
      <c r="E2540" t="str">
        <f>""</f>
        <v/>
      </c>
      <c r="F2540" t="str">
        <f>""</f>
        <v/>
      </c>
      <c r="H2540" t="str">
        <f t="shared" si="59"/>
        <v>TASC - HRA FEES</v>
      </c>
    </row>
    <row r="2541" spans="5:8" x14ac:dyDescent="0.25">
      <c r="E2541" t="str">
        <f>""</f>
        <v/>
      </c>
      <c r="F2541" t="str">
        <f>""</f>
        <v/>
      </c>
      <c r="H2541" t="str">
        <f t="shared" ref="H2541:H2560" si="60">"TASC - HRA FEES"</f>
        <v>TASC - HRA FEES</v>
      </c>
    </row>
    <row r="2542" spans="5:8" x14ac:dyDescent="0.25">
      <c r="E2542" t="str">
        <f>""</f>
        <v/>
      </c>
      <c r="F2542" t="str">
        <f>""</f>
        <v/>
      </c>
      <c r="H2542" t="str">
        <f t="shared" si="60"/>
        <v>TASC - HRA FEES</v>
      </c>
    </row>
    <row r="2543" spans="5:8" x14ac:dyDescent="0.25">
      <c r="E2543" t="str">
        <f>""</f>
        <v/>
      </c>
      <c r="F2543" t="str">
        <f>""</f>
        <v/>
      </c>
      <c r="H2543" t="str">
        <f t="shared" si="60"/>
        <v>TASC - HRA FEES</v>
      </c>
    </row>
    <row r="2544" spans="5:8" x14ac:dyDescent="0.25">
      <c r="E2544" t="str">
        <f>""</f>
        <v/>
      </c>
      <c r="F2544" t="str">
        <f>""</f>
        <v/>
      </c>
      <c r="H2544" t="str">
        <f t="shared" si="60"/>
        <v>TASC - HRA FEES</v>
      </c>
    </row>
    <row r="2545" spans="5:8" x14ac:dyDescent="0.25">
      <c r="E2545" t="str">
        <f>""</f>
        <v/>
      </c>
      <c r="F2545" t="str">
        <f>""</f>
        <v/>
      </c>
      <c r="H2545" t="str">
        <f t="shared" si="60"/>
        <v>TASC - HRA FEES</v>
      </c>
    </row>
    <row r="2546" spans="5:8" x14ac:dyDescent="0.25">
      <c r="E2546" t="str">
        <f>""</f>
        <v/>
      </c>
      <c r="F2546" t="str">
        <f>""</f>
        <v/>
      </c>
      <c r="H2546" t="str">
        <f t="shared" si="60"/>
        <v>TASC - HRA FEES</v>
      </c>
    </row>
    <row r="2547" spans="5:8" x14ac:dyDescent="0.25">
      <c r="E2547" t="str">
        <f>""</f>
        <v/>
      </c>
      <c r="F2547" t="str">
        <f>""</f>
        <v/>
      </c>
      <c r="H2547" t="str">
        <f t="shared" si="60"/>
        <v>TASC - HRA FEES</v>
      </c>
    </row>
    <row r="2548" spans="5:8" x14ac:dyDescent="0.25">
      <c r="E2548" t="str">
        <f>""</f>
        <v/>
      </c>
      <c r="F2548" t="str">
        <f>""</f>
        <v/>
      </c>
      <c r="H2548" t="str">
        <f t="shared" si="60"/>
        <v>TASC - HRA FEES</v>
      </c>
    </row>
    <row r="2549" spans="5:8" x14ac:dyDescent="0.25">
      <c r="E2549" t="str">
        <f>""</f>
        <v/>
      </c>
      <c r="F2549" t="str">
        <f>""</f>
        <v/>
      </c>
      <c r="H2549" t="str">
        <f t="shared" si="60"/>
        <v>TASC - HRA FEES</v>
      </c>
    </row>
    <row r="2550" spans="5:8" x14ac:dyDescent="0.25">
      <c r="E2550" t="str">
        <f>""</f>
        <v/>
      </c>
      <c r="F2550" t="str">
        <f>""</f>
        <v/>
      </c>
      <c r="H2550" t="str">
        <f t="shared" si="60"/>
        <v>TASC - HRA FEES</v>
      </c>
    </row>
    <row r="2551" spans="5:8" x14ac:dyDescent="0.25">
      <c r="E2551" t="str">
        <f>""</f>
        <v/>
      </c>
      <c r="F2551" t="str">
        <f>""</f>
        <v/>
      </c>
      <c r="H2551" t="str">
        <f t="shared" si="60"/>
        <v>TASC - HRA FEES</v>
      </c>
    </row>
    <row r="2552" spans="5:8" x14ac:dyDescent="0.25">
      <c r="E2552" t="str">
        <f>""</f>
        <v/>
      </c>
      <c r="F2552" t="str">
        <f>""</f>
        <v/>
      </c>
      <c r="H2552" t="str">
        <f t="shared" si="60"/>
        <v>TASC - HRA FEES</v>
      </c>
    </row>
    <row r="2553" spans="5:8" x14ac:dyDescent="0.25">
      <c r="E2553" t="str">
        <f>""</f>
        <v/>
      </c>
      <c r="F2553" t="str">
        <f>""</f>
        <v/>
      </c>
      <c r="H2553" t="str">
        <f t="shared" si="60"/>
        <v>TASC - HRA FEES</v>
      </c>
    </row>
    <row r="2554" spans="5:8" x14ac:dyDescent="0.25">
      <c r="E2554" t="str">
        <f>""</f>
        <v/>
      </c>
      <c r="F2554" t="str">
        <f>""</f>
        <v/>
      </c>
      <c r="H2554" t="str">
        <f t="shared" si="60"/>
        <v>TASC - HRA FEES</v>
      </c>
    </row>
    <row r="2555" spans="5:8" x14ac:dyDescent="0.25">
      <c r="E2555" t="str">
        <f>""</f>
        <v/>
      </c>
      <c r="F2555" t="str">
        <f>""</f>
        <v/>
      </c>
      <c r="H2555" t="str">
        <f t="shared" si="60"/>
        <v>TASC - HRA FEES</v>
      </c>
    </row>
    <row r="2556" spans="5:8" x14ac:dyDescent="0.25">
      <c r="E2556" t="str">
        <f>""</f>
        <v/>
      </c>
      <c r="F2556" t="str">
        <f>""</f>
        <v/>
      </c>
      <c r="H2556" t="str">
        <f t="shared" si="60"/>
        <v>TASC - HRA FEES</v>
      </c>
    </row>
    <row r="2557" spans="5:8" x14ac:dyDescent="0.25">
      <c r="E2557" t="str">
        <f>""</f>
        <v/>
      </c>
      <c r="F2557" t="str">
        <f>""</f>
        <v/>
      </c>
      <c r="H2557" t="str">
        <f t="shared" si="60"/>
        <v>TASC - HRA FEES</v>
      </c>
    </row>
    <row r="2558" spans="5:8" x14ac:dyDescent="0.25">
      <c r="E2558" t="str">
        <f>""</f>
        <v/>
      </c>
      <c r="F2558" t="str">
        <f>""</f>
        <v/>
      </c>
      <c r="H2558" t="str">
        <f t="shared" si="60"/>
        <v>TASC - HRA FEES</v>
      </c>
    </row>
    <row r="2559" spans="5:8" x14ac:dyDescent="0.25">
      <c r="E2559" t="str">
        <f>""</f>
        <v/>
      </c>
      <c r="F2559" t="str">
        <f>""</f>
        <v/>
      </c>
      <c r="H2559" t="str">
        <f t="shared" si="60"/>
        <v>TASC - HRA FEES</v>
      </c>
    </row>
    <row r="2560" spans="5:8" x14ac:dyDescent="0.25">
      <c r="E2560" t="str">
        <f>"HRF202107214730"</f>
        <v>HRF202107214730</v>
      </c>
      <c r="F2560" t="str">
        <f>"TASC - HRA FEES"</f>
        <v>TASC - HRA FEES</v>
      </c>
      <c r="G2560" s="5">
        <v>25.2</v>
      </c>
      <c r="H2560" t="str">
        <f t="shared" si="60"/>
        <v>TASC - HRA FEES</v>
      </c>
    </row>
    <row r="2561" spans="1:8" x14ac:dyDescent="0.25">
      <c r="A2561" t="s">
        <v>446</v>
      </c>
      <c r="B2561">
        <v>1166</v>
      </c>
      <c r="C2561" s="5">
        <v>3808.71</v>
      </c>
      <c r="D2561" s="3">
        <v>44386</v>
      </c>
      <c r="E2561" t="str">
        <f>"C2 202107074400"</f>
        <v>C2 202107074400</v>
      </c>
      <c r="F2561" t="str">
        <f>"0012982132CCL7445"</f>
        <v>0012982132CCL7445</v>
      </c>
      <c r="G2561" s="5">
        <v>692.31</v>
      </c>
      <c r="H2561" t="str">
        <f>"0012982132CCL7445"</f>
        <v>0012982132CCL7445</v>
      </c>
    </row>
    <row r="2562" spans="1:8" x14ac:dyDescent="0.25">
      <c r="E2562" t="str">
        <f>"C20202107074399"</f>
        <v>C20202107074399</v>
      </c>
      <c r="F2562" t="str">
        <f>"001003981107-12252"</f>
        <v>001003981107-12252</v>
      </c>
      <c r="G2562" s="5">
        <v>115.39</v>
      </c>
      <c r="H2562" t="str">
        <f>"001003981107-12252"</f>
        <v>001003981107-12252</v>
      </c>
    </row>
    <row r="2563" spans="1:8" x14ac:dyDescent="0.25">
      <c r="E2563" t="str">
        <f>"C42202107074399"</f>
        <v>C42202107074399</v>
      </c>
      <c r="F2563" t="str">
        <f>"001236769211-14410"</f>
        <v>001236769211-14410</v>
      </c>
      <c r="G2563" s="5">
        <v>230.31</v>
      </c>
      <c r="H2563" t="str">
        <f>"001236769211-14410"</f>
        <v>001236769211-14410</v>
      </c>
    </row>
    <row r="2564" spans="1:8" x14ac:dyDescent="0.25">
      <c r="E2564" t="str">
        <f>"C46202107074399"</f>
        <v>C46202107074399</v>
      </c>
      <c r="F2564" t="str">
        <f>"CAUSE# 11-14911"</f>
        <v>CAUSE# 11-14911</v>
      </c>
      <c r="G2564" s="5">
        <v>238.62</v>
      </c>
      <c r="H2564" t="str">
        <f>"CAUSE# 11-14911"</f>
        <v>CAUSE# 11-14911</v>
      </c>
    </row>
    <row r="2565" spans="1:8" x14ac:dyDescent="0.25">
      <c r="E2565" t="str">
        <f>"C60202107074399"</f>
        <v>C60202107074399</v>
      </c>
      <c r="F2565" t="str">
        <f>"00130730762012V300"</f>
        <v>00130730762012V300</v>
      </c>
      <c r="G2565" s="5">
        <v>399.32</v>
      </c>
      <c r="H2565" t="str">
        <f>"00130730762012V300"</f>
        <v>00130730762012V300</v>
      </c>
    </row>
    <row r="2566" spans="1:8" x14ac:dyDescent="0.25">
      <c r="E2566" t="str">
        <f>"C62202107074399"</f>
        <v>C62202107074399</v>
      </c>
      <c r="F2566" t="str">
        <f>"# 0012128865"</f>
        <v># 0012128865</v>
      </c>
      <c r="G2566" s="5">
        <v>243.23</v>
      </c>
      <c r="H2566" t="str">
        <f>"# 0012128865"</f>
        <v># 0012128865</v>
      </c>
    </row>
    <row r="2567" spans="1:8" x14ac:dyDescent="0.25">
      <c r="E2567" t="str">
        <f>"C66202107074399"</f>
        <v>C66202107074399</v>
      </c>
      <c r="F2567" t="str">
        <f>"# 0012871801"</f>
        <v># 0012871801</v>
      </c>
      <c r="G2567" s="5">
        <v>90</v>
      </c>
      <c r="H2567" t="str">
        <f>"# 0012871801"</f>
        <v># 0012871801</v>
      </c>
    </row>
    <row r="2568" spans="1:8" x14ac:dyDescent="0.25">
      <c r="E2568" t="str">
        <f>"C67202107074399"</f>
        <v>C67202107074399</v>
      </c>
      <c r="F2568" t="str">
        <f>"13154657"</f>
        <v>13154657</v>
      </c>
      <c r="G2568" s="5">
        <v>101.99</v>
      </c>
      <c r="H2568" t="str">
        <f>"13154657"</f>
        <v>13154657</v>
      </c>
    </row>
    <row r="2569" spans="1:8" x14ac:dyDescent="0.25">
      <c r="E2569" t="str">
        <f>"C69202107074399"</f>
        <v>C69202107074399</v>
      </c>
      <c r="F2569" t="str">
        <f>"0012046911423672"</f>
        <v>0012046911423672</v>
      </c>
      <c r="G2569" s="5">
        <v>187.38</v>
      </c>
      <c r="H2569" t="str">
        <f>"0012046911423672"</f>
        <v>0012046911423672</v>
      </c>
    </row>
    <row r="2570" spans="1:8" x14ac:dyDescent="0.25">
      <c r="E2570" t="str">
        <f>"C71202107074399"</f>
        <v>C71202107074399</v>
      </c>
      <c r="F2570" t="str">
        <f>"00137390532018V215"</f>
        <v>00137390532018V215</v>
      </c>
      <c r="G2570" s="5">
        <v>264</v>
      </c>
      <c r="H2570" t="str">
        <f>"00137390532018V215"</f>
        <v>00137390532018V215</v>
      </c>
    </row>
    <row r="2571" spans="1:8" x14ac:dyDescent="0.25">
      <c r="E2571" t="str">
        <f>"C72202107074399"</f>
        <v>C72202107074399</v>
      </c>
      <c r="F2571" t="str">
        <f>"0012797601C20130529B"</f>
        <v>0012797601C20130529B</v>
      </c>
      <c r="G2571" s="5">
        <v>241.85</v>
      </c>
      <c r="H2571" t="str">
        <f>"0012797601C20130529B"</f>
        <v>0012797601C20130529B</v>
      </c>
    </row>
    <row r="2572" spans="1:8" x14ac:dyDescent="0.25">
      <c r="E2572" t="str">
        <f>"C78202107074399"</f>
        <v>C78202107074399</v>
      </c>
      <c r="F2572" t="str">
        <f>"00105115972005106221"</f>
        <v>00105115972005106221</v>
      </c>
      <c r="G2572" s="5">
        <v>245.08</v>
      </c>
      <c r="H2572" t="str">
        <f>"00105115972005106221"</f>
        <v>00105115972005106221</v>
      </c>
    </row>
    <row r="2573" spans="1:8" x14ac:dyDescent="0.25">
      <c r="E2573" t="str">
        <f>"C85202107074399"</f>
        <v>C85202107074399</v>
      </c>
      <c r="F2573" t="str">
        <f>"0012469425201770874"</f>
        <v>0012469425201770874</v>
      </c>
      <c r="G2573" s="5">
        <v>138.46</v>
      </c>
      <c r="H2573" t="str">
        <f>"0012469425201770874"</f>
        <v>0012469425201770874</v>
      </c>
    </row>
    <row r="2574" spans="1:8" x14ac:dyDescent="0.25">
      <c r="E2574" t="str">
        <f>"C86202107074399"</f>
        <v>C86202107074399</v>
      </c>
      <c r="F2574" t="str">
        <f>"0013854015101285F"</f>
        <v>0013854015101285F</v>
      </c>
      <c r="G2574" s="5">
        <v>241.85</v>
      </c>
      <c r="H2574" t="str">
        <f>"0013854015101285F"</f>
        <v>0013854015101285F</v>
      </c>
    </row>
    <row r="2575" spans="1:8" x14ac:dyDescent="0.25">
      <c r="E2575" t="str">
        <f>"C87202107074399"</f>
        <v>C87202107074399</v>
      </c>
      <c r="F2575" t="str">
        <f>"0012963634L130019CVB"</f>
        <v>0012963634L130019CVB</v>
      </c>
      <c r="G2575" s="5">
        <v>249.23</v>
      </c>
      <c r="H2575" t="str">
        <f>"0012963634L130019CVB"</f>
        <v>0012963634L130019CVB</v>
      </c>
    </row>
    <row r="2576" spans="1:8" x14ac:dyDescent="0.25">
      <c r="E2576" t="str">
        <f>"C89202107074399"</f>
        <v>C89202107074399</v>
      </c>
      <c r="F2576" t="str">
        <f>"00127760434232477"</f>
        <v>00127760434232477</v>
      </c>
      <c r="G2576" s="5">
        <v>129.69</v>
      </c>
      <c r="H2576" t="str">
        <f>"00127760434232477"</f>
        <v>00127760434232477</v>
      </c>
    </row>
    <row r="2577" spans="1:8" x14ac:dyDescent="0.25">
      <c r="A2577" t="s">
        <v>446</v>
      </c>
      <c r="B2577">
        <v>1205</v>
      </c>
      <c r="C2577" s="5">
        <v>3760.25</v>
      </c>
      <c r="D2577" s="3">
        <v>44400</v>
      </c>
      <c r="E2577" t="str">
        <f>"C2 202107214730"</f>
        <v>C2 202107214730</v>
      </c>
      <c r="F2577" t="str">
        <f>"0012982132CCL7445"</f>
        <v>0012982132CCL7445</v>
      </c>
      <c r="G2577" s="5">
        <v>692.31</v>
      </c>
      <c r="H2577" t="str">
        <f>"0012982132CCL7445"</f>
        <v>0012982132CCL7445</v>
      </c>
    </row>
    <row r="2578" spans="1:8" x14ac:dyDescent="0.25">
      <c r="E2578" t="str">
        <f>"C20202107214729"</f>
        <v>C20202107214729</v>
      </c>
      <c r="F2578" t="str">
        <f>"001003981107-12252"</f>
        <v>001003981107-12252</v>
      </c>
      <c r="G2578" s="5">
        <v>115.39</v>
      </c>
      <c r="H2578" t="str">
        <f>"001003981107-12252"</f>
        <v>001003981107-12252</v>
      </c>
    </row>
    <row r="2579" spans="1:8" x14ac:dyDescent="0.25">
      <c r="E2579" t="str">
        <f>"C42202107214729"</f>
        <v>C42202107214729</v>
      </c>
      <c r="F2579" t="str">
        <f>"001236769211-14410"</f>
        <v>001236769211-14410</v>
      </c>
      <c r="G2579" s="5">
        <v>230.31</v>
      </c>
      <c r="H2579" t="str">
        <f>"001236769211-14410"</f>
        <v>001236769211-14410</v>
      </c>
    </row>
    <row r="2580" spans="1:8" x14ac:dyDescent="0.25">
      <c r="E2580" t="str">
        <f>"C46202107214729"</f>
        <v>C46202107214729</v>
      </c>
      <c r="F2580" t="str">
        <f>"CAUSE# 11-14911"</f>
        <v>CAUSE# 11-14911</v>
      </c>
      <c r="G2580" s="5">
        <v>238.62</v>
      </c>
      <c r="H2580" t="str">
        <f>"CAUSE# 11-14911"</f>
        <v>CAUSE# 11-14911</v>
      </c>
    </row>
    <row r="2581" spans="1:8" x14ac:dyDescent="0.25">
      <c r="E2581" t="str">
        <f>"C60202107214729"</f>
        <v>C60202107214729</v>
      </c>
      <c r="F2581" t="str">
        <f>"00130730762012V300"</f>
        <v>00130730762012V300</v>
      </c>
      <c r="G2581" s="5">
        <v>399.32</v>
      </c>
      <c r="H2581" t="str">
        <f>"00130730762012V300"</f>
        <v>00130730762012V300</v>
      </c>
    </row>
    <row r="2582" spans="1:8" x14ac:dyDescent="0.25">
      <c r="E2582" t="str">
        <f>"C62202107214729"</f>
        <v>C62202107214729</v>
      </c>
      <c r="F2582" t="str">
        <f>"# 0012128865"</f>
        <v># 0012128865</v>
      </c>
      <c r="G2582" s="5">
        <v>243.23</v>
      </c>
      <c r="H2582" t="str">
        <f>"# 0012128865"</f>
        <v># 0012128865</v>
      </c>
    </row>
    <row r="2583" spans="1:8" x14ac:dyDescent="0.25">
      <c r="E2583" t="str">
        <f>"C66202107214729"</f>
        <v>C66202107214729</v>
      </c>
      <c r="F2583" t="str">
        <f>"# 0012871801"</f>
        <v># 0012871801</v>
      </c>
      <c r="G2583" s="5">
        <v>90</v>
      </c>
      <c r="H2583" t="str">
        <f>"# 0012871801"</f>
        <v># 0012871801</v>
      </c>
    </row>
    <row r="2584" spans="1:8" x14ac:dyDescent="0.25">
      <c r="E2584" t="str">
        <f>"C67202107214729"</f>
        <v>C67202107214729</v>
      </c>
      <c r="F2584" t="str">
        <f>"13154657"</f>
        <v>13154657</v>
      </c>
      <c r="G2584" s="5">
        <v>101.99</v>
      </c>
      <c r="H2584" t="str">
        <f>"13154657"</f>
        <v>13154657</v>
      </c>
    </row>
    <row r="2585" spans="1:8" x14ac:dyDescent="0.25">
      <c r="E2585" t="str">
        <f>"C69202107214729"</f>
        <v>C69202107214729</v>
      </c>
      <c r="F2585" t="str">
        <f>"0012046911423672"</f>
        <v>0012046911423672</v>
      </c>
      <c r="G2585" s="5">
        <v>138.91999999999999</v>
      </c>
      <c r="H2585" t="str">
        <f>"0012046911423672"</f>
        <v>0012046911423672</v>
      </c>
    </row>
    <row r="2586" spans="1:8" x14ac:dyDescent="0.25">
      <c r="E2586" t="str">
        <f>"C71202107214729"</f>
        <v>C71202107214729</v>
      </c>
      <c r="F2586" t="str">
        <f>"00137390532018V215"</f>
        <v>00137390532018V215</v>
      </c>
      <c r="G2586" s="5">
        <v>264</v>
      </c>
      <c r="H2586" t="str">
        <f>"00137390532018V215"</f>
        <v>00137390532018V215</v>
      </c>
    </row>
    <row r="2587" spans="1:8" x14ac:dyDescent="0.25">
      <c r="E2587" t="str">
        <f>"C72202107214729"</f>
        <v>C72202107214729</v>
      </c>
      <c r="F2587" t="str">
        <f>"0012797601C20130529B"</f>
        <v>0012797601C20130529B</v>
      </c>
      <c r="G2587" s="5">
        <v>241.85</v>
      </c>
      <c r="H2587" t="str">
        <f>"0012797601C20130529B"</f>
        <v>0012797601C20130529B</v>
      </c>
    </row>
    <row r="2588" spans="1:8" x14ac:dyDescent="0.25">
      <c r="E2588" t="str">
        <f>"C78202107214729"</f>
        <v>C78202107214729</v>
      </c>
      <c r="F2588" t="str">
        <f>"00105115972005106221"</f>
        <v>00105115972005106221</v>
      </c>
      <c r="G2588" s="5">
        <v>245.08</v>
      </c>
      <c r="H2588" t="str">
        <f>"00105115972005106221"</f>
        <v>00105115972005106221</v>
      </c>
    </row>
    <row r="2589" spans="1:8" x14ac:dyDescent="0.25">
      <c r="E2589" t="str">
        <f>"C85202107214729"</f>
        <v>C85202107214729</v>
      </c>
      <c r="F2589" t="str">
        <f>"0012469425201770874"</f>
        <v>0012469425201770874</v>
      </c>
      <c r="G2589" s="5">
        <v>138.46</v>
      </c>
      <c r="H2589" t="str">
        <f>"0012469425201770874"</f>
        <v>0012469425201770874</v>
      </c>
    </row>
    <row r="2590" spans="1:8" x14ac:dyDescent="0.25">
      <c r="E2590" t="str">
        <f>"C86202107214729"</f>
        <v>C86202107214729</v>
      </c>
      <c r="F2590" t="str">
        <f>"0013854015101285F"</f>
        <v>0013854015101285F</v>
      </c>
      <c r="G2590" s="5">
        <v>241.85</v>
      </c>
      <c r="H2590" t="str">
        <f>"0013854015101285F"</f>
        <v>0013854015101285F</v>
      </c>
    </row>
    <row r="2591" spans="1:8" x14ac:dyDescent="0.25">
      <c r="E2591" t="str">
        <f>"C87202107214729"</f>
        <v>C87202107214729</v>
      </c>
      <c r="F2591" t="str">
        <f>"0012963634L130019CVB"</f>
        <v>0012963634L130019CVB</v>
      </c>
      <c r="G2591" s="5">
        <v>249.23</v>
      </c>
      <c r="H2591" t="str">
        <f>"0012963634L130019CVB"</f>
        <v>0012963634L130019CVB</v>
      </c>
    </row>
    <row r="2592" spans="1:8" x14ac:dyDescent="0.25">
      <c r="E2592" t="str">
        <f>"C89202107214729"</f>
        <v>C89202107214729</v>
      </c>
      <c r="F2592" t="str">
        <f>"00127760434232477"</f>
        <v>00127760434232477</v>
      </c>
      <c r="G2592" s="5">
        <v>129.69</v>
      </c>
      <c r="H2592" t="str">
        <f>"00127760434232477"</f>
        <v>00127760434232477</v>
      </c>
    </row>
    <row r="2593" spans="1:8" x14ac:dyDescent="0.25">
      <c r="A2593" t="s">
        <v>447</v>
      </c>
      <c r="B2593">
        <v>1207</v>
      </c>
      <c r="C2593" s="5">
        <v>379436.89</v>
      </c>
      <c r="D2593" s="3">
        <v>44400</v>
      </c>
      <c r="E2593" t="str">
        <f>"RET202107074399"</f>
        <v>RET202107074399</v>
      </c>
      <c r="F2593" t="str">
        <f>"TEXAS COUNTY &amp; DISTRICT RET"</f>
        <v>TEXAS COUNTY &amp; DISTRICT RET</v>
      </c>
      <c r="G2593" s="5">
        <v>179003.96</v>
      </c>
      <c r="H2593" t="str">
        <f t="shared" ref="H2593:H2624" si="61">"TEXAS COUNTY &amp; DISTRICT RET"</f>
        <v>TEXAS COUNTY &amp; DISTRICT RET</v>
      </c>
    </row>
    <row r="2594" spans="1:8" x14ac:dyDescent="0.25">
      <c r="E2594" t="str">
        <f>""</f>
        <v/>
      </c>
      <c r="F2594" t="str">
        <f>""</f>
        <v/>
      </c>
      <c r="H2594" t="str">
        <f t="shared" si="61"/>
        <v>TEXAS COUNTY &amp; DISTRICT RET</v>
      </c>
    </row>
    <row r="2595" spans="1:8" x14ac:dyDescent="0.25">
      <c r="E2595" t="str">
        <f>""</f>
        <v/>
      </c>
      <c r="F2595" t="str">
        <f>""</f>
        <v/>
      </c>
      <c r="H2595" t="str">
        <f t="shared" si="61"/>
        <v>TEXAS COUNTY &amp; DISTRICT RET</v>
      </c>
    </row>
    <row r="2596" spans="1:8" x14ac:dyDescent="0.25">
      <c r="E2596" t="str">
        <f>""</f>
        <v/>
      </c>
      <c r="F2596" t="str">
        <f>""</f>
        <v/>
      </c>
      <c r="H2596" t="str">
        <f t="shared" si="61"/>
        <v>TEXAS COUNTY &amp; DISTRICT RET</v>
      </c>
    </row>
    <row r="2597" spans="1:8" x14ac:dyDescent="0.25">
      <c r="E2597" t="str">
        <f>""</f>
        <v/>
      </c>
      <c r="F2597" t="str">
        <f>""</f>
        <v/>
      </c>
      <c r="H2597" t="str">
        <f t="shared" si="61"/>
        <v>TEXAS COUNTY &amp; DISTRICT RET</v>
      </c>
    </row>
    <row r="2598" spans="1:8" x14ac:dyDescent="0.25">
      <c r="E2598" t="str">
        <f>""</f>
        <v/>
      </c>
      <c r="F2598" t="str">
        <f>""</f>
        <v/>
      </c>
      <c r="H2598" t="str">
        <f t="shared" si="61"/>
        <v>TEXAS COUNTY &amp; DISTRICT RET</v>
      </c>
    </row>
    <row r="2599" spans="1:8" x14ac:dyDescent="0.25">
      <c r="E2599" t="str">
        <f>""</f>
        <v/>
      </c>
      <c r="F2599" t="str">
        <f>""</f>
        <v/>
      </c>
      <c r="H2599" t="str">
        <f t="shared" si="61"/>
        <v>TEXAS COUNTY &amp; DISTRICT RET</v>
      </c>
    </row>
    <row r="2600" spans="1:8" x14ac:dyDescent="0.25">
      <c r="E2600" t="str">
        <f>""</f>
        <v/>
      </c>
      <c r="F2600" t="str">
        <f>""</f>
        <v/>
      </c>
      <c r="H2600" t="str">
        <f t="shared" si="61"/>
        <v>TEXAS COUNTY &amp; DISTRICT RET</v>
      </c>
    </row>
    <row r="2601" spans="1:8" x14ac:dyDescent="0.25">
      <c r="E2601" t="str">
        <f>""</f>
        <v/>
      </c>
      <c r="F2601" t="str">
        <f>""</f>
        <v/>
      </c>
      <c r="H2601" t="str">
        <f t="shared" si="61"/>
        <v>TEXAS COUNTY &amp; DISTRICT RET</v>
      </c>
    </row>
    <row r="2602" spans="1:8" x14ac:dyDescent="0.25">
      <c r="E2602" t="str">
        <f>""</f>
        <v/>
      </c>
      <c r="F2602" t="str">
        <f>""</f>
        <v/>
      </c>
      <c r="H2602" t="str">
        <f t="shared" si="61"/>
        <v>TEXAS COUNTY &amp; DISTRICT RET</v>
      </c>
    </row>
    <row r="2603" spans="1:8" x14ac:dyDescent="0.25">
      <c r="E2603" t="str">
        <f>""</f>
        <v/>
      </c>
      <c r="F2603" t="str">
        <f>""</f>
        <v/>
      </c>
      <c r="H2603" t="str">
        <f t="shared" si="61"/>
        <v>TEXAS COUNTY &amp; DISTRICT RET</v>
      </c>
    </row>
    <row r="2604" spans="1:8" x14ac:dyDescent="0.25">
      <c r="E2604" t="str">
        <f>""</f>
        <v/>
      </c>
      <c r="F2604" t="str">
        <f>""</f>
        <v/>
      </c>
      <c r="H2604" t="str">
        <f t="shared" si="61"/>
        <v>TEXAS COUNTY &amp; DISTRICT RET</v>
      </c>
    </row>
    <row r="2605" spans="1:8" x14ac:dyDescent="0.25">
      <c r="E2605" t="str">
        <f>""</f>
        <v/>
      </c>
      <c r="F2605" t="str">
        <f>""</f>
        <v/>
      </c>
      <c r="H2605" t="str">
        <f t="shared" si="61"/>
        <v>TEXAS COUNTY &amp; DISTRICT RET</v>
      </c>
    </row>
    <row r="2606" spans="1:8" x14ac:dyDescent="0.25">
      <c r="E2606" t="str">
        <f>""</f>
        <v/>
      </c>
      <c r="F2606" t="str">
        <f>""</f>
        <v/>
      </c>
      <c r="H2606" t="str">
        <f t="shared" si="61"/>
        <v>TEXAS COUNTY &amp; DISTRICT RET</v>
      </c>
    </row>
    <row r="2607" spans="1:8" x14ac:dyDescent="0.25">
      <c r="E2607" t="str">
        <f>""</f>
        <v/>
      </c>
      <c r="F2607" t="str">
        <f>""</f>
        <v/>
      </c>
      <c r="H2607" t="str">
        <f t="shared" si="61"/>
        <v>TEXAS COUNTY &amp; DISTRICT RET</v>
      </c>
    </row>
    <row r="2608" spans="1:8" x14ac:dyDescent="0.25">
      <c r="E2608" t="str">
        <f>""</f>
        <v/>
      </c>
      <c r="F2608" t="str">
        <f>""</f>
        <v/>
      </c>
      <c r="H2608" t="str">
        <f t="shared" si="61"/>
        <v>TEXAS COUNTY &amp; DISTRICT RET</v>
      </c>
    </row>
    <row r="2609" spans="5:8" x14ac:dyDescent="0.25">
      <c r="E2609" t="str">
        <f>""</f>
        <v/>
      </c>
      <c r="F2609" t="str">
        <f>""</f>
        <v/>
      </c>
      <c r="H2609" t="str">
        <f t="shared" si="61"/>
        <v>TEXAS COUNTY &amp; DISTRICT RET</v>
      </c>
    </row>
    <row r="2610" spans="5:8" x14ac:dyDescent="0.25">
      <c r="E2610" t="str">
        <f>""</f>
        <v/>
      </c>
      <c r="F2610" t="str">
        <f>""</f>
        <v/>
      </c>
      <c r="H2610" t="str">
        <f t="shared" si="61"/>
        <v>TEXAS COUNTY &amp; DISTRICT RET</v>
      </c>
    </row>
    <row r="2611" spans="5:8" x14ac:dyDescent="0.25">
      <c r="E2611" t="str">
        <f>""</f>
        <v/>
      </c>
      <c r="F2611" t="str">
        <f>""</f>
        <v/>
      </c>
      <c r="H2611" t="str">
        <f t="shared" si="61"/>
        <v>TEXAS COUNTY &amp; DISTRICT RET</v>
      </c>
    </row>
    <row r="2612" spans="5:8" x14ac:dyDescent="0.25">
      <c r="E2612" t="str">
        <f>""</f>
        <v/>
      </c>
      <c r="F2612" t="str">
        <f>""</f>
        <v/>
      </c>
      <c r="H2612" t="str">
        <f t="shared" si="61"/>
        <v>TEXAS COUNTY &amp; DISTRICT RET</v>
      </c>
    </row>
    <row r="2613" spans="5:8" x14ac:dyDescent="0.25">
      <c r="E2613" t="str">
        <f>""</f>
        <v/>
      </c>
      <c r="F2613" t="str">
        <f>""</f>
        <v/>
      </c>
      <c r="H2613" t="str">
        <f t="shared" si="61"/>
        <v>TEXAS COUNTY &amp; DISTRICT RET</v>
      </c>
    </row>
    <row r="2614" spans="5:8" x14ac:dyDescent="0.25">
      <c r="E2614" t="str">
        <f>""</f>
        <v/>
      </c>
      <c r="F2614" t="str">
        <f>""</f>
        <v/>
      </c>
      <c r="H2614" t="str">
        <f t="shared" si="61"/>
        <v>TEXAS COUNTY &amp; DISTRICT RET</v>
      </c>
    </row>
    <row r="2615" spans="5:8" x14ac:dyDescent="0.25">
      <c r="E2615" t="str">
        <f>""</f>
        <v/>
      </c>
      <c r="F2615" t="str">
        <f>""</f>
        <v/>
      </c>
      <c r="H2615" t="str">
        <f t="shared" si="61"/>
        <v>TEXAS COUNTY &amp; DISTRICT RET</v>
      </c>
    </row>
    <row r="2616" spans="5:8" x14ac:dyDescent="0.25">
      <c r="E2616" t="str">
        <f>""</f>
        <v/>
      </c>
      <c r="F2616" t="str">
        <f>""</f>
        <v/>
      </c>
      <c r="H2616" t="str">
        <f t="shared" si="61"/>
        <v>TEXAS COUNTY &amp; DISTRICT RET</v>
      </c>
    </row>
    <row r="2617" spans="5:8" x14ac:dyDescent="0.25">
      <c r="E2617" t="str">
        <f>""</f>
        <v/>
      </c>
      <c r="F2617" t="str">
        <f>""</f>
        <v/>
      </c>
      <c r="H2617" t="str">
        <f t="shared" si="61"/>
        <v>TEXAS COUNTY &amp; DISTRICT RET</v>
      </c>
    </row>
    <row r="2618" spans="5:8" x14ac:dyDescent="0.25">
      <c r="E2618" t="str">
        <f>""</f>
        <v/>
      </c>
      <c r="F2618" t="str">
        <f>""</f>
        <v/>
      </c>
      <c r="H2618" t="str">
        <f t="shared" si="61"/>
        <v>TEXAS COUNTY &amp; DISTRICT RET</v>
      </c>
    </row>
    <row r="2619" spans="5:8" x14ac:dyDescent="0.25">
      <c r="E2619" t="str">
        <f>""</f>
        <v/>
      </c>
      <c r="F2619" t="str">
        <f>""</f>
        <v/>
      </c>
      <c r="H2619" t="str">
        <f t="shared" si="61"/>
        <v>TEXAS COUNTY &amp; DISTRICT RET</v>
      </c>
    </row>
    <row r="2620" spans="5:8" x14ac:dyDescent="0.25">
      <c r="E2620" t="str">
        <f>""</f>
        <v/>
      </c>
      <c r="F2620" t="str">
        <f>""</f>
        <v/>
      </c>
      <c r="H2620" t="str">
        <f t="shared" si="61"/>
        <v>TEXAS COUNTY &amp; DISTRICT RET</v>
      </c>
    </row>
    <row r="2621" spans="5:8" x14ac:dyDescent="0.25">
      <c r="E2621" t="str">
        <f>""</f>
        <v/>
      </c>
      <c r="F2621" t="str">
        <f>""</f>
        <v/>
      </c>
      <c r="H2621" t="str">
        <f t="shared" si="61"/>
        <v>TEXAS COUNTY &amp; DISTRICT RET</v>
      </c>
    </row>
    <row r="2622" spans="5:8" x14ac:dyDescent="0.25">
      <c r="E2622" t="str">
        <f>""</f>
        <v/>
      </c>
      <c r="F2622" t="str">
        <f>""</f>
        <v/>
      </c>
      <c r="H2622" t="str">
        <f t="shared" si="61"/>
        <v>TEXAS COUNTY &amp; DISTRICT RET</v>
      </c>
    </row>
    <row r="2623" spans="5:8" x14ac:dyDescent="0.25">
      <c r="E2623" t="str">
        <f>""</f>
        <v/>
      </c>
      <c r="F2623" t="str">
        <f>""</f>
        <v/>
      </c>
      <c r="H2623" t="str">
        <f t="shared" si="61"/>
        <v>TEXAS COUNTY &amp; DISTRICT RET</v>
      </c>
    </row>
    <row r="2624" spans="5:8" x14ac:dyDescent="0.25">
      <c r="E2624" t="str">
        <f>""</f>
        <v/>
      </c>
      <c r="F2624" t="str">
        <f>""</f>
        <v/>
      </c>
      <c r="H2624" t="str">
        <f t="shared" si="61"/>
        <v>TEXAS COUNTY &amp; DISTRICT RET</v>
      </c>
    </row>
    <row r="2625" spans="5:8" x14ac:dyDescent="0.25">
      <c r="E2625" t="str">
        <f>""</f>
        <v/>
      </c>
      <c r="F2625" t="str">
        <f>""</f>
        <v/>
      </c>
      <c r="H2625" t="str">
        <f t="shared" ref="H2625:H2644" si="62">"TEXAS COUNTY &amp; DISTRICT RET"</f>
        <v>TEXAS COUNTY &amp; DISTRICT RET</v>
      </c>
    </row>
    <row r="2626" spans="5:8" x14ac:dyDescent="0.25">
      <c r="E2626" t="str">
        <f>""</f>
        <v/>
      </c>
      <c r="F2626" t="str">
        <f>""</f>
        <v/>
      </c>
      <c r="H2626" t="str">
        <f t="shared" si="62"/>
        <v>TEXAS COUNTY &amp; DISTRICT RET</v>
      </c>
    </row>
    <row r="2627" spans="5:8" x14ac:dyDescent="0.25">
      <c r="E2627" t="str">
        <f>""</f>
        <v/>
      </c>
      <c r="F2627" t="str">
        <f>""</f>
        <v/>
      </c>
      <c r="H2627" t="str">
        <f t="shared" si="62"/>
        <v>TEXAS COUNTY &amp; DISTRICT RET</v>
      </c>
    </row>
    <row r="2628" spans="5:8" x14ac:dyDescent="0.25">
      <c r="E2628" t="str">
        <f>""</f>
        <v/>
      </c>
      <c r="F2628" t="str">
        <f>""</f>
        <v/>
      </c>
      <c r="H2628" t="str">
        <f t="shared" si="62"/>
        <v>TEXAS COUNTY &amp; DISTRICT RET</v>
      </c>
    </row>
    <row r="2629" spans="5:8" x14ac:dyDescent="0.25">
      <c r="E2629" t="str">
        <f>""</f>
        <v/>
      </c>
      <c r="F2629" t="str">
        <f>""</f>
        <v/>
      </c>
      <c r="H2629" t="str">
        <f t="shared" si="62"/>
        <v>TEXAS COUNTY &amp; DISTRICT RET</v>
      </c>
    </row>
    <row r="2630" spans="5:8" x14ac:dyDescent="0.25">
      <c r="E2630" t="str">
        <f>""</f>
        <v/>
      </c>
      <c r="F2630" t="str">
        <f>""</f>
        <v/>
      </c>
      <c r="H2630" t="str">
        <f t="shared" si="62"/>
        <v>TEXAS COUNTY &amp; DISTRICT RET</v>
      </c>
    </row>
    <row r="2631" spans="5:8" x14ac:dyDescent="0.25">
      <c r="E2631" t="str">
        <f>""</f>
        <v/>
      </c>
      <c r="F2631" t="str">
        <f>""</f>
        <v/>
      </c>
      <c r="H2631" t="str">
        <f t="shared" si="62"/>
        <v>TEXAS COUNTY &amp; DISTRICT RET</v>
      </c>
    </row>
    <row r="2632" spans="5:8" x14ac:dyDescent="0.25">
      <c r="E2632" t="str">
        <f>""</f>
        <v/>
      </c>
      <c r="F2632" t="str">
        <f>""</f>
        <v/>
      </c>
      <c r="H2632" t="str">
        <f t="shared" si="62"/>
        <v>TEXAS COUNTY &amp; DISTRICT RET</v>
      </c>
    </row>
    <row r="2633" spans="5:8" x14ac:dyDescent="0.25">
      <c r="E2633" t="str">
        <f>""</f>
        <v/>
      </c>
      <c r="F2633" t="str">
        <f>""</f>
        <v/>
      </c>
      <c r="H2633" t="str">
        <f t="shared" si="62"/>
        <v>TEXAS COUNTY &amp; DISTRICT RET</v>
      </c>
    </row>
    <row r="2634" spans="5:8" x14ac:dyDescent="0.25">
      <c r="E2634" t="str">
        <f>""</f>
        <v/>
      </c>
      <c r="F2634" t="str">
        <f>""</f>
        <v/>
      </c>
      <c r="H2634" t="str">
        <f t="shared" si="62"/>
        <v>TEXAS COUNTY &amp; DISTRICT RET</v>
      </c>
    </row>
    <row r="2635" spans="5:8" x14ac:dyDescent="0.25">
      <c r="E2635" t="str">
        <f>""</f>
        <v/>
      </c>
      <c r="F2635" t="str">
        <f>""</f>
        <v/>
      </c>
      <c r="H2635" t="str">
        <f t="shared" si="62"/>
        <v>TEXAS COUNTY &amp; DISTRICT RET</v>
      </c>
    </row>
    <row r="2636" spans="5:8" x14ac:dyDescent="0.25">
      <c r="E2636" t="str">
        <f>""</f>
        <v/>
      </c>
      <c r="F2636" t="str">
        <f>""</f>
        <v/>
      </c>
      <c r="H2636" t="str">
        <f t="shared" si="62"/>
        <v>TEXAS COUNTY &amp; DISTRICT RET</v>
      </c>
    </row>
    <row r="2637" spans="5:8" x14ac:dyDescent="0.25">
      <c r="E2637" t="str">
        <f>""</f>
        <v/>
      </c>
      <c r="F2637" t="str">
        <f>""</f>
        <v/>
      </c>
      <c r="H2637" t="str">
        <f t="shared" si="62"/>
        <v>TEXAS COUNTY &amp; DISTRICT RET</v>
      </c>
    </row>
    <row r="2638" spans="5:8" x14ac:dyDescent="0.25">
      <c r="E2638" t="str">
        <f>""</f>
        <v/>
      </c>
      <c r="F2638" t="str">
        <f>""</f>
        <v/>
      </c>
      <c r="H2638" t="str">
        <f t="shared" si="62"/>
        <v>TEXAS COUNTY &amp; DISTRICT RET</v>
      </c>
    </row>
    <row r="2639" spans="5:8" x14ac:dyDescent="0.25">
      <c r="E2639" t="str">
        <f>""</f>
        <v/>
      </c>
      <c r="F2639" t="str">
        <f>""</f>
        <v/>
      </c>
      <c r="H2639" t="str">
        <f t="shared" si="62"/>
        <v>TEXAS COUNTY &amp; DISTRICT RET</v>
      </c>
    </row>
    <row r="2640" spans="5:8" x14ac:dyDescent="0.25">
      <c r="E2640" t="str">
        <f>""</f>
        <v/>
      </c>
      <c r="F2640" t="str">
        <f>""</f>
        <v/>
      </c>
      <c r="H2640" t="str">
        <f t="shared" si="62"/>
        <v>TEXAS COUNTY &amp; DISTRICT RET</v>
      </c>
    </row>
    <row r="2641" spans="5:8" x14ac:dyDescent="0.25">
      <c r="E2641" t="str">
        <f>""</f>
        <v/>
      </c>
      <c r="F2641" t="str">
        <f>""</f>
        <v/>
      </c>
      <c r="H2641" t="str">
        <f t="shared" si="62"/>
        <v>TEXAS COUNTY &amp; DISTRICT RET</v>
      </c>
    </row>
    <row r="2642" spans="5:8" x14ac:dyDescent="0.25">
      <c r="E2642" t="str">
        <f>""</f>
        <v/>
      </c>
      <c r="F2642" t="str">
        <f>""</f>
        <v/>
      </c>
      <c r="H2642" t="str">
        <f t="shared" si="62"/>
        <v>TEXAS COUNTY &amp; DISTRICT RET</v>
      </c>
    </row>
    <row r="2643" spans="5:8" x14ac:dyDescent="0.25">
      <c r="E2643" t="str">
        <f>""</f>
        <v/>
      </c>
      <c r="F2643" t="str">
        <f>""</f>
        <v/>
      </c>
      <c r="H2643" t="str">
        <f t="shared" si="62"/>
        <v>TEXAS COUNTY &amp; DISTRICT RET</v>
      </c>
    </row>
    <row r="2644" spans="5:8" x14ac:dyDescent="0.25">
      <c r="E2644" t="str">
        <f>""</f>
        <v/>
      </c>
      <c r="F2644" t="str">
        <f>""</f>
        <v/>
      </c>
      <c r="H2644" t="str">
        <f t="shared" si="62"/>
        <v>TEXAS COUNTY &amp; DISTRICT RET</v>
      </c>
    </row>
    <row r="2645" spans="5:8" x14ac:dyDescent="0.25">
      <c r="E2645" t="str">
        <f>"RET202107074400"</f>
        <v>RET202107074400</v>
      </c>
      <c r="F2645" t="str">
        <f>"TEXAS COUNTY  DISTRICT RET"</f>
        <v>TEXAS COUNTY  DISTRICT RET</v>
      </c>
      <c r="G2645" s="5">
        <v>5587.2</v>
      </c>
      <c r="H2645" t="str">
        <f>"TEXAS COUNTY  DISTRICT RET"</f>
        <v>TEXAS COUNTY  DISTRICT RET</v>
      </c>
    </row>
    <row r="2646" spans="5:8" x14ac:dyDescent="0.25">
      <c r="E2646" t="str">
        <f>""</f>
        <v/>
      </c>
      <c r="F2646" t="str">
        <f>""</f>
        <v/>
      </c>
      <c r="H2646" t="str">
        <f>"TEXAS COUNTY  DISTRICT RET"</f>
        <v>TEXAS COUNTY  DISTRICT RET</v>
      </c>
    </row>
    <row r="2647" spans="5:8" x14ac:dyDescent="0.25">
      <c r="E2647" t="str">
        <f>"RET202107074401"</f>
        <v>RET202107074401</v>
      </c>
      <c r="F2647" t="str">
        <f>"TEXAS COUNTY &amp; DISTRICT RET"</f>
        <v>TEXAS COUNTY &amp; DISTRICT RET</v>
      </c>
      <c r="G2647" s="5">
        <v>6676.56</v>
      </c>
      <c r="H2647" t="str">
        <f t="shared" ref="H2647:H2678" si="63">"TEXAS COUNTY &amp; DISTRICT RET"</f>
        <v>TEXAS COUNTY &amp; DISTRICT RET</v>
      </c>
    </row>
    <row r="2648" spans="5:8" x14ac:dyDescent="0.25">
      <c r="E2648" t="str">
        <f>""</f>
        <v/>
      </c>
      <c r="F2648" t="str">
        <f>""</f>
        <v/>
      </c>
      <c r="H2648" t="str">
        <f t="shared" si="63"/>
        <v>TEXAS COUNTY &amp; DISTRICT RET</v>
      </c>
    </row>
    <row r="2649" spans="5:8" x14ac:dyDescent="0.25">
      <c r="E2649" t="str">
        <f>"RET202107214729"</f>
        <v>RET202107214729</v>
      </c>
      <c r="F2649" t="str">
        <f>"TEXAS COUNTY &amp; DISTRICT RET"</f>
        <v>TEXAS COUNTY &amp; DISTRICT RET</v>
      </c>
      <c r="G2649" s="5">
        <v>175903.97</v>
      </c>
      <c r="H2649" t="str">
        <f t="shared" si="63"/>
        <v>TEXAS COUNTY &amp; DISTRICT RET</v>
      </c>
    </row>
    <row r="2650" spans="5:8" x14ac:dyDescent="0.25">
      <c r="E2650" t="str">
        <f>""</f>
        <v/>
      </c>
      <c r="F2650" t="str">
        <f>""</f>
        <v/>
      </c>
      <c r="H2650" t="str">
        <f t="shared" si="63"/>
        <v>TEXAS COUNTY &amp; DISTRICT RET</v>
      </c>
    </row>
    <row r="2651" spans="5:8" x14ac:dyDescent="0.25">
      <c r="E2651" t="str">
        <f>""</f>
        <v/>
      </c>
      <c r="F2651" t="str">
        <f>""</f>
        <v/>
      </c>
      <c r="H2651" t="str">
        <f t="shared" si="63"/>
        <v>TEXAS COUNTY &amp; DISTRICT RET</v>
      </c>
    </row>
    <row r="2652" spans="5:8" x14ac:dyDescent="0.25">
      <c r="E2652" t="str">
        <f>""</f>
        <v/>
      </c>
      <c r="F2652" t="str">
        <f>""</f>
        <v/>
      </c>
      <c r="H2652" t="str">
        <f t="shared" si="63"/>
        <v>TEXAS COUNTY &amp; DISTRICT RET</v>
      </c>
    </row>
    <row r="2653" spans="5:8" x14ac:dyDescent="0.25">
      <c r="E2653" t="str">
        <f>""</f>
        <v/>
      </c>
      <c r="F2653" t="str">
        <f>""</f>
        <v/>
      </c>
      <c r="H2653" t="str">
        <f t="shared" si="63"/>
        <v>TEXAS COUNTY &amp; DISTRICT RET</v>
      </c>
    </row>
    <row r="2654" spans="5:8" x14ac:dyDescent="0.25">
      <c r="E2654" t="str">
        <f>""</f>
        <v/>
      </c>
      <c r="F2654" t="str">
        <f>""</f>
        <v/>
      </c>
      <c r="H2654" t="str">
        <f t="shared" si="63"/>
        <v>TEXAS COUNTY &amp; DISTRICT RET</v>
      </c>
    </row>
    <row r="2655" spans="5:8" x14ac:dyDescent="0.25">
      <c r="E2655" t="str">
        <f>""</f>
        <v/>
      </c>
      <c r="F2655" t="str">
        <f>""</f>
        <v/>
      </c>
      <c r="H2655" t="str">
        <f t="shared" si="63"/>
        <v>TEXAS COUNTY &amp; DISTRICT RET</v>
      </c>
    </row>
    <row r="2656" spans="5:8" x14ac:dyDescent="0.25">
      <c r="E2656" t="str">
        <f>""</f>
        <v/>
      </c>
      <c r="F2656" t="str">
        <f>""</f>
        <v/>
      </c>
      <c r="H2656" t="str">
        <f t="shared" si="63"/>
        <v>TEXAS COUNTY &amp; DISTRICT RET</v>
      </c>
    </row>
    <row r="2657" spans="5:8" x14ac:dyDescent="0.25">
      <c r="E2657" t="str">
        <f>""</f>
        <v/>
      </c>
      <c r="F2657" t="str">
        <f>""</f>
        <v/>
      </c>
      <c r="H2657" t="str">
        <f t="shared" si="63"/>
        <v>TEXAS COUNTY &amp; DISTRICT RET</v>
      </c>
    </row>
    <row r="2658" spans="5:8" x14ac:dyDescent="0.25">
      <c r="E2658" t="str">
        <f>""</f>
        <v/>
      </c>
      <c r="F2658" t="str">
        <f>""</f>
        <v/>
      </c>
      <c r="H2658" t="str">
        <f t="shared" si="63"/>
        <v>TEXAS COUNTY &amp; DISTRICT RET</v>
      </c>
    </row>
    <row r="2659" spans="5:8" x14ac:dyDescent="0.25">
      <c r="E2659" t="str">
        <f>""</f>
        <v/>
      </c>
      <c r="F2659" t="str">
        <f>""</f>
        <v/>
      </c>
      <c r="H2659" t="str">
        <f t="shared" si="63"/>
        <v>TEXAS COUNTY &amp; DISTRICT RET</v>
      </c>
    </row>
    <row r="2660" spans="5:8" x14ac:dyDescent="0.25">
      <c r="E2660" t="str">
        <f>""</f>
        <v/>
      </c>
      <c r="F2660" t="str">
        <f>""</f>
        <v/>
      </c>
      <c r="H2660" t="str">
        <f t="shared" si="63"/>
        <v>TEXAS COUNTY &amp; DISTRICT RET</v>
      </c>
    </row>
    <row r="2661" spans="5:8" x14ac:dyDescent="0.25">
      <c r="E2661" t="str">
        <f>""</f>
        <v/>
      </c>
      <c r="F2661" t="str">
        <f>""</f>
        <v/>
      </c>
      <c r="H2661" t="str">
        <f t="shared" si="63"/>
        <v>TEXAS COUNTY &amp; DISTRICT RET</v>
      </c>
    </row>
    <row r="2662" spans="5:8" x14ac:dyDescent="0.25">
      <c r="E2662" t="str">
        <f>""</f>
        <v/>
      </c>
      <c r="F2662" t="str">
        <f>""</f>
        <v/>
      </c>
      <c r="H2662" t="str">
        <f t="shared" si="63"/>
        <v>TEXAS COUNTY &amp; DISTRICT RET</v>
      </c>
    </row>
    <row r="2663" spans="5:8" x14ac:dyDescent="0.25">
      <c r="E2663" t="str">
        <f>""</f>
        <v/>
      </c>
      <c r="F2663" t="str">
        <f>""</f>
        <v/>
      </c>
      <c r="H2663" t="str">
        <f t="shared" si="63"/>
        <v>TEXAS COUNTY &amp; DISTRICT RET</v>
      </c>
    </row>
    <row r="2664" spans="5:8" x14ac:dyDescent="0.25">
      <c r="E2664" t="str">
        <f>""</f>
        <v/>
      </c>
      <c r="F2664" t="str">
        <f>""</f>
        <v/>
      </c>
      <c r="H2664" t="str">
        <f t="shared" si="63"/>
        <v>TEXAS COUNTY &amp; DISTRICT RET</v>
      </c>
    </row>
    <row r="2665" spans="5:8" x14ac:dyDescent="0.25">
      <c r="E2665" t="str">
        <f>""</f>
        <v/>
      </c>
      <c r="F2665" t="str">
        <f>""</f>
        <v/>
      </c>
      <c r="H2665" t="str">
        <f t="shared" si="63"/>
        <v>TEXAS COUNTY &amp; DISTRICT RET</v>
      </c>
    </row>
    <row r="2666" spans="5:8" x14ac:dyDescent="0.25">
      <c r="E2666" t="str">
        <f>""</f>
        <v/>
      </c>
      <c r="F2666" t="str">
        <f>""</f>
        <v/>
      </c>
      <c r="H2666" t="str">
        <f t="shared" si="63"/>
        <v>TEXAS COUNTY &amp; DISTRICT RET</v>
      </c>
    </row>
    <row r="2667" spans="5:8" x14ac:dyDescent="0.25">
      <c r="E2667" t="str">
        <f>""</f>
        <v/>
      </c>
      <c r="F2667" t="str">
        <f>""</f>
        <v/>
      </c>
      <c r="H2667" t="str">
        <f t="shared" si="63"/>
        <v>TEXAS COUNTY &amp; DISTRICT RET</v>
      </c>
    </row>
    <row r="2668" spans="5:8" x14ac:dyDescent="0.25">
      <c r="E2668" t="str">
        <f>""</f>
        <v/>
      </c>
      <c r="F2668" t="str">
        <f>""</f>
        <v/>
      </c>
      <c r="H2668" t="str">
        <f t="shared" si="63"/>
        <v>TEXAS COUNTY &amp; DISTRICT RET</v>
      </c>
    </row>
    <row r="2669" spans="5:8" x14ac:dyDescent="0.25">
      <c r="E2669" t="str">
        <f>""</f>
        <v/>
      </c>
      <c r="F2669" t="str">
        <f>""</f>
        <v/>
      </c>
      <c r="H2669" t="str">
        <f t="shared" si="63"/>
        <v>TEXAS COUNTY &amp; DISTRICT RET</v>
      </c>
    </row>
    <row r="2670" spans="5:8" x14ac:dyDescent="0.25">
      <c r="E2670" t="str">
        <f>""</f>
        <v/>
      </c>
      <c r="F2670" t="str">
        <f>""</f>
        <v/>
      </c>
      <c r="H2670" t="str">
        <f t="shared" si="63"/>
        <v>TEXAS COUNTY &amp; DISTRICT RET</v>
      </c>
    </row>
    <row r="2671" spans="5:8" x14ac:dyDescent="0.25">
      <c r="E2671" t="str">
        <f>""</f>
        <v/>
      </c>
      <c r="F2671" t="str">
        <f>""</f>
        <v/>
      </c>
      <c r="H2671" t="str">
        <f t="shared" si="63"/>
        <v>TEXAS COUNTY &amp; DISTRICT RET</v>
      </c>
    </row>
    <row r="2672" spans="5:8" x14ac:dyDescent="0.25">
      <c r="E2672" t="str">
        <f>""</f>
        <v/>
      </c>
      <c r="F2672" t="str">
        <f>""</f>
        <v/>
      </c>
      <c r="H2672" t="str">
        <f t="shared" si="63"/>
        <v>TEXAS COUNTY &amp; DISTRICT RET</v>
      </c>
    </row>
    <row r="2673" spans="5:8" x14ac:dyDescent="0.25">
      <c r="E2673" t="str">
        <f>""</f>
        <v/>
      </c>
      <c r="F2673" t="str">
        <f>""</f>
        <v/>
      </c>
      <c r="H2673" t="str">
        <f t="shared" si="63"/>
        <v>TEXAS COUNTY &amp; DISTRICT RET</v>
      </c>
    </row>
    <row r="2674" spans="5:8" x14ac:dyDescent="0.25">
      <c r="E2674" t="str">
        <f>""</f>
        <v/>
      </c>
      <c r="F2674" t="str">
        <f>""</f>
        <v/>
      </c>
      <c r="H2674" t="str">
        <f t="shared" si="63"/>
        <v>TEXAS COUNTY &amp; DISTRICT RET</v>
      </c>
    </row>
    <row r="2675" spans="5:8" x14ac:dyDescent="0.25">
      <c r="E2675" t="str">
        <f>""</f>
        <v/>
      </c>
      <c r="F2675" t="str">
        <f>""</f>
        <v/>
      </c>
      <c r="H2675" t="str">
        <f t="shared" si="63"/>
        <v>TEXAS COUNTY &amp; DISTRICT RET</v>
      </c>
    </row>
    <row r="2676" spans="5:8" x14ac:dyDescent="0.25">
      <c r="E2676" t="str">
        <f>""</f>
        <v/>
      </c>
      <c r="F2676" t="str">
        <f>""</f>
        <v/>
      </c>
      <c r="H2676" t="str">
        <f t="shared" si="63"/>
        <v>TEXAS COUNTY &amp; DISTRICT RET</v>
      </c>
    </row>
    <row r="2677" spans="5:8" x14ac:dyDescent="0.25">
      <c r="E2677" t="str">
        <f>""</f>
        <v/>
      </c>
      <c r="F2677" t="str">
        <f>""</f>
        <v/>
      </c>
      <c r="H2677" t="str">
        <f t="shared" si="63"/>
        <v>TEXAS COUNTY &amp; DISTRICT RET</v>
      </c>
    </row>
    <row r="2678" spans="5:8" x14ac:dyDescent="0.25">
      <c r="E2678" t="str">
        <f>""</f>
        <v/>
      </c>
      <c r="F2678" t="str">
        <f>""</f>
        <v/>
      </c>
      <c r="H2678" t="str">
        <f t="shared" si="63"/>
        <v>TEXAS COUNTY &amp; DISTRICT RET</v>
      </c>
    </row>
    <row r="2679" spans="5:8" x14ac:dyDescent="0.25">
      <c r="E2679" t="str">
        <f>""</f>
        <v/>
      </c>
      <c r="F2679" t="str">
        <f>""</f>
        <v/>
      </c>
      <c r="H2679" t="str">
        <f t="shared" ref="H2679:H2700" si="64">"TEXAS COUNTY &amp; DISTRICT RET"</f>
        <v>TEXAS COUNTY &amp; DISTRICT RET</v>
      </c>
    </row>
    <row r="2680" spans="5:8" x14ac:dyDescent="0.25">
      <c r="E2680" t="str">
        <f>""</f>
        <v/>
      </c>
      <c r="F2680" t="str">
        <f>""</f>
        <v/>
      </c>
      <c r="H2680" t="str">
        <f t="shared" si="64"/>
        <v>TEXAS COUNTY &amp; DISTRICT RET</v>
      </c>
    </row>
    <row r="2681" spans="5:8" x14ac:dyDescent="0.25">
      <c r="E2681" t="str">
        <f>""</f>
        <v/>
      </c>
      <c r="F2681" t="str">
        <f>""</f>
        <v/>
      </c>
      <c r="H2681" t="str">
        <f t="shared" si="64"/>
        <v>TEXAS COUNTY &amp; DISTRICT RET</v>
      </c>
    </row>
    <row r="2682" spans="5:8" x14ac:dyDescent="0.25">
      <c r="E2682" t="str">
        <f>""</f>
        <v/>
      </c>
      <c r="F2682" t="str">
        <f>""</f>
        <v/>
      </c>
      <c r="H2682" t="str">
        <f t="shared" si="64"/>
        <v>TEXAS COUNTY &amp; DISTRICT RET</v>
      </c>
    </row>
    <row r="2683" spans="5:8" x14ac:dyDescent="0.25">
      <c r="E2683" t="str">
        <f>""</f>
        <v/>
      </c>
      <c r="F2683" t="str">
        <f>""</f>
        <v/>
      </c>
      <c r="H2683" t="str">
        <f t="shared" si="64"/>
        <v>TEXAS COUNTY &amp; DISTRICT RET</v>
      </c>
    </row>
    <row r="2684" spans="5:8" x14ac:dyDescent="0.25">
      <c r="E2684" t="str">
        <f>""</f>
        <v/>
      </c>
      <c r="F2684" t="str">
        <f>""</f>
        <v/>
      </c>
      <c r="H2684" t="str">
        <f t="shared" si="64"/>
        <v>TEXAS COUNTY &amp; DISTRICT RET</v>
      </c>
    </row>
    <row r="2685" spans="5:8" x14ac:dyDescent="0.25">
      <c r="E2685" t="str">
        <f>""</f>
        <v/>
      </c>
      <c r="F2685" t="str">
        <f>""</f>
        <v/>
      </c>
      <c r="H2685" t="str">
        <f t="shared" si="64"/>
        <v>TEXAS COUNTY &amp; DISTRICT RET</v>
      </c>
    </row>
    <row r="2686" spans="5:8" x14ac:dyDescent="0.25">
      <c r="E2686" t="str">
        <f>""</f>
        <v/>
      </c>
      <c r="F2686" t="str">
        <f>""</f>
        <v/>
      </c>
      <c r="H2686" t="str">
        <f t="shared" si="64"/>
        <v>TEXAS COUNTY &amp; DISTRICT RET</v>
      </c>
    </row>
    <row r="2687" spans="5:8" x14ac:dyDescent="0.25">
      <c r="E2687" t="str">
        <f>""</f>
        <v/>
      </c>
      <c r="F2687" t="str">
        <f>""</f>
        <v/>
      </c>
      <c r="H2687" t="str">
        <f t="shared" si="64"/>
        <v>TEXAS COUNTY &amp; DISTRICT RET</v>
      </c>
    </row>
    <row r="2688" spans="5:8" x14ac:dyDescent="0.25">
      <c r="E2688" t="str">
        <f>""</f>
        <v/>
      </c>
      <c r="F2688" t="str">
        <f>""</f>
        <v/>
      </c>
      <c r="H2688" t="str">
        <f t="shared" si="64"/>
        <v>TEXAS COUNTY &amp; DISTRICT RET</v>
      </c>
    </row>
    <row r="2689" spans="5:8" x14ac:dyDescent="0.25">
      <c r="E2689" t="str">
        <f>""</f>
        <v/>
      </c>
      <c r="F2689" t="str">
        <f>""</f>
        <v/>
      </c>
      <c r="H2689" t="str">
        <f t="shared" si="64"/>
        <v>TEXAS COUNTY &amp; DISTRICT RET</v>
      </c>
    </row>
    <row r="2690" spans="5:8" x14ac:dyDescent="0.25">
      <c r="E2690" t="str">
        <f>""</f>
        <v/>
      </c>
      <c r="F2690" t="str">
        <f>""</f>
        <v/>
      </c>
      <c r="H2690" t="str">
        <f t="shared" si="64"/>
        <v>TEXAS COUNTY &amp; DISTRICT RET</v>
      </c>
    </row>
    <row r="2691" spans="5:8" x14ac:dyDescent="0.25">
      <c r="E2691" t="str">
        <f>""</f>
        <v/>
      </c>
      <c r="F2691" t="str">
        <f>""</f>
        <v/>
      </c>
      <c r="H2691" t="str">
        <f t="shared" si="64"/>
        <v>TEXAS COUNTY &amp; DISTRICT RET</v>
      </c>
    </row>
    <row r="2692" spans="5:8" x14ac:dyDescent="0.25">
      <c r="E2692" t="str">
        <f>""</f>
        <v/>
      </c>
      <c r="F2692" t="str">
        <f>""</f>
        <v/>
      </c>
      <c r="H2692" t="str">
        <f t="shared" si="64"/>
        <v>TEXAS COUNTY &amp; DISTRICT RET</v>
      </c>
    </row>
    <row r="2693" spans="5:8" x14ac:dyDescent="0.25">
      <c r="E2693" t="str">
        <f>""</f>
        <v/>
      </c>
      <c r="F2693" t="str">
        <f>""</f>
        <v/>
      </c>
      <c r="H2693" t="str">
        <f t="shared" si="64"/>
        <v>TEXAS COUNTY &amp; DISTRICT RET</v>
      </c>
    </row>
    <row r="2694" spans="5:8" x14ac:dyDescent="0.25">
      <c r="E2694" t="str">
        <f>""</f>
        <v/>
      </c>
      <c r="F2694" t="str">
        <f>""</f>
        <v/>
      </c>
      <c r="H2694" t="str">
        <f t="shared" si="64"/>
        <v>TEXAS COUNTY &amp; DISTRICT RET</v>
      </c>
    </row>
    <row r="2695" spans="5:8" x14ac:dyDescent="0.25">
      <c r="E2695" t="str">
        <f>""</f>
        <v/>
      </c>
      <c r="F2695" t="str">
        <f>""</f>
        <v/>
      </c>
      <c r="H2695" t="str">
        <f t="shared" si="64"/>
        <v>TEXAS COUNTY &amp; DISTRICT RET</v>
      </c>
    </row>
    <row r="2696" spans="5:8" x14ac:dyDescent="0.25">
      <c r="E2696" t="str">
        <f>""</f>
        <v/>
      </c>
      <c r="F2696" t="str">
        <f>""</f>
        <v/>
      </c>
      <c r="H2696" t="str">
        <f t="shared" si="64"/>
        <v>TEXAS COUNTY &amp; DISTRICT RET</v>
      </c>
    </row>
    <row r="2697" spans="5:8" x14ac:dyDescent="0.25">
      <c r="E2697" t="str">
        <f>""</f>
        <v/>
      </c>
      <c r="F2697" t="str">
        <f>""</f>
        <v/>
      </c>
      <c r="H2697" t="str">
        <f t="shared" si="64"/>
        <v>TEXAS COUNTY &amp; DISTRICT RET</v>
      </c>
    </row>
    <row r="2698" spans="5:8" x14ac:dyDescent="0.25">
      <c r="E2698" t="str">
        <f>""</f>
        <v/>
      </c>
      <c r="F2698" t="str">
        <f>""</f>
        <v/>
      </c>
      <c r="H2698" t="str">
        <f t="shared" si="64"/>
        <v>TEXAS COUNTY &amp; DISTRICT RET</v>
      </c>
    </row>
    <row r="2699" spans="5:8" x14ac:dyDescent="0.25">
      <c r="E2699" t="str">
        <f>""</f>
        <v/>
      </c>
      <c r="F2699" t="str">
        <f>""</f>
        <v/>
      </c>
      <c r="H2699" t="str">
        <f t="shared" si="64"/>
        <v>TEXAS COUNTY &amp; DISTRICT RET</v>
      </c>
    </row>
    <row r="2700" spans="5:8" x14ac:dyDescent="0.25">
      <c r="E2700" t="str">
        <f>""</f>
        <v/>
      </c>
      <c r="F2700" t="str">
        <f>""</f>
        <v/>
      </c>
      <c r="H2700" t="str">
        <f t="shared" si="64"/>
        <v>TEXAS COUNTY &amp; DISTRICT RET</v>
      </c>
    </row>
    <row r="2701" spans="5:8" x14ac:dyDescent="0.25">
      <c r="E2701" t="str">
        <f>"RET202107214730"</f>
        <v>RET202107214730</v>
      </c>
      <c r="F2701" t="str">
        <f>"TEXAS COUNTY  DISTRICT RET"</f>
        <v>TEXAS COUNTY  DISTRICT RET</v>
      </c>
      <c r="G2701" s="5">
        <v>5580.09</v>
      </c>
      <c r="H2701" t="str">
        <f>"TEXAS COUNTY  DISTRICT RET"</f>
        <v>TEXAS COUNTY  DISTRICT RET</v>
      </c>
    </row>
    <row r="2702" spans="5:8" x14ac:dyDescent="0.25">
      <c r="E2702" t="str">
        <f>""</f>
        <v/>
      </c>
      <c r="F2702" t="str">
        <f>""</f>
        <v/>
      </c>
      <c r="H2702" t="str">
        <f>"TEXAS COUNTY  DISTRICT RET"</f>
        <v>TEXAS COUNTY  DISTRICT RET</v>
      </c>
    </row>
    <row r="2703" spans="5:8" x14ac:dyDescent="0.25">
      <c r="E2703" t="str">
        <f>"RET202107214731"</f>
        <v>RET202107214731</v>
      </c>
      <c r="F2703" t="str">
        <f>"TEXAS COUNTY &amp; DISTRICT RET"</f>
        <v>TEXAS COUNTY &amp; DISTRICT RET</v>
      </c>
      <c r="G2703" s="5">
        <v>6685.11</v>
      </c>
      <c r="H2703" t="str">
        <f>"TEXAS COUNTY &amp; DISTRICT RET"</f>
        <v>TEXAS COUNTY &amp; DISTRICT RET</v>
      </c>
    </row>
    <row r="2704" spans="5:8" x14ac:dyDescent="0.25">
      <c r="E2704" t="str">
        <f>""</f>
        <v/>
      </c>
      <c r="F2704" t="str">
        <f>""</f>
        <v/>
      </c>
      <c r="H2704" t="str">
        <f>"TEXAS COUNTY &amp; DISTRICT RET"</f>
        <v>TEXAS COUNTY &amp; DISTRICT RET</v>
      </c>
    </row>
    <row r="2705" spans="1:8" x14ac:dyDescent="0.25">
      <c r="A2705" t="s">
        <v>448</v>
      </c>
      <c r="B2705">
        <v>48422</v>
      </c>
      <c r="C2705" s="5">
        <v>1740</v>
      </c>
      <c r="D2705" s="3">
        <v>44404</v>
      </c>
      <c r="E2705" t="str">
        <f>"LEG202107074399"</f>
        <v>LEG202107074399</v>
      </c>
      <c r="F2705" t="str">
        <f>"TEXAS LEGAL PROTECTION PLAN"</f>
        <v>TEXAS LEGAL PROTECTION PLAN</v>
      </c>
      <c r="G2705" s="5">
        <v>342</v>
      </c>
      <c r="H2705" t="str">
        <f>"TEXAS LEGAL PROTECTION PLAN"</f>
        <v>TEXAS LEGAL PROTECTION PLAN</v>
      </c>
    </row>
    <row r="2706" spans="1:8" x14ac:dyDescent="0.25">
      <c r="E2706" t="str">
        <f>"LEG202107214729"</f>
        <v>LEG202107214729</v>
      </c>
      <c r="F2706" t="str">
        <f>"TEXAS LEGAL PROTECTION PLAN"</f>
        <v>TEXAS LEGAL PROTECTION PLAN</v>
      </c>
      <c r="G2706" s="5">
        <v>342</v>
      </c>
      <c r="H2706" t="str">
        <f>"TEXAS LEGAL PROTECTION PLAN"</f>
        <v>TEXAS LEGAL PROTECTION PLAN</v>
      </c>
    </row>
    <row r="2707" spans="1:8" x14ac:dyDescent="0.25">
      <c r="E2707" t="str">
        <f>"LGF202107074399"</f>
        <v>LGF202107074399</v>
      </c>
      <c r="F2707" t="str">
        <f>"TEXAS LEGAL PROTECTION PLAN"</f>
        <v>TEXAS LEGAL PROTECTION PLAN</v>
      </c>
      <c r="G2707" s="5">
        <v>544</v>
      </c>
      <c r="H2707" t="str">
        <f>"TEXAS LEGAL PROTECTION PLAN"</f>
        <v>TEXAS LEGAL PROTECTION PLAN</v>
      </c>
    </row>
    <row r="2708" spans="1:8" x14ac:dyDescent="0.25">
      <c r="E2708" t="str">
        <f>"LGF202107214729"</f>
        <v>LGF202107214729</v>
      </c>
      <c r="F2708" t="str">
        <f>"TEXAS LEGAL PROTECTION PLAN"</f>
        <v>TEXAS LEGAL PROTECTION PLAN</v>
      </c>
      <c r="G2708" s="5">
        <v>512</v>
      </c>
      <c r="H2708" t="str">
        <f>"TEXAS LEGAL PROTECTION PLAN"</f>
        <v>TEXAS LEGAL PROTECTION PLAN</v>
      </c>
    </row>
    <row r="2709" spans="1:8" x14ac:dyDescent="0.25">
      <c r="A2709" t="s">
        <v>449</v>
      </c>
      <c r="B2709">
        <v>1178</v>
      </c>
      <c r="C2709" s="5">
        <v>10.99</v>
      </c>
      <c r="D2709" s="3">
        <v>44397</v>
      </c>
      <c r="E2709" t="str">
        <f>"202107194592"</f>
        <v>202107194592</v>
      </c>
      <c r="F2709" t="str">
        <f>"ACCT#72-5613 / 07/03/2021"</f>
        <v>ACCT#72-5613 / 07/03/2021</v>
      </c>
      <c r="G2709" s="5">
        <v>10.99</v>
      </c>
      <c r="H2709" t="str">
        <f t="shared" ref="H2709:H2745" si="65">"ACCT#72-5613 / 07/03/2021"</f>
        <v>ACCT#72-5613 / 07/03/2021</v>
      </c>
    </row>
    <row r="2710" spans="1:8" x14ac:dyDescent="0.25">
      <c r="A2710" t="s">
        <v>43</v>
      </c>
      <c r="B2710">
        <v>1188</v>
      </c>
      <c r="C2710" s="5">
        <v>119.83</v>
      </c>
      <c r="D2710" s="3">
        <v>44397</v>
      </c>
      <c r="E2710" t="str">
        <f>"202107194603"</f>
        <v>202107194603</v>
      </c>
      <c r="F2710" t="str">
        <f>"ACCT#72-5613 / 07/03/2021"</f>
        <v>ACCT#72-5613 / 07/03/2021</v>
      </c>
      <c r="G2710" s="5">
        <v>119.83</v>
      </c>
      <c r="H2710" t="str">
        <f t="shared" si="65"/>
        <v>ACCT#72-5613 / 07/03/2021</v>
      </c>
    </row>
    <row r="2711" spans="1:8" x14ac:dyDescent="0.25">
      <c r="A2711" t="s">
        <v>450</v>
      </c>
      <c r="B2711">
        <v>1189</v>
      </c>
      <c r="C2711" s="5">
        <v>77.569999999999993</v>
      </c>
      <c r="D2711" s="3">
        <v>44397</v>
      </c>
      <c r="E2711" t="str">
        <f>"202107194604"</f>
        <v>202107194604</v>
      </c>
      <c r="F2711" t="str">
        <f>"ACCT#72-5613 / 07/03/2021"</f>
        <v>ACCT#72-5613 / 07/03/2021</v>
      </c>
      <c r="G2711" s="5">
        <v>77.569999999999993</v>
      </c>
      <c r="H2711" t="str">
        <f t="shared" si="65"/>
        <v>ACCT#72-5613 / 07/03/2021</v>
      </c>
    </row>
    <row r="2712" spans="1:8" x14ac:dyDescent="0.25">
      <c r="A2712" t="s">
        <v>451</v>
      </c>
      <c r="B2712">
        <v>1179</v>
      </c>
      <c r="C2712" s="5">
        <v>511.95</v>
      </c>
      <c r="D2712" s="3">
        <v>44397</v>
      </c>
      <c r="E2712" t="str">
        <f>"202107194593"</f>
        <v>202107194593</v>
      </c>
      <c r="F2712" t="str">
        <f>"ACCT#72-5613 / 07/03/2021"</f>
        <v>ACCT#72-5613 / 07/03/2021</v>
      </c>
      <c r="G2712" s="5">
        <v>511.95</v>
      </c>
      <c r="H2712" t="str">
        <f t="shared" si="65"/>
        <v>ACCT#72-5613 / 07/03/2021</v>
      </c>
    </row>
    <row r="2713" spans="1:8" x14ac:dyDescent="0.25">
      <c r="E2713" t="str">
        <f>""</f>
        <v/>
      </c>
      <c r="F2713" t="str">
        <f>""</f>
        <v/>
      </c>
      <c r="H2713" t="str">
        <f t="shared" si="65"/>
        <v>ACCT#72-5613 / 07/03/2021</v>
      </c>
    </row>
    <row r="2714" spans="1:8" x14ac:dyDescent="0.25">
      <c r="E2714" t="str">
        <f>""</f>
        <v/>
      </c>
      <c r="F2714" t="str">
        <f>""</f>
        <v/>
      </c>
      <c r="H2714" t="str">
        <f t="shared" si="65"/>
        <v>ACCT#72-5613 / 07/03/2021</v>
      </c>
    </row>
    <row r="2715" spans="1:8" x14ac:dyDescent="0.25">
      <c r="A2715" t="s">
        <v>452</v>
      </c>
      <c r="B2715">
        <v>1193</v>
      </c>
      <c r="C2715" s="5">
        <v>80</v>
      </c>
      <c r="D2715" s="3">
        <v>44397</v>
      </c>
      <c r="E2715" t="str">
        <f>"202107194613"</f>
        <v>202107194613</v>
      </c>
      <c r="F2715" t="str">
        <f>"ACCT#72-5613 / 07/03/2021"</f>
        <v>ACCT#72-5613 / 07/03/2021</v>
      </c>
      <c r="G2715" s="5">
        <v>80</v>
      </c>
      <c r="H2715" t="str">
        <f t="shared" si="65"/>
        <v>ACCT#72-5613 / 07/03/2021</v>
      </c>
    </row>
    <row r="2716" spans="1:8" x14ac:dyDescent="0.25">
      <c r="A2716" t="s">
        <v>453</v>
      </c>
      <c r="B2716">
        <v>1185</v>
      </c>
      <c r="C2716" s="5">
        <v>99.5</v>
      </c>
      <c r="D2716" s="3">
        <v>44397</v>
      </c>
      <c r="E2716" t="str">
        <f>"202107194600"</f>
        <v>202107194600</v>
      </c>
      <c r="F2716" t="str">
        <f>"ACCT#72-5613 / 07/03/2021"</f>
        <v>ACCT#72-5613 / 07/03/2021</v>
      </c>
      <c r="G2716" s="5">
        <v>99.5</v>
      </c>
      <c r="H2716" t="str">
        <f t="shared" si="65"/>
        <v>ACCT#72-5613 / 07/03/2021</v>
      </c>
    </row>
    <row r="2717" spans="1:8" x14ac:dyDescent="0.25">
      <c r="A2717" t="s">
        <v>454</v>
      </c>
      <c r="B2717">
        <v>1176</v>
      </c>
      <c r="C2717" s="5">
        <v>93.83</v>
      </c>
      <c r="D2717" s="3">
        <v>44397</v>
      </c>
      <c r="E2717" t="str">
        <f>"202107194590"</f>
        <v>202107194590</v>
      </c>
      <c r="F2717" t="str">
        <f>"ACCT#72-5613 / 07/03/2021"</f>
        <v>ACCT#72-5613 / 07/03/2021</v>
      </c>
      <c r="G2717" s="5">
        <v>93.83</v>
      </c>
      <c r="H2717" t="str">
        <f t="shared" si="65"/>
        <v>ACCT#72-5613 / 07/03/2021</v>
      </c>
    </row>
    <row r="2718" spans="1:8" x14ac:dyDescent="0.25">
      <c r="E2718" t="str">
        <f>""</f>
        <v/>
      </c>
      <c r="F2718" t="str">
        <f>""</f>
        <v/>
      </c>
      <c r="H2718" t="str">
        <f t="shared" si="65"/>
        <v>ACCT#72-5613 / 07/03/2021</v>
      </c>
    </row>
    <row r="2719" spans="1:8" x14ac:dyDescent="0.25">
      <c r="E2719" t="str">
        <f>""</f>
        <v/>
      </c>
      <c r="F2719" t="str">
        <f>""</f>
        <v/>
      </c>
      <c r="H2719" t="str">
        <f t="shared" si="65"/>
        <v>ACCT#72-5613 / 07/03/2021</v>
      </c>
    </row>
    <row r="2720" spans="1:8" x14ac:dyDescent="0.25">
      <c r="E2720" t="str">
        <f>""</f>
        <v/>
      </c>
      <c r="F2720" t="str">
        <f>""</f>
        <v/>
      </c>
      <c r="H2720" t="str">
        <f t="shared" si="65"/>
        <v>ACCT#72-5613 / 07/03/2021</v>
      </c>
    </row>
    <row r="2721" spans="1:8" x14ac:dyDescent="0.25">
      <c r="A2721" t="s">
        <v>455</v>
      </c>
      <c r="B2721">
        <v>1198</v>
      </c>
      <c r="C2721" s="5">
        <v>704.48</v>
      </c>
      <c r="D2721" s="3">
        <v>44397</v>
      </c>
      <c r="E2721" t="str">
        <f>"202107194611"</f>
        <v>202107194611</v>
      </c>
      <c r="F2721" t="str">
        <f>"ACCT#72-5613 / 07/03/2021"</f>
        <v>ACCT#72-5613 / 07/03/2021</v>
      </c>
      <c r="G2721" s="5">
        <v>704.48</v>
      </c>
      <c r="H2721" t="str">
        <f t="shared" si="65"/>
        <v>ACCT#72-5613 / 07/03/2021</v>
      </c>
    </row>
    <row r="2722" spans="1:8" x14ac:dyDescent="0.25">
      <c r="E2722" t="str">
        <f>""</f>
        <v/>
      </c>
      <c r="F2722" t="str">
        <f>""</f>
        <v/>
      </c>
      <c r="H2722" t="str">
        <f t="shared" si="65"/>
        <v>ACCT#72-5613 / 07/03/2021</v>
      </c>
    </row>
    <row r="2723" spans="1:8" x14ac:dyDescent="0.25">
      <c r="A2723" t="s">
        <v>456</v>
      </c>
      <c r="B2723">
        <v>1195</v>
      </c>
      <c r="C2723" s="5">
        <v>234.95</v>
      </c>
      <c r="D2723" s="3">
        <v>44397</v>
      </c>
      <c r="E2723" t="str">
        <f>"202107194608"</f>
        <v>202107194608</v>
      </c>
      <c r="F2723" t="str">
        <f>"ACCT#72-5613 / 07/03/2021"</f>
        <v>ACCT#72-5613 / 07/03/2021</v>
      </c>
      <c r="G2723" s="5">
        <v>234.95</v>
      </c>
      <c r="H2723" t="str">
        <f t="shared" si="65"/>
        <v>ACCT#72-5613 / 07/03/2021</v>
      </c>
    </row>
    <row r="2724" spans="1:8" x14ac:dyDescent="0.25">
      <c r="A2724" t="s">
        <v>170</v>
      </c>
      <c r="B2724">
        <v>1174</v>
      </c>
      <c r="C2724" s="5">
        <v>1310.97</v>
      </c>
      <c r="D2724" s="3">
        <v>44397</v>
      </c>
      <c r="E2724" t="str">
        <f>"202107194587"</f>
        <v>202107194587</v>
      </c>
      <c r="F2724" t="str">
        <f>"ACCT#72-5613 / 07/03/2021"</f>
        <v>ACCT#72-5613 / 07/03/2021</v>
      </c>
      <c r="G2724" s="5">
        <v>1310.97</v>
      </c>
      <c r="H2724" t="str">
        <f t="shared" si="65"/>
        <v>ACCT#72-5613 / 07/03/2021</v>
      </c>
    </row>
    <row r="2725" spans="1:8" x14ac:dyDescent="0.25">
      <c r="E2725" t="str">
        <f>""</f>
        <v/>
      </c>
      <c r="F2725" t="str">
        <f>""</f>
        <v/>
      </c>
      <c r="H2725" t="str">
        <f t="shared" si="65"/>
        <v>ACCT#72-5613 / 07/03/2021</v>
      </c>
    </row>
    <row r="2726" spans="1:8" x14ac:dyDescent="0.25">
      <c r="A2726" t="s">
        <v>457</v>
      </c>
      <c r="B2726">
        <v>1175</v>
      </c>
      <c r="C2726" s="5">
        <v>30.6</v>
      </c>
      <c r="D2726" s="3">
        <v>44397</v>
      </c>
      <c r="E2726" t="str">
        <f>"202107194588"</f>
        <v>202107194588</v>
      </c>
      <c r="F2726" t="str">
        <f>"ACCT#72-5613 / 07/03/2021"</f>
        <v>ACCT#72-5613 / 07/03/2021</v>
      </c>
      <c r="G2726" s="5">
        <v>30.6</v>
      </c>
      <c r="H2726" t="str">
        <f t="shared" si="65"/>
        <v>ACCT#72-5613 / 07/03/2021</v>
      </c>
    </row>
    <row r="2727" spans="1:8" x14ac:dyDescent="0.25">
      <c r="A2727" t="s">
        <v>458</v>
      </c>
      <c r="B2727">
        <v>1190</v>
      </c>
      <c r="C2727" s="5">
        <v>141.02000000000001</v>
      </c>
      <c r="D2727" s="3">
        <v>44397</v>
      </c>
      <c r="E2727" t="str">
        <f>"202107194605"</f>
        <v>202107194605</v>
      </c>
      <c r="F2727" t="str">
        <f>"ACCT#72-5613 / 07/03/2021"</f>
        <v>ACCT#72-5613 / 07/03/2021</v>
      </c>
      <c r="G2727" s="5">
        <v>141.02000000000001</v>
      </c>
      <c r="H2727" t="str">
        <f t="shared" si="65"/>
        <v>ACCT#72-5613 / 07/03/2021</v>
      </c>
    </row>
    <row r="2728" spans="1:8" x14ac:dyDescent="0.25">
      <c r="A2728" t="s">
        <v>459</v>
      </c>
      <c r="B2728">
        <v>1177</v>
      </c>
      <c r="C2728" s="5">
        <v>842.4</v>
      </c>
      <c r="D2728" s="3">
        <v>44397</v>
      </c>
      <c r="E2728" t="str">
        <f>"202107194591"</f>
        <v>202107194591</v>
      </c>
      <c r="F2728" t="str">
        <f>"ACCT#72-5613 / 07/03/2021"</f>
        <v>ACCT#72-5613 / 07/03/2021</v>
      </c>
      <c r="G2728" s="5">
        <v>842.4</v>
      </c>
      <c r="H2728" t="str">
        <f t="shared" si="65"/>
        <v>ACCT#72-5613 / 07/03/2021</v>
      </c>
    </row>
    <row r="2729" spans="1:8" x14ac:dyDescent="0.25">
      <c r="A2729" t="s">
        <v>215</v>
      </c>
      <c r="B2729">
        <v>1173</v>
      </c>
      <c r="C2729" s="5">
        <v>312.72000000000003</v>
      </c>
      <c r="D2729" s="3">
        <v>44397</v>
      </c>
      <c r="E2729" t="str">
        <f>"202107194585"</f>
        <v>202107194585</v>
      </c>
      <c r="F2729" t="str">
        <f>"ACCT#72-5613 / 07/03/2021"</f>
        <v>ACCT#72-5613 / 07/03/2021</v>
      </c>
      <c r="G2729" s="5">
        <v>312.72000000000003</v>
      </c>
      <c r="H2729" t="str">
        <f t="shared" si="65"/>
        <v>ACCT#72-5613 / 07/03/2021</v>
      </c>
    </row>
    <row r="2730" spans="1:8" x14ac:dyDescent="0.25">
      <c r="E2730" t="str">
        <f>""</f>
        <v/>
      </c>
      <c r="F2730" t="str">
        <f>""</f>
        <v/>
      </c>
      <c r="H2730" t="str">
        <f t="shared" si="65"/>
        <v>ACCT#72-5613 / 07/03/2021</v>
      </c>
    </row>
    <row r="2731" spans="1:8" x14ac:dyDescent="0.25">
      <c r="A2731" t="s">
        <v>460</v>
      </c>
      <c r="B2731">
        <v>1194</v>
      </c>
      <c r="C2731" s="5">
        <v>153.69</v>
      </c>
      <c r="D2731" s="3">
        <v>44397</v>
      </c>
      <c r="E2731" t="str">
        <f>"202107194614"</f>
        <v>202107194614</v>
      </c>
      <c r="F2731" t="str">
        <f t="shared" ref="F2731:F2741" si="66">"ACCT#72-5613 / 07/03/2021"</f>
        <v>ACCT#72-5613 / 07/03/2021</v>
      </c>
      <c r="G2731" s="5">
        <v>153.69</v>
      </c>
      <c r="H2731" t="str">
        <f t="shared" si="65"/>
        <v>ACCT#72-5613 / 07/03/2021</v>
      </c>
    </row>
    <row r="2732" spans="1:8" x14ac:dyDescent="0.25">
      <c r="A2732" t="s">
        <v>461</v>
      </c>
      <c r="B2732">
        <v>1181</v>
      </c>
      <c r="C2732" s="5">
        <v>74.900000000000006</v>
      </c>
      <c r="D2732" s="3">
        <v>44397</v>
      </c>
      <c r="E2732" t="str">
        <f>"202107194595"</f>
        <v>202107194595</v>
      </c>
      <c r="F2732" t="str">
        <f t="shared" si="66"/>
        <v>ACCT#72-5613 / 07/03/2021</v>
      </c>
      <c r="G2732" s="5">
        <v>74.900000000000006</v>
      </c>
      <c r="H2732" t="str">
        <f t="shared" si="65"/>
        <v>ACCT#72-5613 / 07/03/2021</v>
      </c>
    </row>
    <row r="2733" spans="1:8" x14ac:dyDescent="0.25">
      <c r="A2733" t="s">
        <v>462</v>
      </c>
      <c r="B2733">
        <v>1182</v>
      </c>
      <c r="C2733" s="5">
        <v>690.36</v>
      </c>
      <c r="D2733" s="3">
        <v>44397</v>
      </c>
      <c r="E2733" t="str">
        <f>"202107194596"</f>
        <v>202107194596</v>
      </c>
      <c r="F2733" t="str">
        <f t="shared" si="66"/>
        <v>ACCT#72-5613 / 07/03/2021</v>
      </c>
      <c r="G2733" s="5">
        <v>690.36</v>
      </c>
      <c r="H2733" t="str">
        <f t="shared" si="65"/>
        <v>ACCT#72-5613 / 07/03/2021</v>
      </c>
    </row>
    <row r="2734" spans="1:8" x14ac:dyDescent="0.25">
      <c r="A2734" t="s">
        <v>463</v>
      </c>
      <c r="B2734">
        <v>1180</v>
      </c>
      <c r="C2734" s="5">
        <v>16</v>
      </c>
      <c r="D2734" s="3">
        <v>44397</v>
      </c>
      <c r="E2734" t="str">
        <f>"202107194594"</f>
        <v>202107194594</v>
      </c>
      <c r="F2734" t="str">
        <f t="shared" si="66"/>
        <v>ACCT#72-5613 / 07/03/2021</v>
      </c>
      <c r="G2734" s="5">
        <v>16</v>
      </c>
      <c r="H2734" t="str">
        <f t="shared" si="65"/>
        <v>ACCT#72-5613 / 07/03/2021</v>
      </c>
    </row>
    <row r="2735" spans="1:8" x14ac:dyDescent="0.25">
      <c r="A2735" t="s">
        <v>464</v>
      </c>
      <c r="B2735">
        <v>1172</v>
      </c>
      <c r="C2735" s="5">
        <v>1831.92</v>
      </c>
      <c r="D2735" s="3">
        <v>44397</v>
      </c>
      <c r="E2735" t="str">
        <f>"202107194584"</f>
        <v>202107194584</v>
      </c>
      <c r="F2735" t="str">
        <f t="shared" si="66"/>
        <v>ACCT#72-5613 / 07/03/2021</v>
      </c>
      <c r="G2735" s="5">
        <v>1831.92</v>
      </c>
      <c r="H2735" t="str">
        <f t="shared" si="65"/>
        <v>ACCT#72-5613 / 07/03/2021</v>
      </c>
    </row>
    <row r="2736" spans="1:8" x14ac:dyDescent="0.25">
      <c r="A2736" t="s">
        <v>465</v>
      </c>
      <c r="B2736">
        <v>1191</v>
      </c>
      <c r="C2736" s="5">
        <v>5774.44</v>
      </c>
      <c r="D2736" s="3">
        <v>44397</v>
      </c>
      <c r="E2736" t="str">
        <f>"202107194606"</f>
        <v>202107194606</v>
      </c>
      <c r="F2736" t="str">
        <f t="shared" si="66"/>
        <v>ACCT#72-5613 / 07/03/2021</v>
      </c>
      <c r="G2736" s="5">
        <v>5774.44</v>
      </c>
      <c r="H2736" t="str">
        <f t="shared" si="65"/>
        <v>ACCT#72-5613 / 07/03/2021</v>
      </c>
    </row>
    <row r="2737" spans="1:8" x14ac:dyDescent="0.25">
      <c r="A2737" t="s">
        <v>466</v>
      </c>
      <c r="B2737">
        <v>1192</v>
      </c>
      <c r="C2737" s="5">
        <v>125</v>
      </c>
      <c r="D2737" s="3">
        <v>44397</v>
      </c>
      <c r="E2737" t="str">
        <f>"202107194607"</f>
        <v>202107194607</v>
      </c>
      <c r="F2737" t="str">
        <f t="shared" si="66"/>
        <v>ACCT#72-5613 / 07/03/2021</v>
      </c>
      <c r="G2737" s="5">
        <v>125</v>
      </c>
      <c r="H2737" t="str">
        <f t="shared" si="65"/>
        <v>ACCT#72-5613 / 07/03/2021</v>
      </c>
    </row>
    <row r="2738" spans="1:8" x14ac:dyDescent="0.25">
      <c r="A2738" t="s">
        <v>467</v>
      </c>
      <c r="B2738">
        <v>1184</v>
      </c>
      <c r="C2738" s="5">
        <v>282.5</v>
      </c>
      <c r="D2738" s="3">
        <v>44397</v>
      </c>
      <c r="E2738" t="str">
        <f>"202107194599"</f>
        <v>202107194599</v>
      </c>
      <c r="F2738" t="str">
        <f t="shared" si="66"/>
        <v>ACCT#72-5613 / 07/03/2021</v>
      </c>
      <c r="G2738" s="5">
        <v>282.5</v>
      </c>
      <c r="H2738" t="str">
        <f t="shared" si="65"/>
        <v>ACCT#72-5613 / 07/03/2021</v>
      </c>
    </row>
    <row r="2739" spans="1:8" x14ac:dyDescent="0.25">
      <c r="A2739" t="s">
        <v>347</v>
      </c>
      <c r="B2739">
        <v>1196</v>
      </c>
      <c r="C2739" s="5">
        <v>265</v>
      </c>
      <c r="D2739" s="3">
        <v>44397</v>
      </c>
      <c r="E2739" t="str">
        <f>"202107194609"</f>
        <v>202107194609</v>
      </c>
      <c r="F2739" t="str">
        <f t="shared" si="66"/>
        <v>ACCT#72-5613 / 07/03/2021</v>
      </c>
      <c r="G2739" s="5">
        <v>265</v>
      </c>
      <c r="H2739" t="str">
        <f t="shared" si="65"/>
        <v>ACCT#72-5613 / 07/03/2021</v>
      </c>
    </row>
    <row r="2740" spans="1:8" x14ac:dyDescent="0.25">
      <c r="A2740" t="s">
        <v>468</v>
      </c>
      <c r="B2740">
        <v>1186</v>
      </c>
      <c r="C2740" s="5">
        <v>59</v>
      </c>
      <c r="D2740" s="3">
        <v>44397</v>
      </c>
      <c r="E2740" t="str">
        <f>"202107194601"</f>
        <v>202107194601</v>
      </c>
      <c r="F2740" t="str">
        <f t="shared" si="66"/>
        <v>ACCT#72-5613 / 07/03/2021</v>
      </c>
      <c r="G2740" s="5">
        <v>59</v>
      </c>
      <c r="H2740" t="str">
        <f t="shared" si="65"/>
        <v>ACCT#72-5613 / 07/03/2021</v>
      </c>
    </row>
    <row r="2741" spans="1:8" x14ac:dyDescent="0.25">
      <c r="A2741" t="s">
        <v>469</v>
      </c>
      <c r="B2741">
        <v>1197</v>
      </c>
      <c r="C2741" s="5">
        <v>440</v>
      </c>
      <c r="D2741" s="3">
        <v>44397</v>
      </c>
      <c r="E2741" t="str">
        <f>"202107194610"</f>
        <v>202107194610</v>
      </c>
      <c r="F2741" t="str">
        <f t="shared" si="66"/>
        <v>ACCT#72-5613 / 07/03/2021</v>
      </c>
      <c r="G2741" s="5">
        <v>440</v>
      </c>
      <c r="H2741" t="str">
        <f t="shared" si="65"/>
        <v>ACCT#72-5613 / 07/03/2021</v>
      </c>
    </row>
    <row r="2742" spans="1:8" x14ac:dyDescent="0.25">
      <c r="E2742" t="str">
        <f>""</f>
        <v/>
      </c>
      <c r="F2742" t="str">
        <f>""</f>
        <v/>
      </c>
      <c r="H2742" t="str">
        <f t="shared" si="65"/>
        <v>ACCT#72-5613 / 07/03/2021</v>
      </c>
    </row>
    <row r="2743" spans="1:8" x14ac:dyDescent="0.25">
      <c r="A2743" t="s">
        <v>366</v>
      </c>
      <c r="B2743">
        <v>1199</v>
      </c>
      <c r="C2743" s="5">
        <v>200</v>
      </c>
      <c r="D2743" s="3">
        <v>44397</v>
      </c>
      <c r="E2743" t="str">
        <f>"202107194612"</f>
        <v>202107194612</v>
      </c>
      <c r="F2743" t="str">
        <f>"ACCT#72-5613 / 07/03/2021"</f>
        <v>ACCT#72-5613 / 07/03/2021</v>
      </c>
      <c r="G2743" s="5">
        <v>200</v>
      </c>
      <c r="H2743" t="str">
        <f t="shared" si="65"/>
        <v>ACCT#72-5613 / 07/03/2021</v>
      </c>
    </row>
    <row r="2744" spans="1:8" x14ac:dyDescent="0.25">
      <c r="A2744" t="s">
        <v>470</v>
      </c>
      <c r="B2744">
        <v>1187</v>
      </c>
      <c r="C2744" s="5">
        <v>65</v>
      </c>
      <c r="D2744" s="3">
        <v>44397</v>
      </c>
      <c r="E2744" t="str">
        <f>"202107194602"</f>
        <v>202107194602</v>
      </c>
      <c r="F2744" t="str">
        <f>"ACCT#72-5613 / 07/03/2021"</f>
        <v>ACCT#72-5613 / 07/03/2021</v>
      </c>
      <c r="G2744" s="5">
        <v>65</v>
      </c>
      <c r="H2744" t="str">
        <f t="shared" si="65"/>
        <v>ACCT#72-5613 / 07/03/2021</v>
      </c>
    </row>
    <row r="2745" spans="1:8" x14ac:dyDescent="0.25">
      <c r="A2745" t="s">
        <v>471</v>
      </c>
      <c r="B2745">
        <v>1183</v>
      </c>
      <c r="C2745" s="5">
        <v>0</v>
      </c>
      <c r="D2745" s="3">
        <v>44397</v>
      </c>
      <c r="E2745" t="str">
        <f>"202107194598"</f>
        <v>202107194598</v>
      </c>
      <c r="F2745" t="str">
        <f>"ACCT#72-5613 / 07/03/2021"</f>
        <v>ACCT#72-5613 / 07/03/2021</v>
      </c>
      <c r="G2745" s="5">
        <v>-2.11</v>
      </c>
      <c r="H2745" t="str">
        <f t="shared" si="65"/>
        <v>ACCT#72-5613 / 07/03/2021</v>
      </c>
    </row>
    <row r="2746" spans="1:8" x14ac:dyDescent="0.25">
      <c r="E2746" t="str">
        <f>"202107204673"</f>
        <v>202107204673</v>
      </c>
      <c r="F2746" t="str">
        <f>"ACCT#72-5613 07/03/2021"</f>
        <v>ACCT#72-5613 07/03/2021</v>
      </c>
      <c r="G2746" s="5">
        <v>2.11</v>
      </c>
      <c r="H2746" t="str">
        <f>"ACCT#72-5613 07/03/2021"</f>
        <v>ACCT#72-5613 07/03/2021</v>
      </c>
    </row>
    <row r="2747" spans="1:8" ht="15.75" thickBot="1" x14ac:dyDescent="0.3">
      <c r="C2747" s="6">
        <f>SUM(C2:C2746)</f>
        <v>5339556.3200000031</v>
      </c>
      <c r="G2747" s="6">
        <f>SUM(G2:G2746)</f>
        <v>5339556.3200000031</v>
      </c>
    </row>
    <row r="2748" spans="1:8" ht="15.75" thickTop="1" x14ac:dyDescent="0.25"/>
  </sheetData>
  <autoFilter ref="A1:H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2021-08-12T18:30:44Z</dcterms:created>
  <dcterms:modified xsi:type="dcterms:W3CDTF">2021-08-12T18:39:20Z</dcterms:modified>
</cp:coreProperties>
</file>