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-CHK-RPT-20210325" sheetId="1" r:id="rId1"/>
  </sheets>
  <definedNames>
    <definedName name="_xlnm._FilterDatabase" localSheetId="0" hidden="1">'AP-CHK-RPT-20210325'!$A$1:$H$2537</definedName>
  </definedNames>
  <calcPr calcId="0"/>
</workbook>
</file>

<file path=xl/calcChain.xml><?xml version="1.0" encoding="utf-8"?>
<calcChain xmlns="http://schemas.openxmlformats.org/spreadsheetml/2006/main">
  <c r="C2537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F791" i="1"/>
  <c r="H791" i="1"/>
  <c r="E792" i="1"/>
  <c r="F792" i="1"/>
  <c r="H792" i="1"/>
  <c r="E793" i="1"/>
  <c r="F793" i="1"/>
  <c r="H793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G2537" i="1" l="1"/>
</calcChain>
</file>

<file path=xl/sharedStrings.xml><?xml version="1.0" encoding="utf-8"?>
<sst xmlns="http://schemas.openxmlformats.org/spreadsheetml/2006/main" count="466" uniqueCount="373">
  <si>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</si>
  <si>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</si>
  <si>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</si>
  <si>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</si>
  <si>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</si>
  <si>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</si>
  <si>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</si>
  <si>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</si>
  <si>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3-B EXCAVATION &amp; CONSTRUCTION SERVICES  LLS</t>
  </si>
  <si>
    <t>MICHAEL TAMEZ</t>
  </si>
  <si>
    <t>973 MATERIALS  LLC</t>
  </si>
  <si>
    <t>ARNOLD OIL COMPANY OF AUSTIN LP</t>
  </si>
  <si>
    <t>HAVERDA ENTERPRISES INC</t>
  </si>
  <si>
    <t>ADAM DAKOTA ROWINS</t>
  </si>
  <si>
    <t>ADAM MUERY</t>
  </si>
  <si>
    <t>ADENA LEWIS</t>
  </si>
  <si>
    <t>ADVANCED GRAPHIX INC</t>
  </si>
  <si>
    <t>ADVOCACY OUTREACH</t>
  </si>
  <si>
    <t>AHERN RENTALS  INC.</t>
  </si>
  <si>
    <t>TIMOTHY HALL</t>
  </si>
  <si>
    <t>AMAZON CAPITAL SERVICES INC</t>
  </si>
  <si>
    <t>AMAZON.COM LLC</t>
  </si>
  <si>
    <t>AMERICAN ASSN OF NOTARIES</t>
  </si>
  <si>
    <t>AMERISOURCEBERGEN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</si>
  <si>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</si>
  <si>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</si>
  <si>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</si>
  <si>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</si>
  <si>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</si>
  <si>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ASCENSION SETON</t>
  </si>
  <si>
    <t>AT&amp;T</t>
  </si>
  <si>
    <t>AT&amp;T MOBILITY</t>
  </si>
  <si>
    <t>ATLAS PHARMACEUTICALS  LLC</t>
  </si>
  <si>
    <t>THE AUBAINE SUPPLY COMPANY  INC</t>
  </si>
  <si>
    <t>PTL LAWN &amp; CLEANING SERVICE  INC</t>
  </si>
  <si>
    <t>AUSTIN REBUILDERS INC</t>
  </si>
  <si>
    <t>MICHAEL OLDHAM TIRE INC</t>
  </si>
  <si>
    <t>EDUARDO BARRIENTOS</t>
  </si>
  <si>
    <t>DANIEL L HEPKER</t>
  </si>
  <si>
    <t>BASTROP COUNTY CARES</t>
  </si>
  <si>
    <t>BASTROP COUNTY TAX-ASSESSOR</t>
  </si>
  <si>
    <t>BASTROP COUNTY TAX ASSESSOR</t>
  </si>
  <si>
    <t>BASTROP COUNTY CHILD PROTECTIVE SERVICES</t>
  </si>
  <si>
    <t>BASTROP COUNTY FIRST RESPONDERS  INC.</t>
  </si>
  <si>
    <t>BASTROP COUNTY HISTORICAL COMMISSION</t>
  </si>
  <si>
    <t>BASTROP MEDICAL CLINIC</t>
  </si>
  <si>
    <t>BASTROP PROVIDENCE  LLC</t>
  </si>
  <si>
    <t>BASTROP VETERINARY HOSPITAL  INC.</t>
  </si>
  <si>
    <t>DAVID H OUTON</t>
  </si>
  <si>
    <t>BEFCO ENGINEERING INC</t>
  </si>
  <si>
    <t>BEN E KEITH CO.</t>
  </si>
  <si>
    <t>B C FOOD GROUP  LLC</t>
  </si>
  <si>
    <t>MAURINE MC LEAN</t>
  </si>
  <si>
    <t>BIMBO FOODS INC</t>
  </si>
  <si>
    <t>BLUEBONNET AREA CRIME STOPPERS PROGRAM</t>
  </si>
  <si>
    <t>BLUEBONNET ELECTRIC COOPERATIVE  INC.</t>
  </si>
  <si>
    <t>BLUEBONNET TRAILS MHMR</t>
  </si>
  <si>
    <t>BRAUNTEX MATERIALS INC</t>
  </si>
  <si>
    <t>LAW OFFICE OF BRYAN W. MCDANIEL  P.C.</t>
  </si>
  <si>
    <t>BUREAU OF VITAL STATISTICS</t>
  </si>
  <si>
    <t>BURNET COUNTY SHERIFF</t>
  </si>
  <si>
    <t>CAMPBELL PET COMPANY</t>
  </si>
  <si>
    <t>TIB-THE INDEPENDENT BANKERS BANK</t>
  </si>
  <si>
    <t>CARRIER CORPORATION</t>
  </si>
  <si>
    <t>CDW GOVERNMENT INC</t>
  </si>
  <si>
    <t>CENTERPOINT ENERGY</t>
  </si>
  <si>
    <t>CHARLES W CARVER</t>
  </si>
  <si>
    <t>CHECK PLUS STORAGE  LLC</t>
  </si>
  <si>
    <t>CHRIS MATT DILLON</t>
  </si>
  <si>
    <t>CINTAS</t>
  </si>
  <si>
    <t>CINTAS CORPORATION</t>
  </si>
  <si>
    <t>CITIBANK</t>
  </si>
  <si>
    <t>CITY OF BASTROP</t>
  </si>
  <si>
    <t>CITY OF SMITHVILLE</t>
  </si>
  <si>
    <t>CLINICAL PATHOLOGY LABORATORIES INC</t>
  </si>
  <si>
    <t>CLINICAL PATHOLOGY ASSOC. OF AUSTIN</t>
  </si>
  <si>
    <t>COMMUNITY COFFEE COMPANY LLC</t>
  </si>
  <si>
    <t>COMMUNITY HEALTH CENTERS</t>
  </si>
  <si>
    <t>THREE WHEEL DRIVE</t>
  </si>
  <si>
    <t>CONTECH ENGINEERED SOLUTIONS INC</t>
  </si>
  <si>
    <t>CONVERGENCE CABLING  INC.</t>
  </si>
  <si>
    <t>COOPER EQUIPMENT CO.</t>
  </si>
  <si>
    <t>COTHRON'S SAFE &amp; LOCK CO  INC</t>
  </si>
  <si>
    <t>COVERT CHEVROLET-OLDS</t>
  </si>
  <si>
    <t>BUTLER ANIMAL HEALTH HOLDING COMPANY  LLC</t>
  </si>
  <si>
    <t>CRAIG WINTER</t>
  </si>
  <si>
    <t>163  10/28/20"</t>
  </si>
  <si>
    <t>DALLAS COUNTY CONSTABLE PCT 1</t>
  </si>
  <si>
    <t>DARLON J. SOJAK</t>
  </si>
  <si>
    <t>DAVID M COLLINS</t>
  </si>
  <si>
    <t>DEAN DAIRY CORPORATE  LLC</t>
  </si>
  <si>
    <t>DELL</t>
  </si>
  <si>
    <t>DICKENS LOCKSMITH INC</t>
  </si>
  <si>
    <t>TEXAS DEPARTMENT OF INFORMATION RESOURCES</t>
  </si>
  <si>
    <t>THE REINALT - THOMAS CORPORATION</t>
  </si>
  <si>
    <t>DONNIE STARK</t>
  </si>
  <si>
    <t>DORA HERNANDEZ</t>
  </si>
  <si>
    <t>163  12/28/20"</t>
  </si>
  <si>
    <t>DOUBLE D INTERNATIONAL FOOD CO.  INC.</t>
  </si>
  <si>
    <t>DUNNE &amp; JUAREZ L.L.C.</t>
  </si>
  <si>
    <t>DAVID MCMULLEN</t>
  </si>
  <si>
    <t>ECOLAB INC</t>
  </si>
  <si>
    <t>BLACKLANDS PUBLICATIONS INC</t>
  </si>
  <si>
    <t>RALPH DAVID GLASS</t>
  </si>
  <si>
    <t>CITY OF ELGIN UTILITIES</t>
  </si>
  <si>
    <t>ELLIOTT ELECTRIC SUPPLY INC</t>
  </si>
  <si>
    <t>EMERGENCY MGMT ASSOC OF TX</t>
  </si>
  <si>
    <t>ERIN NICKEL</t>
  </si>
  <si>
    <t>EVERYTHING BUT STROMBOLI LLC</t>
  </si>
  <si>
    <t>EWALD KUBOTA  INC.</t>
  </si>
  <si>
    <t>BASTROP COUNTY WOMEN'S SHELTER</t>
  </si>
  <si>
    <t>FEDERAL EXPRESS</t>
  </si>
  <si>
    <t>FEDEX</t>
  </si>
  <si>
    <t>FLEETPRIDE</t>
  </si>
  <si>
    <t>FOREMOST COUNTY MUTUAL INS CO</t>
  </si>
  <si>
    <t>347  12/2&amp;12/29"</t>
  </si>
  <si>
    <t>CREA PARSON</t>
  </si>
  <si>
    <t>AUSTIN TRUCK AND EQUIPMENT  LTD</t>
  </si>
  <si>
    <t>EUGENE W BRIGGS JR</t>
  </si>
  <si>
    <t>GALLS PARENT HOLDINGS LLC</t>
  </si>
  <si>
    <t>GOVERNMENTAL COLLECTORS ASSOCIATION OF TEXAS</t>
  </si>
  <si>
    <t>GIPSON PENDERGRASS PEOPLE'S MORTUARY LLC</t>
  </si>
  <si>
    <t>GOVCONNECTION INC</t>
  </si>
  <si>
    <t>GRAPEVINE DODGE CHRYSLER JEEP  LLC</t>
  </si>
  <si>
    <t>GREG E NORMAN</t>
  </si>
  <si>
    <t>GULF COAST PAPER CO. INC.</t>
  </si>
  <si>
    <t>H&amp;H OIL  L.P.</t>
  </si>
  <si>
    <t>HALFF ASSOCIATES</t>
  </si>
  <si>
    <t>HARRIS COUNTY CONSTABLE PCT 1</t>
  </si>
  <si>
    <t>HAYLEY STITELER</t>
  </si>
  <si>
    <t>HILL COUNTRY ELECTRIC SUPPLY</t>
  </si>
  <si>
    <t>BASCOM L HODGES JR</t>
  </si>
  <si>
    <t>HODGSON G ECKEL</t>
  </si>
  <si>
    <t>BD HOLT CO</t>
  </si>
  <si>
    <t>CITIBANK (SOUTH DAKOTA)N.A./THE HOME DEPOT</t>
  </si>
  <si>
    <t>NORTHWEST CASCADE INC</t>
  </si>
  <si>
    <t>AMERICAS EQUINE WAREHOUSE  INC.</t>
  </si>
  <si>
    <t>RS EQUIPMENT CO</t>
  </si>
  <si>
    <t>GREGORY LUCAS</t>
  </si>
  <si>
    <t>HYDRAULIC HOUSE INC</t>
  </si>
  <si>
    <t>IDEXX DISTRIBUTION INC</t>
  </si>
  <si>
    <t>INDIGENT HEALTHCARE SOLUTIONS</t>
  </si>
  <si>
    <t>INTERNATIONAL ASSOC OF UNDERCOVER OFFICERS</t>
  </si>
  <si>
    <t>IRON MOUNTAIN RECORDS MGMT INC</t>
  </si>
  <si>
    <t>ISI COMMERCIAL REFRIGERATION LLC</t>
  </si>
  <si>
    <t>JENKINS &amp; JENKINS LLP</t>
  </si>
  <si>
    <t>JOHN S. PHILLIPS</t>
  </si>
  <si>
    <t>JORDAN BATTERSBY  MCDONALD</t>
  </si>
  <si>
    <t>JUAN BRIONES JR</t>
  </si>
  <si>
    <t>JUSTIN MATTHEW FOHN</t>
  </si>
  <si>
    <t>KAREN STARKS</t>
  </si>
  <si>
    <t>898  12/21/20"</t>
  </si>
  <si>
    <t>KAYCI SCHULTZ WATSON</t>
  </si>
  <si>
    <t>KELLY-MOORE PAINT COMPANY  INC</t>
  </si>
  <si>
    <t>KENNETH LIMUEL</t>
  </si>
  <si>
    <t>KENT BROUSSARD TOWER RENTAL INC</t>
  </si>
  <si>
    <t>KING'S PORTABLE THRONES</t>
  </si>
  <si>
    <t>KLEIBER FORD TRACTOR  INC.</t>
  </si>
  <si>
    <t>KOETTER FIRE PROTECTION OF AUSTIN  LLC</t>
  </si>
  <si>
    <t>LONGHORN INTERNATIONAL TRUCKS LTD</t>
  </si>
  <si>
    <t>THE LA GRANGE PARTS HOUSE INC</t>
  </si>
  <si>
    <t>LABATT INSTITUTIONAL SUPPLY CO</t>
  </si>
  <si>
    <t>LAURA ROBERTSON</t>
  </si>
  <si>
    <t>LEADSONLINE  LLC</t>
  </si>
  <si>
    <t>LUCIO LEAL</t>
  </si>
  <si>
    <t>LEE COUNTY SHERIFF</t>
  </si>
  <si>
    <t>LEE COUNTY WATER SUPPLY CORP</t>
  </si>
  <si>
    <t>LEXISNEXIS RISK DATA MGMT INC</t>
  </si>
  <si>
    <t>LIBERTY TIRE RECYCLING</t>
  </si>
  <si>
    <t>LONE STAR CIRCLE OF CARE</t>
  </si>
  <si>
    <t>UNITED KWB COLLABORATIONS LLC</t>
  </si>
  <si>
    <t>LONNIE LAWRENCE DAVIS JR</t>
  </si>
  <si>
    <t>SCOTT BRYANT</t>
  </si>
  <si>
    <t>MAGIC TOUCH CLEANING SYSTEMS LLC</t>
  </si>
  <si>
    <t>MANATRON  INC</t>
  </si>
  <si>
    <t>MARK T. MALONE  M.D. P.A</t>
  </si>
  <si>
    <t>JOHN W GASPARINI INC</t>
  </si>
  <si>
    <t>MARY BETH SCOTT</t>
  </si>
  <si>
    <t>MATHESON TRI-GAS INC</t>
  </si>
  <si>
    <t>McCREARY  VESELKA  BRAGG &amp; ALLEN P</t>
  </si>
  <si>
    <t>McKESSON MEDICAL-SURGIVAL GOVERNMENT SOLUTIONS LLC</t>
  </si>
  <si>
    <t>MEDIMPACT HEALTHCARE SYSTEMS INC</t>
  </si>
  <si>
    <t>MELVIN TUCKER</t>
  </si>
  <si>
    <t>MIDTEX MATERIALS</t>
  </si>
  <si>
    <t>GREGORY N BICKWERMERT</t>
  </si>
  <si>
    <t>ZACHARY TAYLOR THARP</t>
  </si>
  <si>
    <t>RONA MICHELLE SHEERAN</t>
  </si>
  <si>
    <t>ANNE ELISE ROGERS</t>
  </si>
  <si>
    <t>JOHN DANIEL ROBLES</t>
  </si>
  <si>
    <t>JEANNIE MARIE RICHTER</t>
  </si>
  <si>
    <t>MARCOS ANTONIO PEREZ-AYALA</t>
  </si>
  <si>
    <t>GAIL BELLAH MCDONALD</t>
  </si>
  <si>
    <t>EDBALDO GUADALUPE LOPEZ-MARTIN</t>
  </si>
  <si>
    <t>CHARLES BRYAN HAZEL</t>
  </si>
  <si>
    <t>BRYSON EARL HARDEE JR</t>
  </si>
  <si>
    <t>PHILIP MICHAEL GOERTZ</t>
  </si>
  <si>
    <t>JESSE LAMAR CROWELL</t>
  </si>
  <si>
    <t>KENNITH DWAYNE CLOPTON II</t>
  </si>
  <si>
    <t>STEVE RAY CHAMBERLAIN</t>
  </si>
  <si>
    <t>RONALD DALE BLACKMORE</t>
  </si>
  <si>
    <t>THOMAS EDWARD WHITE</t>
  </si>
  <si>
    <t>SAMELLA THOMPSON WILLIAMS</t>
  </si>
  <si>
    <t>ALFRED CHARLES CARTER</t>
  </si>
  <si>
    <t>CINDY LEE VASQUEZ</t>
  </si>
  <si>
    <t>BRAD MARTIN LINDGREN</t>
  </si>
  <si>
    <t>SUSIE MARTINEZ</t>
  </si>
  <si>
    <t>KENNETH PAUL CANELL</t>
  </si>
  <si>
    <t>JOANNA VILLARREAL</t>
  </si>
  <si>
    <t>BRUCE LEROY GAITHER</t>
  </si>
  <si>
    <t>KIMBERLY ANN PENCE</t>
  </si>
  <si>
    <t>SHAUNA LEIGH GLASS</t>
  </si>
  <si>
    <t>MIRIAM ELIZABETH GONZALEZ</t>
  </si>
  <si>
    <t>LYANNE MARIE FEBO</t>
  </si>
  <si>
    <t>RONALD DWAYNE DANIELS</t>
  </si>
  <si>
    <t>ANDREW PAUL GILDER</t>
  </si>
  <si>
    <t>ADAM HAROLD STAGMAN</t>
  </si>
  <si>
    <t>MONTGOMERY COUNTY CONSTABLE PCT 5</t>
  </si>
  <si>
    <t>MOTOROLA</t>
  </si>
  <si>
    <t>MOTOROLA SOLUTIONS  IN.C</t>
  </si>
  <si>
    <t>NALCO COMPANY LLC</t>
  </si>
  <si>
    <t>NALLEY HVAC MECHANICAL LLC</t>
  </si>
  <si>
    <t>NATIONAL FOOD GROUP INC</t>
  </si>
  <si>
    <t>O'REILLY AUTOMOTIVE  INC.</t>
  </si>
  <si>
    <t>OFFICE DEPOT</t>
  </si>
  <si>
    <t>OMNIBASE SERVICES OF TEXAS LP</t>
  </si>
  <si>
    <t>ON SITE SERVICES</t>
  </si>
  <si>
    <t>ROGER C. OSBORN</t>
  </si>
  <si>
    <t>P SQUARED EMULSION PLANTS  LLC</t>
  </si>
  <si>
    <t>PAIGE TRACTORS INC</t>
  </si>
  <si>
    <t>PAPER RETRIEVER OF TEXAS</t>
  </si>
  <si>
    <t>SL PARKER PARTNERSHIP LLC</t>
  </si>
  <si>
    <t>PARTS TOWN  LLC</t>
  </si>
  <si>
    <t>PATRICK ELECTRIC SERVICE</t>
  </si>
  <si>
    <t>PATTERSON  VETERINARY SUPPLY INC</t>
  </si>
  <si>
    <t>PAUL GRANADO</t>
  </si>
  <si>
    <t>PERDUE  BRANDON  FIELDER  COLLINS &amp; MOTT LLP</t>
  </si>
  <si>
    <t>PFM ASSET MANAGEMENT LLC</t>
  </si>
  <si>
    <t>PHILIP R DUCLOUX</t>
  </si>
  <si>
    <t>PHILLIP N. SLAUGHTER</t>
  </si>
  <si>
    <t>PB PROFESSIONAL SERVICES INC</t>
  </si>
  <si>
    <t>PITNEY BOWES GLOBAL FINANCIAL SERVICES</t>
  </si>
  <si>
    <t>POST OAK HARDWARE  INC.</t>
  </si>
  <si>
    <t>JOHN DEERE FINANCIAL f.s.b.</t>
  </si>
  <si>
    <t>POPE PRO ENTERPRISES INC</t>
  </si>
  <si>
    <t>PROGRESSIVE - RESTITUTION ACCT</t>
  </si>
  <si>
    <t>181  12/15/20"</t>
  </si>
  <si>
    <t>RANDAL'S TOWER TECH INC</t>
  </si>
  <si>
    <t>RAUL ARIZOLA</t>
  </si>
  <si>
    <t>108"</t>
  </si>
  <si>
    <t>RDO EQUIPMENT CO.</t>
  </si>
  <si>
    <t>REBECCA STRNAD</t>
  </si>
  <si>
    <t>RED WING BUSINESS ADVANTAGE ACCOUNT</t>
  </si>
  <si>
    <t>NRG ENERGY INC</t>
  </si>
  <si>
    <t>RESERVE ACCOUNT</t>
  </si>
  <si>
    <t>CIT TECHNOLOGY FINANCE</t>
  </si>
  <si>
    <t>ROADRUNNER RADIOLOGY EQUIP LLC</t>
  </si>
  <si>
    <t>ROBERT E CANTU M.D. P.A.</t>
  </si>
  <si>
    <t>ROCKY ROAD PRINTING</t>
  </si>
  <si>
    <t>ROSE PIETSCH COUNTY CLERK</t>
  </si>
  <si>
    <t>RUSH CHEVROLET LLC</t>
  </si>
  <si>
    <t>SAMMY LERMA III MD</t>
  </si>
  <si>
    <t>SCOTT MERRIMAN INC</t>
  </si>
  <si>
    <t>SETON HEALTHCARE SPONSORED PROJECTS</t>
  </si>
  <si>
    <t>SHAMERRA SCOTT</t>
  </si>
  <si>
    <t>SHARON HANCOCK</t>
  </si>
  <si>
    <t>962  12/16/20"</t>
  </si>
  <si>
    <t>FERRELLGAS  LP</t>
  </si>
  <si>
    <t>SHERI AMANN</t>
  </si>
  <si>
    <t>SHERRIE JENKINS</t>
  </si>
  <si>
    <t>SHI GOVERNMENT SOLUTIONS INC.</t>
  </si>
  <si>
    <t>SHIRLEY &amp; RUSSELL PICKETT</t>
  </si>
  <si>
    <t>SHOPPA'S FARM SUPPLY</t>
  </si>
  <si>
    <t>SHRED-IT US HOLDCO  INC</t>
  </si>
  <si>
    <t>JANINE FEMINELLA</t>
  </si>
  <si>
    <t>SINGLETON ASSOCIATES  PA</t>
  </si>
  <si>
    <t>SKYLINE EQUIPMENT LLC</t>
  </si>
  <si>
    <t>SMITH STORES  INC.</t>
  </si>
  <si>
    <t>SMITHVILLE AUTO PARTS  INC</t>
  </si>
  <si>
    <t>SOLARWINDS</t>
  </si>
  <si>
    <t>SOUTHERN COMPUTER WAREHOUSE INC</t>
  </si>
  <si>
    <t>SOUTHERN TIRE MART LLC</t>
  </si>
  <si>
    <t>DS WATERS OF AMERICA INC</t>
  </si>
  <si>
    <t>SPECIALTY VETERINARY PHARMACY INC</t>
  </si>
  <si>
    <t>SPEED TECH LIGHTS  INC.</t>
  </si>
  <si>
    <t>SPRINT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</si>
  <si>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</si>
  <si>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</si>
  <si>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</si>
  <si>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</si>
  <si>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</si>
  <si>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STERICYCLE  INC.</t>
  </si>
  <si>
    <t>STEVE GRANADO</t>
  </si>
  <si>
    <t>SUN COAST RESOURCES</t>
  </si>
  <si>
    <t>TAVCO SERVICES INC</t>
  </si>
  <si>
    <t>TEXAS A&amp;M ENGINEERING EXTENSION SERVICE</t>
  </si>
  <si>
    <t>TEJAS ELEVATOR COMPANY</t>
  </si>
  <si>
    <t>TERRILL L FLENNIKEN</t>
  </si>
  <si>
    <t>TEX-CON OIL CO</t>
  </si>
  <si>
    <t>TEXAN SURGERY CENTER</t>
  </si>
  <si>
    <t>TEXAS ASSOCIATES INSURORS AGENCY</t>
  </si>
  <si>
    <t>TEXAS ASSOCIATION OF COUNTIES</t>
  </si>
  <si>
    <t>TEXAS DEPT OF MOTOR VEHICLES</t>
  </si>
  <si>
    <t>TEXAS DEPT OF PUBLIC SAFETY</t>
  </si>
  <si>
    <t>TEXAS DISPOSAL SYSTEMS  INC.</t>
  </si>
  <si>
    <t>TXFACT  LLC</t>
  </si>
  <si>
    <t>TEXAS JUSTICE COURT TRAINING CENTER</t>
  </si>
  <si>
    <t>TEXAS STATE UNIVERSITY</t>
  </si>
  <si>
    <t>TEXAS MATERIALS GROUP  INC.</t>
  </si>
  <si>
    <t>TEXAS PARKS &amp; WILDLIFE DEPARTMENT</t>
  </si>
  <si>
    <t>JOHN THOMAS GARRETT</t>
  </si>
  <si>
    <t>TEXAS POLICE ASSOCIATION</t>
  </si>
  <si>
    <t>TEXAS TACTICAL POLICE OFFICERS ASSOCIATION</t>
  </si>
  <si>
    <t>TEXAS TRAVEL ALLIANCE</t>
  </si>
  <si>
    <t>TEXAS VISION CLINIC  PLLC</t>
  </si>
  <si>
    <t>BUG MASTER EXTERMINATING SERVICES  LTD</t>
  </si>
  <si>
    <t>RICHARD NELSON MOORE</t>
  </si>
  <si>
    <t>THE NITSCHE GROUP</t>
  </si>
  <si>
    <t>THE SUMMERILL GROUP LLC</t>
  </si>
  <si>
    <t>THE TRAVELERS INDEMNITY COMPANY</t>
  </si>
  <si>
    <t>WEST PUBLISHING CORPORATION</t>
  </si>
  <si>
    <t>TWE-ADVANCE/NEWHOUSE PARTNERSHIP</t>
  </si>
  <si>
    <t>TELVA D KESLER</t>
  </si>
  <si>
    <t>TOMMY POTTS</t>
  </si>
  <si>
    <t>TRAVIS COUNTY EMERGENCY PHYSICIANS PA</t>
  </si>
  <si>
    <t>TRAVIS COUNTY MEDICAL EXAMINER</t>
  </si>
  <si>
    <t>SETON FAMILY OF DOCTORS</t>
  </si>
  <si>
    <t>TULL FARLEY</t>
  </si>
  <si>
    <t>TYLER TECHNOLOGIES INC</t>
  </si>
  <si>
    <t>ULINE  INC.</t>
  </si>
  <si>
    <t>UNLIMITED CONSTRUCTION</t>
  </si>
  <si>
    <t>UROLOGY AUSTIN PLLC</t>
  </si>
  <si>
    <t>TEXAS DEPARTMENT OF STATE HEALTH SERVICES</t>
  </si>
  <si>
    <t>US BANK NA</t>
  </si>
  <si>
    <t>VTX COMMUNICATIONS  LLC</t>
  </si>
  <si>
    <t>VULCAN  INC.</t>
  </si>
  <si>
    <t>WAGEWORKS INC  FSA/HSA</t>
  </si>
  <si>
    <t>WALLER COUNTY ASPHALT INC</t>
  </si>
  <si>
    <t>WASTE CONNECTIONS LONE STAR. INC.</t>
  </si>
  <si>
    <t>WASTE MANAGEMENT OF TEXAS  INC</t>
  </si>
  <si>
    <t>WIND KNOT INCORPORATED</t>
  </si>
  <si>
    <t>LEYLA YATIM-ALIN</t>
  </si>
  <si>
    <t>MAO PHARMACY INC</t>
  </si>
  <si>
    <t>WILLIAMSON COUNTY CONSTABLE PCT 3</t>
  </si>
  <si>
    <t>YOLANDA WHEATON</t>
  </si>
  <si>
    <t>YVONNE ROCHA</t>
  </si>
  <si>
    <t>ZOETIS US LLC</t>
  </si>
  <si>
    <t>DAVID CONTI</t>
  </si>
  <si>
    <t>FIRST NATIONAL BANK</t>
  </si>
  <si>
    <t>JOHNSON TECHNICAL SERVICES  INC</t>
  </si>
  <si>
    <t>LANGFORD COMMUNITY MGMT INC</t>
  </si>
  <si>
    <t>RPS INFRASTRUCTURE</t>
  </si>
  <si>
    <t>ASSUMPTION CHURCH SPRING PRAIRIE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</si>
  <si>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</si>
  <si>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</si>
  <si>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</si>
  <si>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</si>
  <si>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</si>
  <si>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</si>
  <si>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</si>
  <si>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</si>
  <si>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</si>
  <si>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</si>
  <si>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</si>
  <si>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</si>
  <si>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</si>
  <si>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GATEHOUSE MEDIA TEXAS HOLDINGS II  INC.</t>
  </si>
  <si>
    <t>AUSTIN PLASTICS &amp; SUPPLY INC.</t>
  </si>
  <si>
    <t>JIM ATTRA INC</t>
  </si>
  <si>
    <t>LESLIE'S POOL SUPPLY</t>
  </si>
  <si>
    <t>LOWE'S</t>
  </si>
  <si>
    <t>NEWSPAPERS.COM</t>
  </si>
  <si>
    <t>TEXAS TOLLWAYS</t>
  </si>
  <si>
    <t>TRACTOR SUPPLY CREDIT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</si>
</sst>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0" xfId="0" applyFont="1"/>
    <xf numFmtId="43" fontId="18" fillId="0" borderId="0" xfId="1" applyFont="1"/>
    <xf numFmtId="43" fontId="0" fillId="0" borderId="0" xfId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8"/>
  <sheetViews>
    <sheetView tabSelected="1" workbookViewId="0"/>
  </sheetViews>
  <sheetFormatPr defaultRowHeight="15" x14ac:dyDescent="0.25"/>
  <cols>
    <col min="1" max="1" width="56.7109375" bestFit="1" customWidth="1"/>
    <col min="2" max="2" width="10" bestFit="1" customWidth="1"/>
    <col min="3" max="3" width="17.7109375" style="4" bestFit="1" customWidth="1"/>
    <col min="4" max="4" width="13.140625" bestFit="1" customWidth="1"/>
    <col min="5" max="5" width="19.28515625" bestFit="1" customWidth="1"/>
    <col min="6" max="6" width="35.85546875" bestFit="1" customWidth="1"/>
    <col min="7" max="7" width="19.7109375" style="4" bestFit="1" customWidth="1"/>
    <col min="8" max="8" width="35" bestFit="1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 x14ac:dyDescent="0.25">
      <c r="A2" t="s">
        <v>8</v>
      </c>
      <c r="B2">
        <v>134386</v>
      </c>
      <c r="C2" s="4">
        <v>5850</v>
      </c>
      <c r="D2" s="1">
        <v>44221</v>
      </c>
      <c r="E2" t="str">
        <f>"339"</f>
        <v>339</v>
      </c>
      <c r="F2" t="str">
        <f>"EXCAVATION BURNING BRUSH PCT#2"</f>
        <v>EXCAVATION BURNING BRUSH PCT#2</v>
      </c>
      <c r="G2" s="4">
        <v>5850</v>
      </c>
      <c r="H2" t="str">
        <f>"EXCAVATION BURNING BRUSH PCT#2"</f>
        <v>EXCAVATION BURNING BRUSH PCT#2</v>
      </c>
    </row>
    <row r="3" spans="1:8" x14ac:dyDescent="0.25">
      <c r="A3" t="s">
        <v>9</v>
      </c>
      <c r="B3">
        <v>134387</v>
      </c>
      <c r="C3" s="4">
        <v>1000</v>
      </c>
      <c r="D3" s="1">
        <v>44221</v>
      </c>
      <c r="E3" t="str">
        <f>"0097"</f>
        <v>0097</v>
      </c>
      <c r="F3" t="str">
        <f>"INV 0097"</f>
        <v>INV 0097</v>
      </c>
      <c r="G3" s="4">
        <v>1000</v>
      </c>
      <c r="H3" t="str">
        <f>"INV 0097"</f>
        <v>INV 0097</v>
      </c>
    </row>
    <row r="4" spans="1:8" x14ac:dyDescent="0.25">
      <c r="A4" t="s">
        <v>10</v>
      </c>
      <c r="B4">
        <v>3766</v>
      </c>
      <c r="C4" s="4">
        <v>30865.86</v>
      </c>
      <c r="D4" s="1">
        <v>44208</v>
      </c>
      <c r="E4" t="str">
        <f>"9725-001-119704"</f>
        <v>9725-001-119704</v>
      </c>
      <c r="F4" t="str">
        <f t="shared" ref="F4:F12" si="0">"ACCT#9725-001/REC BASE/PCT#2"</f>
        <v>ACCT#9725-001/REC BASE/PCT#2</v>
      </c>
      <c r="G4" s="4">
        <v>1937.35</v>
      </c>
      <c r="H4" t="str">
        <f t="shared" ref="H4:H12" si="1">"ACCT#9725-001/REC BASE/PCT#2"</f>
        <v>ACCT#9725-001/REC BASE/PCT#2</v>
      </c>
    </row>
    <row r="5" spans="1:8" x14ac:dyDescent="0.25">
      <c r="E5" t="str">
        <f>"9725-001-119730"</f>
        <v>9725-001-119730</v>
      </c>
      <c r="F5" t="str">
        <f t="shared" si="0"/>
        <v>ACCT#9725-001/REC BASE/PCT#2</v>
      </c>
      <c r="G5" s="4">
        <v>2019.76</v>
      </c>
      <c r="H5" t="str">
        <f t="shared" si="1"/>
        <v>ACCT#9725-001/REC BASE/PCT#2</v>
      </c>
    </row>
    <row r="6" spans="1:8" x14ac:dyDescent="0.25">
      <c r="E6" t="str">
        <f>"9725-001-119752"</f>
        <v>9725-001-119752</v>
      </c>
      <c r="F6" t="str">
        <f t="shared" si="0"/>
        <v>ACCT#9725-001/REC BASE/PCT#2</v>
      </c>
      <c r="G6" s="4">
        <v>3079.32</v>
      </c>
      <c r="H6" t="str">
        <f t="shared" si="1"/>
        <v>ACCT#9725-001/REC BASE/PCT#2</v>
      </c>
    </row>
    <row r="7" spans="1:8" x14ac:dyDescent="0.25">
      <c r="E7" t="str">
        <f>"9725-001-119780"</f>
        <v>9725-001-119780</v>
      </c>
      <c r="F7" t="str">
        <f t="shared" si="0"/>
        <v>ACCT#9725-001/REC BASE/PCT#2</v>
      </c>
      <c r="G7" s="4">
        <v>2517.64</v>
      </c>
      <c r="H7" t="str">
        <f t="shared" si="1"/>
        <v>ACCT#9725-001/REC BASE/PCT#2</v>
      </c>
    </row>
    <row r="8" spans="1:8" x14ac:dyDescent="0.25">
      <c r="E8" t="str">
        <f>"9725-001-119804"</f>
        <v>9725-001-119804</v>
      </c>
      <c r="F8" t="str">
        <f t="shared" si="0"/>
        <v>ACCT#9725-001/REC BASE/PCT#2</v>
      </c>
      <c r="G8" s="4">
        <v>4689.51</v>
      </c>
      <c r="H8" t="str">
        <f t="shared" si="1"/>
        <v>ACCT#9725-001/REC BASE/PCT#2</v>
      </c>
    </row>
    <row r="9" spans="1:8" x14ac:dyDescent="0.25">
      <c r="E9" t="str">
        <f>"9725-001-119816"</f>
        <v>9725-001-119816</v>
      </c>
      <c r="F9" t="str">
        <f t="shared" si="0"/>
        <v>ACCT#9725-001/REC BASE/PCT#2</v>
      </c>
      <c r="G9" s="4">
        <v>2482.65</v>
      </c>
      <c r="H9" t="str">
        <f t="shared" si="1"/>
        <v>ACCT#9725-001/REC BASE/PCT#2</v>
      </c>
    </row>
    <row r="10" spans="1:8" x14ac:dyDescent="0.25">
      <c r="E10" t="str">
        <f>"9725-001-119845"</f>
        <v>9725-001-119845</v>
      </c>
      <c r="F10" t="str">
        <f t="shared" si="0"/>
        <v>ACCT#9725-001/REC BASE/PCT#2</v>
      </c>
      <c r="G10" s="4">
        <v>416.32</v>
      </c>
      <c r="H10" t="str">
        <f t="shared" si="1"/>
        <v>ACCT#9725-001/REC BASE/PCT#2</v>
      </c>
    </row>
    <row r="11" spans="1:8" x14ac:dyDescent="0.25">
      <c r="E11" t="str">
        <f>"9725-001-119865"</f>
        <v>9725-001-119865</v>
      </c>
      <c r="F11" t="str">
        <f t="shared" si="0"/>
        <v>ACCT#9725-001/REC BASE/PCT#2</v>
      </c>
      <c r="G11" s="4">
        <v>1255.1099999999999</v>
      </c>
      <c r="H11" t="str">
        <f t="shared" si="1"/>
        <v>ACCT#9725-001/REC BASE/PCT#2</v>
      </c>
    </row>
    <row r="12" spans="1:8" x14ac:dyDescent="0.25">
      <c r="E12" t="str">
        <f>"9725-001-119878"</f>
        <v>9725-001-119878</v>
      </c>
      <c r="F12" t="str">
        <f t="shared" si="0"/>
        <v>ACCT#9725-001/REC BASE/PCT#2</v>
      </c>
      <c r="G12" s="4">
        <v>1780.56</v>
      </c>
      <c r="H12" t="str">
        <f t="shared" si="1"/>
        <v>ACCT#9725-001/REC BASE/PCT#2</v>
      </c>
    </row>
    <row r="13" spans="1:8" x14ac:dyDescent="0.25">
      <c r="E13" t="str">
        <f>"9725-004-119654"</f>
        <v>9725-004-119654</v>
      </c>
      <c r="F13" t="str">
        <f>"ACCT#9725-004/REC BASE/PCT#1"</f>
        <v>ACCT#9725-004/REC BASE/PCT#1</v>
      </c>
      <c r="G13" s="4">
        <v>978.77</v>
      </c>
      <c r="H13" t="str">
        <f>"ACCT#9725-004/REC BASE/PCT#1"</f>
        <v>ACCT#9725-004/REC BASE/PCT#1</v>
      </c>
    </row>
    <row r="14" spans="1:8" x14ac:dyDescent="0.25">
      <c r="E14" t="str">
        <f>"9725-004-119689"</f>
        <v>9725-004-119689</v>
      </c>
      <c r="F14" t="str">
        <f>"ACCT#9725-004/REC BASE/PCT#1"</f>
        <v>ACCT#9725-004/REC BASE/PCT#1</v>
      </c>
      <c r="G14" s="4">
        <v>1283.01</v>
      </c>
      <c r="H14" t="str">
        <f>"ACCT#9725-004/REC BASE/PCT#1"</f>
        <v>ACCT#9725-004/REC BASE/PCT#1</v>
      </c>
    </row>
    <row r="15" spans="1:8" x14ac:dyDescent="0.25">
      <c r="E15" t="str">
        <f>"9725-004-119716"</f>
        <v>9725-004-119716</v>
      </c>
      <c r="F15" t="str">
        <f>"ACCT#9725-004/REC BASE/PCT#1"</f>
        <v>ACCT#9725-004/REC BASE/PCT#1</v>
      </c>
      <c r="G15" s="4">
        <v>943.35</v>
      </c>
      <c r="H15" t="str">
        <f>"ACCT#9725-004/REC BASE/PCT#1"</f>
        <v>ACCT#9725-004/REC BASE/PCT#1</v>
      </c>
    </row>
    <row r="16" spans="1:8" x14ac:dyDescent="0.25">
      <c r="E16" t="str">
        <f>"9725-004-119854"</f>
        <v>9725-004-119854</v>
      </c>
      <c r="F16" t="str">
        <f>"ACCT#9725-004/REC BASE/PCT#1"</f>
        <v>ACCT#9725-004/REC BASE/PCT#1</v>
      </c>
      <c r="G16" s="4">
        <v>2043.84</v>
      </c>
      <c r="H16" t="str">
        <f>"ACCT#9725-004/REC BASE/PCT#1"</f>
        <v>ACCT#9725-004/REC BASE/PCT#1</v>
      </c>
    </row>
    <row r="17" spans="1:8" x14ac:dyDescent="0.25">
      <c r="E17" t="str">
        <f>"9725-007-119763"</f>
        <v>9725-007-119763</v>
      </c>
      <c r="F17" t="str">
        <f>"ACCT#9725-007/REC BASE/PCT#4"</f>
        <v>ACCT#9725-007/REC BASE/PCT#4</v>
      </c>
      <c r="G17" s="4">
        <v>393.57</v>
      </c>
      <c r="H17" t="str">
        <f>"ACCT#9725-007/REC BASE/PCT#4"</f>
        <v>ACCT#9725-007/REC BASE/PCT#4</v>
      </c>
    </row>
    <row r="18" spans="1:8" x14ac:dyDescent="0.25">
      <c r="E18" t="str">
        <f>"9725-007-119795"</f>
        <v>9725-007-119795</v>
      </c>
      <c r="F18" t="str">
        <f>"ACCT#9725-007/REC BASE/PCT#4"</f>
        <v>ACCT#9725-007/REC BASE/PCT#4</v>
      </c>
      <c r="G18" s="4">
        <v>1783.26</v>
      </c>
      <c r="H18" t="str">
        <f>"ACCT#9725-007/REC BASE/PCT#4"</f>
        <v>ACCT#9725-007/REC BASE/PCT#4</v>
      </c>
    </row>
    <row r="19" spans="1:8" x14ac:dyDescent="0.25">
      <c r="E19" t="str">
        <f>"9725-007-119812"</f>
        <v>9725-007-119812</v>
      </c>
      <c r="F19" t="str">
        <f>"ACCT#9725-007/REC BASE/PCT#4"</f>
        <v>ACCT#9725-007/REC BASE/PCT#4</v>
      </c>
      <c r="G19" s="4">
        <v>3058.23</v>
      </c>
      <c r="H19" t="str">
        <f>"ACCT#9725-007/REC BASE/PCT#4"</f>
        <v>ACCT#9725-007/REC BASE/PCT#4</v>
      </c>
    </row>
    <row r="20" spans="1:8" x14ac:dyDescent="0.25">
      <c r="E20" t="str">
        <f>"9725-007-119874"</f>
        <v>9725-007-119874</v>
      </c>
      <c r="F20" t="str">
        <f>"ACCT#9725-007/REC BASE/PCT#4"</f>
        <v>ACCT#9725-007/REC BASE/PCT#4</v>
      </c>
      <c r="G20" s="4">
        <v>203.61</v>
      </c>
      <c r="H20" t="str">
        <f>"ACCT#9725-007/REC BASE/PCT#4"</f>
        <v>ACCT#9725-007/REC BASE/PCT#4</v>
      </c>
    </row>
    <row r="21" spans="1:8" x14ac:dyDescent="0.25">
      <c r="A21" t="s">
        <v>10</v>
      </c>
      <c r="B21">
        <v>3820</v>
      </c>
      <c r="C21" s="4">
        <v>25210.959999999999</v>
      </c>
      <c r="D21" s="1">
        <v>44222</v>
      </c>
      <c r="E21" t="str">
        <f>"9725-001-*119982"</f>
        <v>9725-001-*119982</v>
      </c>
      <c r="F21" t="str">
        <f>"ACCT#9725-001/PCT#2"</f>
        <v>ACCT#9725-001/PCT#2</v>
      </c>
      <c r="G21" s="4">
        <v>435.49</v>
      </c>
      <c r="H21" t="str">
        <f>"ACCT#9725-001/PCT#2"</f>
        <v>ACCT#9725-001/PCT#2</v>
      </c>
    </row>
    <row r="22" spans="1:8" x14ac:dyDescent="0.25">
      <c r="E22" t="str">
        <f>"9725-001-119890"</f>
        <v>9725-001-119890</v>
      </c>
      <c r="F22" t="str">
        <f>"ACCT#9725-001/PCT#2"</f>
        <v>ACCT#9725-001/PCT#2</v>
      </c>
      <c r="G22" s="4">
        <v>620.64</v>
      </c>
      <c r="H22" t="str">
        <f>"ACCT#9725-001/PCT#2"</f>
        <v>ACCT#9725-001/PCT#2</v>
      </c>
    </row>
    <row r="23" spans="1:8" x14ac:dyDescent="0.25">
      <c r="E23" t="str">
        <f>"9725-001-119913"</f>
        <v>9725-001-119913</v>
      </c>
      <c r="F23" t="str">
        <f>"ACCT#9725-001/PCT#2"</f>
        <v>ACCT#9725-001/PCT#2</v>
      </c>
      <c r="G23" s="4">
        <v>202.3</v>
      </c>
      <c r="H23" t="str">
        <f>"ACCT#9725-001/PCT#2"</f>
        <v>ACCT#9725-001/PCT#2</v>
      </c>
    </row>
    <row r="24" spans="1:8" x14ac:dyDescent="0.25">
      <c r="E24" t="str">
        <f>"9725-001-119940"</f>
        <v>9725-001-119940</v>
      </c>
      <c r="F24" t="str">
        <f>"ACCT#9725-001/PCT#2"</f>
        <v>ACCT#9725-001/PCT#2</v>
      </c>
      <c r="G24" s="4">
        <v>407.58</v>
      </c>
      <c r="H24" t="str">
        <f>"ACCT#9725-001/PCT#2"</f>
        <v>ACCT#9725-001/PCT#2</v>
      </c>
    </row>
    <row r="25" spans="1:8" x14ac:dyDescent="0.25">
      <c r="E25" t="str">
        <f>"9725-001-119962"</f>
        <v>9725-001-119962</v>
      </c>
      <c r="F25" t="str">
        <f>"ACCT#9725.001/PCT#2"</f>
        <v>ACCT#9725.001/PCT#2</v>
      </c>
      <c r="G25" s="4">
        <v>1393.71</v>
      </c>
      <c r="H25" t="str">
        <f>"ACCT#9725.001/PCT#2"</f>
        <v>ACCT#9725.001/PCT#2</v>
      </c>
    </row>
    <row r="26" spans="1:8" x14ac:dyDescent="0.25">
      <c r="E26" t="str">
        <f>"9725-001-120002"</f>
        <v>9725-001-120002</v>
      </c>
      <c r="F26" t="str">
        <f>"ACCT#9725-001/PCT#2"</f>
        <v>ACCT#9725-001/PCT#2</v>
      </c>
      <c r="G26" s="4">
        <v>1284.32</v>
      </c>
      <c r="H26" t="str">
        <f>"ACCT#9725-001/PCT#2"</f>
        <v>ACCT#9725-001/PCT#2</v>
      </c>
    </row>
    <row r="27" spans="1:8" x14ac:dyDescent="0.25">
      <c r="E27" t="str">
        <f>"9725-001-120026"</f>
        <v>9725-001-120026</v>
      </c>
      <c r="F27" t="str">
        <f>"ACCT#9725-001/PCT#2"</f>
        <v>ACCT#9725-001/PCT#2</v>
      </c>
      <c r="G27" s="4">
        <v>599.99</v>
      </c>
      <c r="H27" t="str">
        <f>"ACCT#9725-001/PCT#2"</f>
        <v>ACCT#9725-001/PCT#2</v>
      </c>
    </row>
    <row r="28" spans="1:8" x14ac:dyDescent="0.25">
      <c r="E28" t="str">
        <f>"9725-001-120046"</f>
        <v>9725-001-120046</v>
      </c>
      <c r="F28" t="str">
        <f>"ACCT#9725-001/PCT#2"</f>
        <v>ACCT#9725-001/PCT#2</v>
      </c>
      <c r="G28" s="4">
        <v>414.93</v>
      </c>
      <c r="H28" t="str">
        <f>"ACCT#9725-001/PCT#2"</f>
        <v>ACCT#9725-001/PCT#2</v>
      </c>
    </row>
    <row r="29" spans="1:8" x14ac:dyDescent="0.25">
      <c r="E29" t="str">
        <f>"9725-004-119873"</f>
        <v>9725-004-119873</v>
      </c>
      <c r="F29" t="str">
        <f>"ROAD BASE/PCT#1"</f>
        <v>ROAD BASE/PCT#1</v>
      </c>
      <c r="G29" s="4">
        <v>2665</v>
      </c>
      <c r="H29" t="str">
        <f>"ROAD BASE/PCT#1"</f>
        <v>ROAD BASE/PCT#1</v>
      </c>
    </row>
    <row r="30" spans="1:8" x14ac:dyDescent="0.25">
      <c r="E30" t="str">
        <f>"9725-004-119899"</f>
        <v>9725-004-119899</v>
      </c>
      <c r="F30" t="str">
        <f>"ROAD BASE/PCT#1"</f>
        <v>ROAD BASE/PCT#1</v>
      </c>
      <c r="G30" s="4">
        <v>4278.34</v>
      </c>
      <c r="H30" t="str">
        <f>"ROAD BASE/PCT#1"</f>
        <v>ROAD BASE/PCT#1</v>
      </c>
    </row>
    <row r="31" spans="1:8" x14ac:dyDescent="0.25">
      <c r="E31" t="str">
        <f>"9725-004-119923"</f>
        <v>9725-004-119923</v>
      </c>
      <c r="F31" t="str">
        <f>"ROAD BASE/PCT#1"</f>
        <v>ROAD BASE/PCT#1</v>
      </c>
      <c r="G31" s="4">
        <v>817.78</v>
      </c>
      <c r="H31" t="str">
        <f>"ROAD BASE/PCT#1"</f>
        <v>ROAD BASE/PCT#1</v>
      </c>
    </row>
    <row r="32" spans="1:8" x14ac:dyDescent="0.25">
      <c r="E32" t="str">
        <f>"9725-004-119949"</f>
        <v>9725-004-119949</v>
      </c>
      <c r="F32" t="str">
        <f>"ROAD BASE/PCT#1"</f>
        <v>ROAD BASE/PCT#1</v>
      </c>
      <c r="G32" s="4">
        <v>833.8</v>
      </c>
      <c r="H32" t="str">
        <f>"ROAD BASE/PCT#1"</f>
        <v>ROAD BASE/PCT#1</v>
      </c>
    </row>
    <row r="33" spans="1:8" x14ac:dyDescent="0.25">
      <c r="E33" t="str">
        <f>"9725-007-119478"</f>
        <v>9725-007-119478</v>
      </c>
      <c r="F33" t="str">
        <f>"ROAD BASE/PCT#4"</f>
        <v>ROAD BASE/PCT#4</v>
      </c>
      <c r="G33" s="4">
        <v>407.75</v>
      </c>
      <c r="H33" t="str">
        <f>"ROAD BASE/PCT#4"</f>
        <v>ROAD BASE/PCT#4</v>
      </c>
    </row>
    <row r="34" spans="1:8" x14ac:dyDescent="0.25">
      <c r="E34" t="str">
        <f>"9725-007-119690"</f>
        <v>9725-007-119690</v>
      </c>
      <c r="F34" t="str">
        <f>"ROAD BASE/PCT#4"</f>
        <v>ROAD BASE/PCT#4</v>
      </c>
      <c r="G34" s="4">
        <v>407.22</v>
      </c>
      <c r="H34" t="str">
        <f>"ROAD BASE/PCT#4"</f>
        <v>ROAD BASE/PCT#4</v>
      </c>
    </row>
    <row r="35" spans="1:8" x14ac:dyDescent="0.25">
      <c r="E35" t="str">
        <f>"9725-007-119828"</f>
        <v>9725-007-119828</v>
      </c>
      <c r="F35" t="str">
        <f>"ROAD BASE/PCT#4"</f>
        <v>ROAD BASE/PCT#4</v>
      </c>
      <c r="G35" s="4">
        <v>1222.9100000000001</v>
      </c>
      <c r="H35" t="str">
        <f>"ROAD BASE/PCT#4"</f>
        <v>ROAD BASE/PCT#4</v>
      </c>
    </row>
    <row r="36" spans="1:8" x14ac:dyDescent="0.25">
      <c r="E36" t="str">
        <f>"9725-007-119950"</f>
        <v>9725-007-119950</v>
      </c>
      <c r="F36" t="str">
        <f>"ACCT#9725-007 PCT#4"</f>
        <v>ACCT#9725-007 PCT#4</v>
      </c>
      <c r="G36" s="4">
        <v>2188.9</v>
      </c>
      <c r="H36" t="str">
        <f>"ACCT#9725-007 PCT#4"</f>
        <v>ACCT#9725-007 PCT#4</v>
      </c>
    </row>
    <row r="37" spans="1:8" x14ac:dyDescent="0.25">
      <c r="E37" t="str">
        <f>"9725-007-119971"</f>
        <v>9725-007-119971</v>
      </c>
      <c r="F37" t="str">
        <f>"ACCT:9725-007 PCT#4"</f>
        <v>ACCT:9725-007 PCT#4</v>
      </c>
      <c r="G37" s="4">
        <v>991.55</v>
      </c>
      <c r="H37" t="str">
        <f>"ACCT:9725-007 PCT#4"</f>
        <v>ACCT:9725-007 PCT#4</v>
      </c>
    </row>
    <row r="38" spans="1:8" x14ac:dyDescent="0.25">
      <c r="E38" t="str">
        <f>"9725-007-119990"</f>
        <v>9725-007-119990</v>
      </c>
      <c r="F38" t="str">
        <f>"ACCT:9725-007 PCT#4"</f>
        <v>ACCT:9725-007 PCT#4</v>
      </c>
      <c r="G38" s="4">
        <v>3067.23</v>
      </c>
      <c r="H38" t="str">
        <f>"973 MATERIALS  LLC"</f>
        <v>973 MATERIALS  LLC</v>
      </c>
    </row>
    <row r="39" spans="1:8" x14ac:dyDescent="0.25">
      <c r="E39" t="str">
        <f>"9725-007-120011"</f>
        <v>9725-007-120011</v>
      </c>
      <c r="F39" t="str">
        <f>"ACCT:9725-007 PCT#4"</f>
        <v>ACCT:9725-007 PCT#4</v>
      </c>
      <c r="G39" s="4">
        <v>2053.21</v>
      </c>
      <c r="H39" t="str">
        <f>"ACCT:9725-007 PCT#4"</f>
        <v>ACCT:9725-007 PCT#4</v>
      </c>
    </row>
    <row r="40" spans="1:8" x14ac:dyDescent="0.25">
      <c r="E40" t="str">
        <f>"9725.004-119794"</f>
        <v>9725.004-119794</v>
      </c>
      <c r="F40" t="str">
        <f>"ACCT#9725-004/PCT#1"</f>
        <v>ACCT#9725-004/PCT#1</v>
      </c>
      <c r="G40" s="4">
        <v>918.31</v>
      </c>
      <c r="H40" t="str">
        <f>"ACCT#9725-004/PCT#1"</f>
        <v>ACCT#9725-004/PCT#1</v>
      </c>
    </row>
    <row r="41" spans="1:8" x14ac:dyDescent="0.25">
      <c r="A41" t="s">
        <v>11</v>
      </c>
      <c r="B41">
        <v>134277</v>
      </c>
      <c r="C41" s="4">
        <v>538.15</v>
      </c>
      <c r="D41" s="1">
        <v>44207</v>
      </c>
      <c r="E41" t="str">
        <f>"202101051016"</f>
        <v>202101051016</v>
      </c>
      <c r="F41" t="str">
        <f>"STATEMENT#413871/CUST#16500/P4"</f>
        <v>STATEMENT#413871/CUST#16500/P4</v>
      </c>
      <c r="G41" s="4">
        <v>538.15</v>
      </c>
      <c r="H41" t="str">
        <f>"STATEMENT#413871/CUST#16500/P4"</f>
        <v>STATEMENT#413871/CUST#16500/P4</v>
      </c>
    </row>
    <row r="42" spans="1:8" x14ac:dyDescent="0.25">
      <c r="A42" t="s">
        <v>12</v>
      </c>
      <c r="B42">
        <v>134388</v>
      </c>
      <c r="C42" s="4">
        <v>310.64999999999998</v>
      </c>
      <c r="D42" s="1">
        <v>44221</v>
      </c>
      <c r="E42" t="str">
        <f>"122585"</f>
        <v>122585</v>
      </c>
      <c r="F42" t="str">
        <f>"ROLL C.O.A SILT FENCE"</f>
        <v>ROLL C.O.A SILT FENCE</v>
      </c>
      <c r="G42" s="4">
        <v>310.64999999999998</v>
      </c>
      <c r="H42" t="str">
        <f>"ROLL C.O.A SILT FENCE"</f>
        <v>ROLL C.O.A SILT FENCE</v>
      </c>
    </row>
    <row r="43" spans="1:8" x14ac:dyDescent="0.25">
      <c r="A43" t="s">
        <v>13</v>
      </c>
      <c r="B43">
        <v>134389</v>
      </c>
      <c r="C43" s="4">
        <v>777.5</v>
      </c>
      <c r="D43" s="1">
        <v>44221</v>
      </c>
      <c r="E43" t="str">
        <f>"202101201327"</f>
        <v>202101201327</v>
      </c>
      <c r="F43" t="str">
        <f>"20-20510"</f>
        <v>20-20510</v>
      </c>
      <c r="G43" s="4">
        <v>197.5</v>
      </c>
      <c r="H43" t="str">
        <f>"20-20510"</f>
        <v>20-20510</v>
      </c>
    </row>
    <row r="44" spans="1:8" x14ac:dyDescent="0.25">
      <c r="E44" t="str">
        <f>"202101201328"</f>
        <v>202101201328</v>
      </c>
      <c r="F44" t="str">
        <f>"20-20454"</f>
        <v>20-20454</v>
      </c>
      <c r="G44" s="4">
        <v>152.5</v>
      </c>
      <c r="H44" t="str">
        <f>"20-20454"</f>
        <v>20-20454</v>
      </c>
    </row>
    <row r="45" spans="1:8" x14ac:dyDescent="0.25">
      <c r="E45" t="str">
        <f>"202101201329"</f>
        <v>202101201329</v>
      </c>
      <c r="F45" t="str">
        <f>"20-20321"</f>
        <v>20-20321</v>
      </c>
      <c r="G45" s="4">
        <v>100</v>
      </c>
      <c r="H45" t="str">
        <f>"20-20321"</f>
        <v>20-20321</v>
      </c>
    </row>
    <row r="46" spans="1:8" x14ac:dyDescent="0.25">
      <c r="E46" t="str">
        <f>"202101201330"</f>
        <v>202101201330</v>
      </c>
      <c r="F46" t="str">
        <f>"19-19963"</f>
        <v>19-19963</v>
      </c>
      <c r="G46" s="4">
        <v>22.5</v>
      </c>
      <c r="H46" t="str">
        <f>"19-19963"</f>
        <v>19-19963</v>
      </c>
    </row>
    <row r="47" spans="1:8" x14ac:dyDescent="0.25">
      <c r="E47" t="str">
        <f>"202101201331"</f>
        <v>202101201331</v>
      </c>
      <c r="F47" t="str">
        <f>"19-19857"</f>
        <v>19-19857</v>
      </c>
      <c r="G47" s="4">
        <v>145</v>
      </c>
      <c r="H47" t="str">
        <f>"19-19857"</f>
        <v>19-19857</v>
      </c>
    </row>
    <row r="48" spans="1:8" x14ac:dyDescent="0.25">
      <c r="E48" t="str">
        <f>"202101201332"</f>
        <v>202101201332</v>
      </c>
      <c r="F48" t="str">
        <f>"20-20261"</f>
        <v>20-20261</v>
      </c>
      <c r="G48" s="4">
        <v>160</v>
      </c>
      <c r="H48" t="str">
        <f>"20-20261"</f>
        <v>20-20261</v>
      </c>
    </row>
    <row r="49" spans="1:8" x14ac:dyDescent="0.25">
      <c r="A49" t="s">
        <v>14</v>
      </c>
      <c r="B49">
        <v>134278</v>
      </c>
      <c r="C49" s="4">
        <v>1110</v>
      </c>
      <c r="D49" s="1">
        <v>44207</v>
      </c>
      <c r="E49" t="str">
        <f>"202101040949"</f>
        <v>202101040949</v>
      </c>
      <c r="F49" t="str">
        <f>"15 774"</f>
        <v>15 774</v>
      </c>
      <c r="G49" s="4">
        <v>1110</v>
      </c>
      <c r="H49" t="str">
        <f>"15 774"</f>
        <v>15 774</v>
      </c>
    </row>
    <row r="50" spans="1:8" x14ac:dyDescent="0.25">
      <c r="A50" t="s">
        <v>15</v>
      </c>
      <c r="B50">
        <v>3775</v>
      </c>
      <c r="C50" s="4">
        <v>1038.8</v>
      </c>
      <c r="D50" s="1">
        <v>44208</v>
      </c>
      <c r="E50" t="str">
        <f>"202012300943"</f>
        <v>202012300943</v>
      </c>
      <c r="F50" t="str">
        <f>"IEDC WEBINAR REIMBURSEMENT"</f>
        <v>IEDC WEBINAR REIMBURSEMENT</v>
      </c>
      <c r="G50" s="4">
        <v>850</v>
      </c>
      <c r="H50" t="str">
        <f>"IEDC WEBINAR REIMBURSEMENT"</f>
        <v>IEDC WEBINAR REIMBURSEMENT</v>
      </c>
    </row>
    <row r="51" spans="1:8" x14ac:dyDescent="0.25">
      <c r="E51" t="str">
        <f>"202012300944"</f>
        <v>202012300944</v>
      </c>
      <c r="F51" t="str">
        <f>"REIMBURSE MAIL CHIMP DECEMBER"</f>
        <v>REIMBURSE MAIL CHIMP DECEMBER</v>
      </c>
      <c r="G51" s="4">
        <v>93.8</v>
      </c>
      <c r="H51" t="str">
        <f>"REIMBURSE MAIL CHIMP DECEMBER"</f>
        <v>REIMBURSE MAIL CHIMP DECEMBER</v>
      </c>
    </row>
    <row r="52" spans="1:8" x14ac:dyDescent="0.25">
      <c r="E52" t="str">
        <f>"202012300945"</f>
        <v>202012300945</v>
      </c>
      <c r="F52" t="str">
        <f>"REIMBURSE TACVB CONFERENCE"</f>
        <v>REIMBURSE TACVB CONFERENCE</v>
      </c>
      <c r="G52" s="4">
        <v>95</v>
      </c>
      <c r="H52" t="str">
        <f>"REIMBURSE TACVB CONFERENCE"</f>
        <v>REIMBURSE TACVB CONFERENCE</v>
      </c>
    </row>
    <row r="53" spans="1:8" x14ac:dyDescent="0.25">
      <c r="A53" t="s">
        <v>15</v>
      </c>
      <c r="B53">
        <v>3832</v>
      </c>
      <c r="C53" s="4">
        <v>93.8</v>
      </c>
      <c r="D53" s="1">
        <v>44222</v>
      </c>
      <c r="E53" t="str">
        <f>"202101201270"</f>
        <v>202101201270</v>
      </c>
      <c r="F53" t="str">
        <f>"/MAILCHIMP/ADENA LEWIS"</f>
        <v>/MAILCHIMP/ADENA LEWIS</v>
      </c>
      <c r="G53" s="4">
        <v>93.8</v>
      </c>
      <c r="H53" t="str">
        <f>"/MAILCHIMP/ADENA LEWIS"</f>
        <v>/MAILCHIMP/ADENA LEWIS</v>
      </c>
    </row>
    <row r="54" spans="1:8" x14ac:dyDescent="0.25">
      <c r="A54" t="s">
        <v>16</v>
      </c>
      <c r="B54">
        <v>134390</v>
      </c>
      <c r="C54" s="4">
        <v>322.75</v>
      </c>
      <c r="D54" s="1">
        <v>44221</v>
      </c>
      <c r="E54" t="str">
        <f>"205913"</f>
        <v>205913</v>
      </c>
      <c r="F54" t="str">
        <f>"INV 205913"</f>
        <v>INV 205913</v>
      </c>
      <c r="G54" s="4">
        <v>322.75</v>
      </c>
      <c r="H54" t="str">
        <f>"INV 205913"</f>
        <v>INV 205913</v>
      </c>
    </row>
    <row r="55" spans="1:8" x14ac:dyDescent="0.25">
      <c r="A55" t="s">
        <v>17</v>
      </c>
      <c r="B55">
        <v>134391</v>
      </c>
      <c r="C55" s="4">
        <v>4000</v>
      </c>
      <c r="D55" s="1">
        <v>44221</v>
      </c>
      <c r="E55" t="str">
        <f>"202101131200"</f>
        <v>202101131200</v>
      </c>
      <c r="F55" t="str">
        <f>"ADVOCACY OUTREACH YEARLY FUNDS"</f>
        <v>ADVOCACY OUTREACH YEARLY FUNDS</v>
      </c>
      <c r="G55" s="4">
        <v>4000</v>
      </c>
      <c r="H55" t="str">
        <f>"ADVOCACY OUTREACH YEARLY FUNDS"</f>
        <v>ADVOCACY OUTREACH YEARLY FUNDS</v>
      </c>
    </row>
    <row r="56" spans="1:8" x14ac:dyDescent="0.25">
      <c r="A56" t="s">
        <v>18</v>
      </c>
      <c r="B56">
        <v>134392</v>
      </c>
      <c r="C56" s="4">
        <v>1388.66</v>
      </c>
      <c r="D56" s="1">
        <v>44221</v>
      </c>
      <c r="E56" t="str">
        <f>"22793665-001"</f>
        <v>22793665-001</v>
      </c>
      <c r="F56" t="str">
        <f>"CUST#322319/GENERAL SVCS"</f>
        <v>CUST#322319/GENERAL SVCS</v>
      </c>
      <c r="G56" s="4">
        <v>1388.66</v>
      </c>
      <c r="H56" t="str">
        <f>"CUST#322319/GENERAL SVCS"</f>
        <v>CUST#322319/GENERAL SVCS</v>
      </c>
    </row>
    <row r="57" spans="1:8" x14ac:dyDescent="0.25">
      <c r="A57" t="s">
        <v>19</v>
      </c>
      <c r="B57">
        <v>3770</v>
      </c>
      <c r="C57" s="4">
        <v>8243.7000000000007</v>
      </c>
      <c r="D57" s="1">
        <v>44208</v>
      </c>
      <c r="E57" t="str">
        <f>"202101050994"</f>
        <v>202101050994</v>
      </c>
      <c r="F57" t="str">
        <f>"HAULING EXPS 12/29-12/30/PCT#1"</f>
        <v>HAULING EXPS 12/29-12/30/PCT#1</v>
      </c>
      <c r="G57" s="4">
        <v>3447.38</v>
      </c>
      <c r="H57" t="str">
        <f>"HAULING EXPS 12/29-12/30/PCT#1"</f>
        <v>HAULING EXPS 12/29-12/30/PCT#1</v>
      </c>
    </row>
    <row r="58" spans="1:8" x14ac:dyDescent="0.25">
      <c r="E58" t="str">
        <f>"202101050996"</f>
        <v>202101050996</v>
      </c>
      <c r="F58" t="str">
        <f>"HAULING EXPS 12/21-12/30/PCT#4"</f>
        <v>HAULING EXPS 12/21-12/30/PCT#4</v>
      </c>
      <c r="G58" s="4">
        <v>4796.32</v>
      </c>
      <c r="H58" t="str">
        <f>"HAULING EXPS 12/21-12/30/PCT#4"</f>
        <v>HAULING EXPS 12/21-12/30/PCT#4</v>
      </c>
    </row>
    <row r="59" spans="1:8" x14ac:dyDescent="0.25">
      <c r="A59" t="s">
        <v>19</v>
      </c>
      <c r="B59">
        <v>3826</v>
      </c>
      <c r="C59" s="4">
        <v>10331.07</v>
      </c>
      <c r="D59" s="1">
        <v>44222</v>
      </c>
      <c r="E59" t="str">
        <f>"202101141218"</f>
        <v>202101141218</v>
      </c>
      <c r="F59" t="str">
        <f>"HAULLING EXPS: 1/01/21-1/06/21"</f>
        <v>HAULLING EXPS: 1/01/21-1/06/21</v>
      </c>
      <c r="G59" s="4">
        <v>4354.45</v>
      </c>
      <c r="H59" t="str">
        <f>"HAULLING EXPS: 1/01/21-1/06/21"</f>
        <v>HAULLING EXPS: 1/01/21-1/06/21</v>
      </c>
    </row>
    <row r="60" spans="1:8" x14ac:dyDescent="0.25">
      <c r="E60" t="str">
        <f>"202101141219"</f>
        <v>202101141219</v>
      </c>
      <c r="F60" t="str">
        <f>"HAULLING EXPS: 1/6-1/11 PCT#1"</f>
        <v>HAULLING EXPS: 1/6-1/11 PCT#1</v>
      </c>
      <c r="G60" s="4">
        <v>5976.62</v>
      </c>
      <c r="H60" t="str">
        <f>"HAULLING EXPS: 1/6-1/11 PCT#1"</f>
        <v>HAULLING EXPS: 1/6-1/11 PCT#1</v>
      </c>
    </row>
    <row r="61" spans="1:8" x14ac:dyDescent="0.25">
      <c r="A61" t="s">
        <v>20</v>
      </c>
      <c r="B61">
        <v>3785</v>
      </c>
      <c r="C61" s="4">
        <v>547.09</v>
      </c>
      <c r="D61" s="1">
        <v>44208</v>
      </c>
      <c r="E61" t="str">
        <f>"133C-VF6J-HGJR"</f>
        <v>133C-VF6J-HGJR</v>
      </c>
      <c r="F61" t="str">
        <f>"Amazon Order"</f>
        <v>Amazon Order</v>
      </c>
      <c r="G61" s="4">
        <v>34.99</v>
      </c>
      <c r="H61" t="str">
        <f>"POSTAL SCALE"</f>
        <v>POSTAL SCALE</v>
      </c>
    </row>
    <row r="62" spans="1:8" x14ac:dyDescent="0.25">
      <c r="E62" t="str">
        <f>"1DT3-P43C-DDHL"</f>
        <v>1DT3-P43C-DDHL</v>
      </c>
      <c r="F62" t="str">
        <f>"Panic Button Batteries"</f>
        <v>Panic Button Batteries</v>
      </c>
      <c r="G62" s="4">
        <v>105.84</v>
      </c>
      <c r="H62" t="str">
        <f>"Panic Button Batteries"</f>
        <v>Panic Button Batteries</v>
      </c>
    </row>
    <row r="63" spans="1:8" x14ac:dyDescent="0.25">
      <c r="E63" t="str">
        <f>""</f>
        <v/>
      </c>
      <c r="F63" t="str">
        <f>""</f>
        <v/>
      </c>
      <c r="H63" t="str">
        <f>"Shipping"</f>
        <v>Shipping</v>
      </c>
    </row>
    <row r="64" spans="1:8" x14ac:dyDescent="0.25">
      <c r="E64" t="str">
        <f>"1G6D-HFRG-HYK7"</f>
        <v>1G6D-HFRG-HYK7</v>
      </c>
      <c r="F64" t="str">
        <f>"Amazon Order"</f>
        <v>Amazon Order</v>
      </c>
      <c r="G64" s="4">
        <v>312.47000000000003</v>
      </c>
      <c r="H64" t="str">
        <f>"Spray Bottles"</f>
        <v>Spray Bottles</v>
      </c>
    </row>
    <row r="65" spans="1:8" x14ac:dyDescent="0.25">
      <c r="E65" t="str">
        <f>""</f>
        <v/>
      </c>
      <c r="F65" t="str">
        <f>""</f>
        <v/>
      </c>
      <c r="H65" t="str">
        <f>"Animal Corrector"</f>
        <v>Animal Corrector</v>
      </c>
    </row>
    <row r="66" spans="1:8" x14ac:dyDescent="0.25">
      <c r="E66" t="str">
        <f>""</f>
        <v/>
      </c>
      <c r="F66" t="str">
        <f>""</f>
        <v/>
      </c>
      <c r="H66" t="str">
        <f>"Muzzle  Size 1"</f>
        <v>Muzzle  Size 1</v>
      </c>
    </row>
    <row r="67" spans="1:8" x14ac:dyDescent="0.25">
      <c r="E67" t="str">
        <f>""</f>
        <v/>
      </c>
      <c r="F67" t="str">
        <f>""</f>
        <v/>
      </c>
      <c r="H67" t="str">
        <f>"Muzzle  Size 2"</f>
        <v>Muzzle  Size 2</v>
      </c>
    </row>
    <row r="68" spans="1:8" x14ac:dyDescent="0.25">
      <c r="E68" t="str">
        <f>""</f>
        <v/>
      </c>
      <c r="F68" t="str">
        <f>""</f>
        <v/>
      </c>
      <c r="H68" t="str">
        <f>"Muzzle  Size 3"</f>
        <v>Muzzle  Size 3</v>
      </c>
    </row>
    <row r="69" spans="1:8" x14ac:dyDescent="0.25">
      <c r="E69" t="str">
        <f>""</f>
        <v/>
      </c>
      <c r="F69" t="str">
        <f>""</f>
        <v/>
      </c>
      <c r="H69" t="str">
        <f>"Muzzle  Size 4"</f>
        <v>Muzzle  Size 4</v>
      </c>
    </row>
    <row r="70" spans="1:8" x14ac:dyDescent="0.25">
      <c r="E70" t="str">
        <f>""</f>
        <v/>
      </c>
      <c r="F70" t="str">
        <f>""</f>
        <v/>
      </c>
      <c r="H70" t="str">
        <f>"Muzzle  Size 5"</f>
        <v>Muzzle  Size 5</v>
      </c>
    </row>
    <row r="71" spans="1:8" x14ac:dyDescent="0.25">
      <c r="E71" t="str">
        <f>""</f>
        <v/>
      </c>
      <c r="F71" t="str">
        <f>""</f>
        <v/>
      </c>
      <c r="H71" t="str">
        <f>"Muzzle  Size 6"</f>
        <v>Muzzle  Size 6</v>
      </c>
    </row>
    <row r="72" spans="1:8" x14ac:dyDescent="0.25">
      <c r="E72" t="str">
        <f>""</f>
        <v/>
      </c>
      <c r="F72" t="str">
        <f>""</f>
        <v/>
      </c>
      <c r="H72" t="str">
        <f>"Shipping"</f>
        <v>Shipping</v>
      </c>
    </row>
    <row r="73" spans="1:8" x14ac:dyDescent="0.25">
      <c r="E73" t="str">
        <f>""</f>
        <v/>
      </c>
      <c r="F73" t="str">
        <f>""</f>
        <v/>
      </c>
      <c r="H73" t="str">
        <f>"Free Shipping"</f>
        <v>Free Shipping</v>
      </c>
    </row>
    <row r="74" spans="1:8" x14ac:dyDescent="0.25">
      <c r="E74" t="str">
        <f>""</f>
        <v/>
      </c>
      <c r="F74" t="str">
        <f>""</f>
        <v/>
      </c>
      <c r="H74" t="str">
        <f>"Class V Hitch"</f>
        <v>Class V Hitch</v>
      </c>
    </row>
    <row r="75" spans="1:8" x14ac:dyDescent="0.25">
      <c r="E75" t="str">
        <f>"1K9G-PVKN-FF3R"</f>
        <v>1K9G-PVKN-FF3R</v>
      </c>
      <c r="F75" t="str">
        <f>"AMAZON CAPITAL SERVICES INC"</f>
        <v>AMAZON CAPITAL SERVICES INC</v>
      </c>
      <c r="G75" s="4">
        <v>35.96</v>
      </c>
      <c r="H75" t="str">
        <f>"For Deposit Only"</f>
        <v>For Deposit Only</v>
      </c>
    </row>
    <row r="76" spans="1:8" x14ac:dyDescent="0.25">
      <c r="E76" t="str">
        <f>""</f>
        <v/>
      </c>
      <c r="F76" t="str">
        <f>""</f>
        <v/>
      </c>
      <c r="H76" t="str">
        <f>"Bastrop County"</f>
        <v>Bastrop County</v>
      </c>
    </row>
    <row r="77" spans="1:8" x14ac:dyDescent="0.25">
      <c r="E77" t="str">
        <f>"1X31-143D-NMT3"</f>
        <v>1X31-143D-NMT3</v>
      </c>
      <c r="F77" t="str">
        <f>"Folding Utility Table"</f>
        <v>Folding Utility Table</v>
      </c>
      <c r="G77" s="4">
        <v>57.83</v>
      </c>
      <c r="H77" t="str">
        <f>"Folding Utility Table"</f>
        <v>Folding Utility Table</v>
      </c>
    </row>
    <row r="78" spans="1:8" x14ac:dyDescent="0.25">
      <c r="A78" t="s">
        <v>20</v>
      </c>
      <c r="B78">
        <v>3844</v>
      </c>
      <c r="C78" s="4">
        <v>591.41999999999996</v>
      </c>
      <c r="D78" s="1">
        <v>44222</v>
      </c>
      <c r="E78" t="str">
        <f>"16PR-LDLV-VCD9"</f>
        <v>16PR-LDLV-VCD9</v>
      </c>
      <c r="F78" t="str">
        <f>"Uniform Order"</f>
        <v>Uniform Order</v>
      </c>
      <c r="G78" s="4">
        <v>288.95999999999998</v>
      </c>
      <c r="H78" t="str">
        <f>"Nike  XL  Maroon"</f>
        <v>Nike  XL  Maroon</v>
      </c>
    </row>
    <row r="79" spans="1:8" x14ac:dyDescent="0.25">
      <c r="E79" t="str">
        <f>""</f>
        <v/>
      </c>
      <c r="F79" t="str">
        <f>""</f>
        <v/>
      </c>
      <c r="H79" t="str">
        <f>"Cardigan  Dk Blue  M"</f>
        <v>Cardigan  Dk Blue  M</v>
      </c>
    </row>
    <row r="80" spans="1:8" x14ac:dyDescent="0.25">
      <c r="E80" t="str">
        <f>""</f>
        <v/>
      </c>
      <c r="F80" t="str">
        <f>""</f>
        <v/>
      </c>
      <c r="H80" t="str">
        <f>"Nike  XL  Black"</f>
        <v>Nike  XL  Black</v>
      </c>
    </row>
    <row r="81" spans="1:8" x14ac:dyDescent="0.25">
      <c r="E81" t="str">
        <f>""</f>
        <v/>
      </c>
      <c r="F81" t="str">
        <f>""</f>
        <v/>
      </c>
      <c r="H81" t="str">
        <f>"Cardigan  2Pack"</f>
        <v>Cardigan  2Pack</v>
      </c>
    </row>
    <row r="82" spans="1:8" x14ac:dyDescent="0.25">
      <c r="E82" t="str">
        <f>""</f>
        <v/>
      </c>
      <c r="F82" t="str">
        <f>""</f>
        <v/>
      </c>
      <c r="H82" t="str">
        <f>"Nike  XL  Navy"</f>
        <v>Nike  XL  Navy</v>
      </c>
    </row>
    <row r="83" spans="1:8" x14ac:dyDescent="0.25">
      <c r="E83" t="str">
        <f>""</f>
        <v/>
      </c>
      <c r="F83" t="str">
        <f>""</f>
        <v/>
      </c>
      <c r="H83" t="str">
        <f>"Gildan  Black  M"</f>
        <v>Gildan  Black  M</v>
      </c>
    </row>
    <row r="84" spans="1:8" x14ac:dyDescent="0.25">
      <c r="E84" t="str">
        <f>""</f>
        <v/>
      </c>
      <c r="F84" t="str">
        <f>""</f>
        <v/>
      </c>
      <c r="H84" t="str">
        <f>"Polo  3XL  Gold"</f>
        <v>Polo  3XL  Gold</v>
      </c>
    </row>
    <row r="85" spans="1:8" x14ac:dyDescent="0.25">
      <c r="E85" t="str">
        <f>""</f>
        <v/>
      </c>
      <c r="F85" t="str">
        <f>""</f>
        <v/>
      </c>
      <c r="H85" t="str">
        <f>"Polo  3XL  Pink"</f>
        <v>Polo  3XL  Pink</v>
      </c>
    </row>
    <row r="86" spans="1:8" x14ac:dyDescent="0.25">
      <c r="E86" t="str">
        <f>""</f>
        <v/>
      </c>
      <c r="F86" t="str">
        <f>""</f>
        <v/>
      </c>
      <c r="H86" t="str">
        <f>"Gildan  Purple  M"</f>
        <v>Gildan  Purple  M</v>
      </c>
    </row>
    <row r="87" spans="1:8" x14ac:dyDescent="0.25">
      <c r="E87" t="str">
        <f>""</f>
        <v/>
      </c>
      <c r="F87" t="str">
        <f>""</f>
        <v/>
      </c>
      <c r="H87" t="str">
        <f>"Shipping"</f>
        <v>Shipping</v>
      </c>
    </row>
    <row r="88" spans="1:8" x14ac:dyDescent="0.25">
      <c r="E88" t="str">
        <f>"1Y64-WMYF-MX9K"</f>
        <v>1Y64-WMYF-MX9K</v>
      </c>
      <c r="F88" t="str">
        <f>"Amazon order"</f>
        <v>Amazon order</v>
      </c>
      <c r="G88" s="4">
        <v>238.5</v>
      </c>
      <c r="H88" t="str">
        <f>"TainstonHighSpeedHDM"</f>
        <v>TainstonHighSpeedHDM</v>
      </c>
    </row>
    <row r="89" spans="1:8" x14ac:dyDescent="0.25">
      <c r="E89" t="str">
        <f>""</f>
        <v/>
      </c>
      <c r="F89" t="str">
        <f>""</f>
        <v/>
      </c>
      <c r="H89" t="str">
        <f>"DisplayPorttoHDMI"</f>
        <v>DisplayPorttoHDMI</v>
      </c>
    </row>
    <row r="90" spans="1:8" x14ac:dyDescent="0.25">
      <c r="E90" t="str">
        <f>""</f>
        <v/>
      </c>
      <c r="F90" t="str">
        <f>""</f>
        <v/>
      </c>
      <c r="H90" t="str">
        <f>"BelkinF3U133b10"</f>
        <v>BelkinF3U133b10</v>
      </c>
    </row>
    <row r="91" spans="1:8" x14ac:dyDescent="0.25">
      <c r="E91" t="str">
        <f>""</f>
        <v/>
      </c>
      <c r="F91" t="str">
        <f>""</f>
        <v/>
      </c>
      <c r="H91" t="str">
        <f>"Support4K3D1080PHDMI"</f>
        <v>Support4K3D1080PHDMI</v>
      </c>
    </row>
    <row r="92" spans="1:8" x14ac:dyDescent="0.25">
      <c r="E92" t="str">
        <f>""</f>
        <v/>
      </c>
      <c r="F92" t="str">
        <f>""</f>
        <v/>
      </c>
      <c r="H92" t="str">
        <f>"Screen Cleaner"</f>
        <v>Screen Cleaner</v>
      </c>
    </row>
    <row r="93" spans="1:8" x14ac:dyDescent="0.25">
      <c r="E93" t="str">
        <f>""</f>
        <v/>
      </c>
      <c r="F93" t="str">
        <f>""</f>
        <v/>
      </c>
      <c r="H93" t="str">
        <f>"AmazonBasicsUSB3.0"</f>
        <v>AmazonBasicsUSB3.0</v>
      </c>
    </row>
    <row r="94" spans="1:8" x14ac:dyDescent="0.25">
      <c r="E94" t="str">
        <f>""</f>
        <v/>
      </c>
      <c r="F94" t="str">
        <f>""</f>
        <v/>
      </c>
      <c r="H94" t="str">
        <f>"COUPON SAVINGS"</f>
        <v>COUPON SAVINGS</v>
      </c>
    </row>
    <row r="95" spans="1:8" x14ac:dyDescent="0.25">
      <c r="E95" t="str">
        <f>"22276"</f>
        <v>22276</v>
      </c>
      <c r="F95" t="str">
        <f>"Amazon Desk Fans"</f>
        <v>Amazon Desk Fans</v>
      </c>
      <c r="G95" s="4">
        <v>63.96</v>
      </c>
      <c r="H95" t="str">
        <f>"Amazon Desk Fans"</f>
        <v>Amazon Desk Fans</v>
      </c>
    </row>
    <row r="96" spans="1:8" x14ac:dyDescent="0.25">
      <c r="A96" t="s">
        <v>21</v>
      </c>
      <c r="B96">
        <v>134279</v>
      </c>
      <c r="C96" s="4">
        <v>107.74</v>
      </c>
      <c r="D96" s="1">
        <v>44207</v>
      </c>
      <c r="E96" t="str">
        <f>"1M4X-M7LD-YTXX"</f>
        <v>1M4X-M7LD-YTXX</v>
      </c>
      <c r="F96" t="str">
        <f>"OIGEAR GCS632U"</f>
        <v>OIGEAR GCS632U</v>
      </c>
      <c r="G96" s="4">
        <v>60.78</v>
      </c>
      <c r="H96" t="str">
        <f>"OIGEAR GCS63U"</f>
        <v>OIGEAR GCS63U</v>
      </c>
    </row>
    <row r="97" spans="1:8" x14ac:dyDescent="0.25">
      <c r="E97" t="str">
        <f>"202101061049"</f>
        <v>202101061049</v>
      </c>
      <c r="F97" t="str">
        <f>"AMAZON"</f>
        <v>AMAZON</v>
      </c>
      <c r="G97" s="4">
        <v>46.96</v>
      </c>
      <c r="H97" t="str">
        <f>"DESK CALENDARS"</f>
        <v>DESK CALENDARS</v>
      </c>
    </row>
    <row r="98" spans="1:8" x14ac:dyDescent="0.25">
      <c r="A98" t="s">
        <v>22</v>
      </c>
      <c r="B98">
        <v>134280</v>
      </c>
      <c r="C98" s="4">
        <v>36.9</v>
      </c>
      <c r="D98" s="1">
        <v>44207</v>
      </c>
      <c r="E98" t="str">
        <f>"01-201346373"</f>
        <v>01-201346373</v>
      </c>
      <c r="F98" t="str">
        <f>"INV 01-201346373"</f>
        <v>INV 01-201346373</v>
      </c>
      <c r="G98" s="4">
        <v>36.9</v>
      </c>
      <c r="H98" t="str">
        <f>"INV 01-201346373"</f>
        <v>INV 01-201346373</v>
      </c>
    </row>
    <row r="99" spans="1:8" x14ac:dyDescent="0.25">
      <c r="A99" t="s">
        <v>22</v>
      </c>
      <c r="B99">
        <v>134393</v>
      </c>
      <c r="C99" s="4">
        <v>193.8</v>
      </c>
      <c r="D99" s="1">
        <v>44221</v>
      </c>
      <c r="E99" t="str">
        <f>"202101131204"</f>
        <v>202101131204</v>
      </c>
      <c r="F99" t="str">
        <f>"NOTARY SARAH STRONG"</f>
        <v>NOTARY SARAH STRONG</v>
      </c>
      <c r="G99" s="4">
        <v>96.9</v>
      </c>
      <c r="H99" t="str">
        <f>"NOTARY SARAH STRONG"</f>
        <v>NOTARY SARAH STRONG</v>
      </c>
    </row>
    <row r="100" spans="1:8" x14ac:dyDescent="0.25">
      <c r="E100" t="str">
        <f>"202101131205"</f>
        <v>202101131205</v>
      </c>
      <c r="F100" t="str">
        <f>"NOTARY MEGAN WELCH"</f>
        <v>NOTARY MEGAN WELCH</v>
      </c>
      <c r="G100" s="4">
        <v>96.9</v>
      </c>
      <c r="H100" t="str">
        <f>"NOTARY MEGAN WELCH"</f>
        <v>NOTARY MEGAN WELCH</v>
      </c>
    </row>
    <row r="101" spans="1:8" x14ac:dyDescent="0.25">
      <c r="A101" t="s">
        <v>23</v>
      </c>
      <c r="B101">
        <v>134394</v>
      </c>
      <c r="C101" s="4">
        <v>90.74</v>
      </c>
      <c r="D101" s="1">
        <v>44221</v>
      </c>
      <c r="E101" t="str">
        <f>"984861977"</f>
        <v>984861977</v>
      </c>
      <c r="F101" t="str">
        <f>"INV 984861977"</f>
        <v>INV 984861977</v>
      </c>
      <c r="G101" s="4">
        <v>90.74</v>
      </c>
      <c r="H101" t="str">
        <f>"INV 984861977"</f>
        <v>INV 984861977</v>
      </c>
    </row>
    <row r="102" spans="1:8" x14ac:dyDescent="0.25">
      <c r="A102" t="s">
        <v>24</v>
      </c>
      <c r="B102">
        <v>134395</v>
      </c>
      <c r="C102" s="4">
        <v>310</v>
      </c>
      <c r="D102" s="1">
        <v>44221</v>
      </c>
      <c r="E102" t="str">
        <f>"113242"</f>
        <v>113242</v>
      </c>
      <c r="F102" t="str">
        <f>"WINDOW ENVELOPES"</f>
        <v>WINDOW ENVELOPES</v>
      </c>
      <c r="G102" s="4">
        <v>310</v>
      </c>
      <c r="H102" t="str">
        <f>"WINDOW ENVELOPES"</f>
        <v>WINDOW ENVELOPES</v>
      </c>
    </row>
    <row r="103" spans="1:8" x14ac:dyDescent="0.25">
      <c r="A103" t="s">
        <v>25</v>
      </c>
      <c r="B103">
        <v>3808</v>
      </c>
      <c r="C103" s="4">
        <v>1672.5</v>
      </c>
      <c r="D103" s="1">
        <v>44208</v>
      </c>
      <c r="E103" t="str">
        <f>"202101040977"</f>
        <v>202101040977</v>
      </c>
      <c r="F103" t="str">
        <f>"19-19857"</f>
        <v>19-19857</v>
      </c>
      <c r="G103" s="4">
        <v>637.5</v>
      </c>
      <c r="H103" t="str">
        <f>"19-19857"</f>
        <v>19-19857</v>
      </c>
    </row>
    <row r="104" spans="1:8" x14ac:dyDescent="0.25">
      <c r="E104" t="str">
        <f>"202101040978"</f>
        <v>202101040978</v>
      </c>
      <c r="F104" t="str">
        <f>"15-17399"</f>
        <v>15-17399</v>
      </c>
      <c r="G104" s="4">
        <v>435</v>
      </c>
      <c r="H104" t="str">
        <f>"15-17399"</f>
        <v>15-17399</v>
      </c>
    </row>
    <row r="105" spans="1:8" x14ac:dyDescent="0.25">
      <c r="E105" t="str">
        <f>"202101040979"</f>
        <v>202101040979</v>
      </c>
      <c r="F105" t="str">
        <f>"20-20403"</f>
        <v>20-20403</v>
      </c>
      <c r="G105" s="4">
        <v>30</v>
      </c>
      <c r="H105" t="str">
        <f>"20-20403"</f>
        <v>20-20403</v>
      </c>
    </row>
    <row r="106" spans="1:8" x14ac:dyDescent="0.25">
      <c r="E106" t="str">
        <f>"202101040980"</f>
        <v>202101040980</v>
      </c>
      <c r="F106" t="str">
        <f>"20-20293"</f>
        <v>20-20293</v>
      </c>
      <c r="G106" s="4">
        <v>30</v>
      </c>
      <c r="H106" t="str">
        <f>"20-20293"</f>
        <v>20-20293</v>
      </c>
    </row>
    <row r="107" spans="1:8" x14ac:dyDescent="0.25">
      <c r="E107" t="str">
        <f>"202101040981"</f>
        <v>202101040981</v>
      </c>
      <c r="F107" t="str">
        <f>"20-20056"</f>
        <v>20-20056</v>
      </c>
      <c r="G107" s="4">
        <v>210</v>
      </c>
      <c r="H107" t="str">
        <f>"20-20056"</f>
        <v>20-20056</v>
      </c>
    </row>
    <row r="108" spans="1:8" x14ac:dyDescent="0.25">
      <c r="E108" t="str">
        <f>"202101040982"</f>
        <v>202101040982</v>
      </c>
      <c r="F108" t="str">
        <f>"20-20372"</f>
        <v>20-20372</v>
      </c>
      <c r="G108" s="4">
        <v>82.5</v>
      </c>
      <c r="H108" t="str">
        <f>"20-20372"</f>
        <v>20-20372</v>
      </c>
    </row>
    <row r="109" spans="1:8" x14ac:dyDescent="0.25">
      <c r="E109" t="str">
        <f>"202101040983"</f>
        <v>202101040983</v>
      </c>
      <c r="F109" t="str">
        <f>"20-20179"</f>
        <v>20-20179</v>
      </c>
      <c r="G109" s="4">
        <v>247.5</v>
      </c>
      <c r="H109" t="str">
        <f>"20-20179"</f>
        <v>20-20179</v>
      </c>
    </row>
    <row r="110" spans="1:8" x14ac:dyDescent="0.25">
      <c r="A110" t="s">
        <v>25</v>
      </c>
      <c r="B110">
        <v>3881</v>
      </c>
      <c r="C110" s="4">
        <v>2000</v>
      </c>
      <c r="D110" s="1">
        <v>44222</v>
      </c>
      <c r="E110" t="str">
        <f>"202101121168"</f>
        <v>202101121168</v>
      </c>
      <c r="F110" t="str">
        <f>"1669-335"</f>
        <v>1669-335</v>
      </c>
      <c r="G110" s="4">
        <v>100</v>
      </c>
      <c r="H110" t="str">
        <f>"1669-335"</f>
        <v>1669-335</v>
      </c>
    </row>
    <row r="111" spans="1:8" x14ac:dyDescent="0.25">
      <c r="E111" t="str">
        <f>"202101121169"</f>
        <v>202101121169</v>
      </c>
      <c r="F111" t="str">
        <f>"1691-335"</f>
        <v>1691-335</v>
      </c>
      <c r="G111" s="4">
        <v>100</v>
      </c>
      <c r="H111" t="str">
        <f>"1691-335"</f>
        <v>1691-335</v>
      </c>
    </row>
    <row r="112" spans="1:8" x14ac:dyDescent="0.25">
      <c r="E112" t="str">
        <f>"202101121170"</f>
        <v>202101121170</v>
      </c>
      <c r="F112" t="str">
        <f>"17-061"</f>
        <v>17-061</v>
      </c>
      <c r="G112" s="4">
        <v>200</v>
      </c>
      <c r="H112" t="str">
        <f>"17-061"</f>
        <v>17-061</v>
      </c>
    </row>
    <row r="113" spans="1:8" x14ac:dyDescent="0.25">
      <c r="E113" t="str">
        <f>"202101121172"</f>
        <v>202101121172</v>
      </c>
      <c r="F113" t="str">
        <f>"1503-335 1543-21"</f>
        <v>1503-335 1543-21</v>
      </c>
      <c r="G113" s="4">
        <v>200</v>
      </c>
      <c r="H113" t="str">
        <f>"1503-335 1543-21"</f>
        <v>1503-335 1543-21</v>
      </c>
    </row>
    <row r="114" spans="1:8" x14ac:dyDescent="0.25">
      <c r="E114" t="str">
        <f>"202101121173"</f>
        <v>202101121173</v>
      </c>
      <c r="F114" t="str">
        <f>"AC-2017-1223"</f>
        <v>AC-2017-1223</v>
      </c>
      <c r="G114" s="4">
        <v>400</v>
      </c>
      <c r="H114" t="str">
        <f>"AC-2017-1223"</f>
        <v>AC-2017-1223</v>
      </c>
    </row>
    <row r="115" spans="1:8" x14ac:dyDescent="0.25">
      <c r="E115" t="str">
        <f>"202101121174"</f>
        <v>202101121174</v>
      </c>
      <c r="F115" t="str">
        <f>"1JP91515A"</f>
        <v>1JP91515A</v>
      </c>
      <c r="G115" s="4">
        <v>400</v>
      </c>
      <c r="H115" t="str">
        <f>"1JP91515A"</f>
        <v>1JP91515A</v>
      </c>
    </row>
    <row r="116" spans="1:8" x14ac:dyDescent="0.25">
      <c r="E116" t="str">
        <f>"202101121175"</f>
        <v>202101121175</v>
      </c>
      <c r="F116" t="str">
        <f>"20170512"</f>
        <v>20170512</v>
      </c>
      <c r="G116" s="4">
        <v>400</v>
      </c>
      <c r="H116" t="str">
        <f>"20170512"</f>
        <v>20170512</v>
      </c>
    </row>
    <row r="117" spans="1:8" x14ac:dyDescent="0.25">
      <c r="E117" t="str">
        <f>"202101121176"</f>
        <v>202101121176</v>
      </c>
      <c r="F117" t="str">
        <f>"1543-21 1503-335"</f>
        <v>1543-21 1503-335</v>
      </c>
      <c r="G117" s="4">
        <v>200</v>
      </c>
      <c r="H117" t="str">
        <f>"1543-21 1503-335"</f>
        <v>1543-21 1503-335</v>
      </c>
    </row>
    <row r="118" spans="1:8" x14ac:dyDescent="0.25">
      <c r="A118" t="s">
        <v>26</v>
      </c>
      <c r="B118">
        <v>134281</v>
      </c>
      <c r="C118" s="4">
        <v>34.97</v>
      </c>
      <c r="D118" s="1">
        <v>44207</v>
      </c>
      <c r="E118" t="str">
        <f>"2012-326303"</f>
        <v>2012-326303</v>
      </c>
      <c r="F118" t="str">
        <f>"ACCT#3-3053/PCT#2"</f>
        <v>ACCT#3-3053/PCT#2</v>
      </c>
      <c r="G118" s="4">
        <v>34.97</v>
      </c>
      <c r="H118" t="str">
        <f>"ACCT#3-3053/PCT#2"</f>
        <v>ACCT#3-3053/PCT#2</v>
      </c>
    </row>
    <row r="119" spans="1:8" x14ac:dyDescent="0.25">
      <c r="A119" t="s">
        <v>27</v>
      </c>
      <c r="B119">
        <v>134282</v>
      </c>
      <c r="C119" s="4">
        <v>313.49</v>
      </c>
      <c r="D119" s="1">
        <v>44207</v>
      </c>
      <c r="E119" t="str">
        <f>"202101051000"</f>
        <v>202101051000</v>
      </c>
      <c r="F119" t="str">
        <f>"ACCT#015199/JP#1"</f>
        <v>ACCT#015199/JP#1</v>
      </c>
      <c r="G119" s="4">
        <v>9</v>
      </c>
      <c r="H119" t="str">
        <f>"ACCT#015199/JP#1"</f>
        <v>ACCT#015199/JP#1</v>
      </c>
    </row>
    <row r="120" spans="1:8" x14ac:dyDescent="0.25">
      <c r="E120" t="str">
        <f>"202101051001"</f>
        <v>202101051001</v>
      </c>
      <c r="F120" t="str">
        <f>"ACCT#013393/HUMAN RESOURCES"</f>
        <v>ACCT#013393/HUMAN RESOURCES</v>
      </c>
      <c r="G120" s="4">
        <v>25</v>
      </c>
      <c r="H120" t="str">
        <f>"ACCT#013393/HUMAN RESOURCES"</f>
        <v>ACCT#013393/HUMAN RESOURCES</v>
      </c>
    </row>
    <row r="121" spans="1:8" x14ac:dyDescent="0.25">
      <c r="E121" t="str">
        <f>"202101051002"</f>
        <v>202101051002</v>
      </c>
      <c r="F121" t="str">
        <f>"ACCT#012803/BASTROP CO JUDGE"</f>
        <v>ACCT#012803/BASTROP CO JUDGE</v>
      </c>
      <c r="G121" s="4">
        <v>9</v>
      </c>
      <c r="H121" t="str">
        <f>"ACCT#012803/BASTROP CO JUDGE"</f>
        <v>ACCT#012803/BASTROP CO JUDGE</v>
      </c>
    </row>
    <row r="122" spans="1:8" x14ac:dyDescent="0.25">
      <c r="E122" t="str">
        <f>"202101051003"</f>
        <v>202101051003</v>
      </c>
      <c r="F122" t="str">
        <f>"ACCT#012259/DISTRICT CLERK OFF"</f>
        <v>ACCT#012259/DISTRICT CLERK OFF</v>
      </c>
      <c r="G122" s="4">
        <v>42</v>
      </c>
      <c r="H122" t="str">
        <f>"ACCT#012259/DISTRICT CLERK OFF"</f>
        <v>ACCT#012259/DISTRICT CLERK OFF</v>
      </c>
    </row>
    <row r="123" spans="1:8" x14ac:dyDescent="0.25">
      <c r="E123" t="str">
        <f>"202101051004"</f>
        <v>202101051004</v>
      </c>
      <c r="F123" t="str">
        <f>"ACCT#012231/DIST JUDGE OFFICE"</f>
        <v>ACCT#012231/DIST JUDGE OFFICE</v>
      </c>
      <c r="G123" s="4">
        <v>10</v>
      </c>
      <c r="H123" t="str">
        <f>"ACCT#012231/DIST JUDGE OFFICE"</f>
        <v>ACCT#012231/DIST JUDGE OFFICE</v>
      </c>
    </row>
    <row r="124" spans="1:8" x14ac:dyDescent="0.25">
      <c r="E124" t="str">
        <f>"202101051005"</f>
        <v>202101051005</v>
      </c>
      <c r="F124" t="str">
        <f>"ACCT#011955/DISTRICT JUDGE"</f>
        <v>ACCT#011955/DISTRICT JUDGE</v>
      </c>
      <c r="G124" s="4">
        <v>40.5</v>
      </c>
      <c r="H124" t="str">
        <f>"ACCT#011955/DISTRICT JUDGE"</f>
        <v>ACCT#011955/DISTRICT JUDGE</v>
      </c>
    </row>
    <row r="125" spans="1:8" x14ac:dyDescent="0.25">
      <c r="E125" t="str">
        <f>"202101051006"</f>
        <v>202101051006</v>
      </c>
      <c r="F125" t="str">
        <f>"ACCT#011280/COUNTY CLERK"</f>
        <v>ACCT#011280/COUNTY CLERK</v>
      </c>
      <c r="G125" s="4">
        <v>46.5</v>
      </c>
      <c r="H125" t="str">
        <f>"ACCT#011280/COUNTY CLERK"</f>
        <v>ACCT#011280/COUNTY CLERK</v>
      </c>
    </row>
    <row r="126" spans="1:8" x14ac:dyDescent="0.25">
      <c r="E126" t="str">
        <f>"202101051007"</f>
        <v>202101051007</v>
      </c>
      <c r="F126" t="str">
        <f>"ACCT#010238/GENERAL SVCS"</f>
        <v>ACCT#010238/GENERAL SVCS</v>
      </c>
      <c r="G126" s="4">
        <v>85.49</v>
      </c>
      <c r="H126" t="str">
        <f>"ACCT#010238/GENERAL SVCS"</f>
        <v>ACCT#010238/GENERAL SVCS</v>
      </c>
    </row>
    <row r="127" spans="1:8" x14ac:dyDescent="0.25">
      <c r="E127" t="str">
        <f>"202101051008"</f>
        <v>202101051008</v>
      </c>
      <c r="F127" t="str">
        <f>"ACCT#012571/TREASURER"</f>
        <v>ACCT#012571/TREASURER</v>
      </c>
      <c r="G127" s="4">
        <v>9</v>
      </c>
      <c r="H127" t="str">
        <f>"ACCT#012571/TREASURER"</f>
        <v>ACCT#012571/TREASURER</v>
      </c>
    </row>
    <row r="128" spans="1:8" x14ac:dyDescent="0.25">
      <c r="E128" t="str">
        <f>"202101051009"</f>
        <v>202101051009</v>
      </c>
      <c r="F128" t="str">
        <f>"ACCT#010602/COMMISSIONER OFFIC"</f>
        <v>ACCT#010602/COMMISSIONER OFFIC</v>
      </c>
      <c r="G128" s="4">
        <v>9</v>
      </c>
      <c r="H128" t="str">
        <f>"ACCT#010602/COMMISSIONER OFFIC"</f>
        <v>ACCT#010602/COMMISSIONER OFFIC</v>
      </c>
    </row>
    <row r="129" spans="1:8" x14ac:dyDescent="0.25">
      <c r="E129" t="str">
        <f>"202101051010"</f>
        <v>202101051010</v>
      </c>
      <c r="F129" t="str">
        <f>"ACCT#011474/ELECTIONS"</f>
        <v>ACCT#011474/ELECTIONS</v>
      </c>
      <c r="G129" s="4">
        <v>10</v>
      </c>
      <c r="H129" t="str">
        <f>"ACCT#011474/ELECTIONS"</f>
        <v>ACCT#011474/ELECTIONS</v>
      </c>
    </row>
    <row r="130" spans="1:8" x14ac:dyDescent="0.25">
      <c r="E130" t="str">
        <f>"202101051011"</f>
        <v>202101051011</v>
      </c>
      <c r="F130" t="str">
        <f>"ACCT#010057/AUDITOR"</f>
        <v>ACCT#010057/AUDITOR</v>
      </c>
      <c r="G130" s="4">
        <v>9</v>
      </c>
      <c r="H130" t="str">
        <f>"ACCT#010057/AUDITOR"</f>
        <v>ACCT#010057/AUDITOR</v>
      </c>
    </row>
    <row r="131" spans="1:8" x14ac:dyDescent="0.25">
      <c r="E131" t="str">
        <f>"202101061023"</f>
        <v>202101061023</v>
      </c>
      <c r="F131" t="str">
        <f>"ACCT#010835/COMMISSIONERS P1"</f>
        <v>ACCT#010835/COMMISSIONERS P1</v>
      </c>
      <c r="G131" s="4">
        <v>9</v>
      </c>
      <c r="H131" t="str">
        <f>"ACCT#010835/COMMISSIONERS P1"</f>
        <v>ACCT#010835/COMMISSIONERS P1</v>
      </c>
    </row>
    <row r="132" spans="1:8" x14ac:dyDescent="0.25">
      <c r="A132" t="s">
        <v>27</v>
      </c>
      <c r="B132">
        <v>134396</v>
      </c>
      <c r="C132" s="4">
        <v>496.98</v>
      </c>
      <c r="D132" s="1">
        <v>44221</v>
      </c>
      <c r="E132" t="str">
        <f>"202101131195"</f>
        <v>202101131195</v>
      </c>
      <c r="F132" t="str">
        <f>"CUST#015510 PCT#1"</f>
        <v>CUST#015510 PCT#1</v>
      </c>
      <c r="G132" s="4">
        <v>470.99</v>
      </c>
      <c r="H132" t="str">
        <f>"CUST#015510 PCT#1"</f>
        <v>CUST#015510 PCT#1</v>
      </c>
    </row>
    <row r="133" spans="1:8" x14ac:dyDescent="0.25">
      <c r="E133" t="str">
        <f>"202101201337"</f>
        <v>202101201337</v>
      </c>
      <c r="F133" t="str">
        <f>"ACCT#014737/ANIMAL SERVICE"</f>
        <v>ACCT#014737/ANIMAL SERVICE</v>
      </c>
      <c r="G133" s="4">
        <v>25.99</v>
      </c>
      <c r="H133" t="str">
        <f>"ACCT#014737/ANIMAL SERVICE"</f>
        <v>ACCT#014737/ANIMAL SERVICE</v>
      </c>
    </row>
    <row r="134" spans="1:8" x14ac:dyDescent="0.25">
      <c r="A134" t="s">
        <v>28</v>
      </c>
      <c r="B134">
        <v>134239</v>
      </c>
      <c r="C134" s="4">
        <v>105.9</v>
      </c>
      <c r="D134" s="1">
        <v>44203</v>
      </c>
      <c r="E134" t="str">
        <f>"202101061058"</f>
        <v>202101061058</v>
      </c>
      <c r="F134" t="str">
        <f>"ACCT#0201855301 / 01052021"</f>
        <v>ACCT#0201855301 / 01052021</v>
      </c>
      <c r="G134" s="4">
        <v>78.09</v>
      </c>
      <c r="H134" t="str">
        <f>"ACCT#0201855301 / 01052021"</f>
        <v>ACCT#0201855301 / 01052021</v>
      </c>
    </row>
    <row r="135" spans="1:8" x14ac:dyDescent="0.25">
      <c r="E135" t="str">
        <f>"202101061059"</f>
        <v>202101061059</v>
      </c>
      <c r="F135" t="str">
        <f>"ACCT#0201891401 / 01052021"</f>
        <v>ACCT#0201891401 / 01052021</v>
      </c>
      <c r="G135" s="4">
        <v>27.81</v>
      </c>
      <c r="H135" t="str">
        <f>"AQUA WATER SUPPLY CORPORATION"</f>
        <v>AQUA WATER SUPPLY CORPORATION</v>
      </c>
    </row>
    <row r="136" spans="1:8" x14ac:dyDescent="0.25">
      <c r="A136" t="s">
        <v>28</v>
      </c>
      <c r="B136">
        <v>134383</v>
      </c>
      <c r="C136" s="4">
        <v>995.5</v>
      </c>
      <c r="D136" s="1">
        <v>44217</v>
      </c>
      <c r="E136" t="str">
        <f>"202101211355"</f>
        <v>202101211355</v>
      </c>
      <c r="F136" t="str">
        <f>"ACCT#0102120801 / 01202021"</f>
        <v>ACCT#0102120801 / 01202021</v>
      </c>
      <c r="G136" s="4">
        <v>144.91999999999999</v>
      </c>
      <c r="H136" t="str">
        <f>"AQUA WATER SUPPLY CORPORATION"</f>
        <v>AQUA WATER SUPPLY CORPORATION</v>
      </c>
    </row>
    <row r="137" spans="1:8" x14ac:dyDescent="0.25">
      <c r="E137" t="str">
        <f>"202101211356"</f>
        <v>202101211356</v>
      </c>
      <c r="F137" t="str">
        <f>"ACCT#0400785803 / 01202021"</f>
        <v>ACCT#0400785803 / 01202021</v>
      </c>
      <c r="G137" s="4">
        <v>196.52</v>
      </c>
      <c r="H137" t="str">
        <f>"AQUA WATER SUPPLY CORPORATION"</f>
        <v>AQUA WATER SUPPLY CORPORATION</v>
      </c>
    </row>
    <row r="138" spans="1:8" x14ac:dyDescent="0.25">
      <c r="E138" t="str">
        <f>"202101211357"</f>
        <v>202101211357</v>
      </c>
      <c r="F138" t="str">
        <f>"ACCT#0401408501 / 01202021"</f>
        <v>ACCT#0401408501 / 01202021</v>
      </c>
      <c r="G138" s="4">
        <v>588.02</v>
      </c>
      <c r="H138" t="str">
        <f>"AQUA WATER SUPPLY CORPORATION"</f>
        <v>AQUA WATER SUPPLY CORPORATION</v>
      </c>
    </row>
    <row r="139" spans="1:8" x14ac:dyDescent="0.25">
      <c r="E139" t="str">
        <f>"202101211358"</f>
        <v>202101211358</v>
      </c>
      <c r="F139" t="str">
        <f>"ACCT#0800042801 / 01202021"</f>
        <v>ACCT#0800042801 / 01202021</v>
      </c>
      <c r="G139" s="4">
        <v>40.369999999999997</v>
      </c>
      <c r="H139" t="str">
        <f>"ACCT#0800042801 / 01202021"</f>
        <v>ACCT#0800042801 / 01202021</v>
      </c>
    </row>
    <row r="140" spans="1:8" x14ac:dyDescent="0.25">
      <c r="E140" t="str">
        <f>"202101211359"</f>
        <v>202101211359</v>
      </c>
      <c r="F140" t="str">
        <f>"ACCT#0802361501 / 01202021"</f>
        <v>ACCT#0802361501 / 01202021</v>
      </c>
      <c r="G140" s="4">
        <v>25.67</v>
      </c>
      <c r="H140" t="str">
        <f>"AQUA WATER SUPPLY CORPORATION"</f>
        <v>AQUA WATER SUPPLY CORPORATION</v>
      </c>
    </row>
    <row r="141" spans="1:8" x14ac:dyDescent="0.25">
      <c r="A141" t="s">
        <v>28</v>
      </c>
      <c r="B141">
        <v>134397</v>
      </c>
      <c r="C141" s="4">
        <v>1179.77</v>
      </c>
      <c r="D141" s="1">
        <v>44221</v>
      </c>
      <c r="E141" t="str">
        <f>"202101131190"</f>
        <v>202101131190</v>
      </c>
      <c r="F141" t="str">
        <f>"ACCT#7700010025 1600 GAL PCT#2"</f>
        <v>ACCT#7700010025 1600 GAL PCT#2</v>
      </c>
      <c r="G141" s="4">
        <v>82</v>
      </c>
      <c r="H141" t="str">
        <f>"ACCT#7700010025 1600 GAL PCT#2"</f>
        <v>ACCT#7700010025 1600 GAL PCT#2</v>
      </c>
    </row>
    <row r="142" spans="1:8" x14ac:dyDescent="0.25">
      <c r="E142" t="str">
        <f>"202101131192"</f>
        <v>202101131192</v>
      </c>
      <c r="F142" t="str">
        <f>"ACCT#7700010027 PCT#4"</f>
        <v>ACCT#7700010027 PCT#4</v>
      </c>
      <c r="G142" s="4">
        <v>799.5</v>
      </c>
      <c r="H142" t="str">
        <f>"ACCT#7700010027 PCT#4"</f>
        <v>ACCT#7700010027 PCT#4</v>
      </c>
    </row>
    <row r="143" spans="1:8" x14ac:dyDescent="0.25">
      <c r="E143" t="str">
        <f>"202101131193"</f>
        <v>202101131193</v>
      </c>
      <c r="F143" t="str">
        <f>"ACCT#7700010019 CEDAR CREEK PK"</f>
        <v>ACCT#7700010019 CEDAR CREEK PK</v>
      </c>
      <c r="G143" s="4">
        <v>93.27</v>
      </c>
      <c r="H143" t="str">
        <f>"ACCT#7700010019 CEDAR CREEK PK"</f>
        <v>ACCT#7700010019 CEDAR CREEK PK</v>
      </c>
    </row>
    <row r="144" spans="1:8" x14ac:dyDescent="0.25">
      <c r="E144" t="str">
        <f>"202101201248"</f>
        <v>202101201248</v>
      </c>
      <c r="F144" t="str">
        <f>"ACCT#7700010026/PCT#3"</f>
        <v>ACCT#7700010026/PCT#3</v>
      </c>
      <c r="G144" s="4">
        <v>205</v>
      </c>
      <c r="H144" t="str">
        <f>"ACCT#7700010026/PCT#3"</f>
        <v>ACCT#7700010026/PCT#3</v>
      </c>
    </row>
    <row r="145" spans="1:8" x14ac:dyDescent="0.25">
      <c r="A145" t="s">
        <v>29</v>
      </c>
      <c r="B145">
        <v>134398</v>
      </c>
      <c r="C145" s="4">
        <v>2383.8000000000002</v>
      </c>
      <c r="D145" s="1">
        <v>44221</v>
      </c>
      <c r="E145" t="str">
        <f>"202101191228"</f>
        <v>202101191228</v>
      </c>
      <c r="F145" t="str">
        <f>"INDIGENT HEALTH"</f>
        <v>INDIGENT HEALTH</v>
      </c>
      <c r="G145" s="4">
        <v>2383.8000000000002</v>
      </c>
      <c r="H145" t="str">
        <f>"INDIGENT HEALTH"</f>
        <v>INDIGENT HEALTH</v>
      </c>
    </row>
    <row r="146" spans="1:8" x14ac:dyDescent="0.25">
      <c r="A146" t="s">
        <v>30</v>
      </c>
      <c r="B146">
        <v>134283</v>
      </c>
      <c r="C146" s="4">
        <v>4901.68</v>
      </c>
      <c r="D146" s="1">
        <v>44207</v>
      </c>
      <c r="E146" t="str">
        <f>"202012300940"</f>
        <v>202012300940</v>
      </c>
      <c r="F146" t="str">
        <f>"ACCT#51249-0048 193 3"</f>
        <v>ACCT#51249-0048 193 3</v>
      </c>
      <c r="G146" s="4">
        <v>4157.2700000000004</v>
      </c>
      <c r="H146" t="str">
        <f>"ACCT#51249-0048 193 3"</f>
        <v>ACCT#51249-0048 193 3</v>
      </c>
    </row>
    <row r="147" spans="1:8" x14ac:dyDescent="0.25">
      <c r="E147" t="str">
        <f>""</f>
        <v/>
      </c>
      <c r="F147" t="str">
        <f>""</f>
        <v/>
      </c>
      <c r="H147" t="str">
        <f>"ACCT#51249-0048 193 3"</f>
        <v>ACCT#51249-0048 193 3</v>
      </c>
    </row>
    <row r="148" spans="1:8" x14ac:dyDescent="0.25">
      <c r="E148" t="str">
        <f>""</f>
        <v/>
      </c>
      <c r="F148" t="str">
        <f>""</f>
        <v/>
      </c>
      <c r="H148" t="str">
        <f>"ACCT#51249-0048 193 3"</f>
        <v>ACCT#51249-0048 193 3</v>
      </c>
    </row>
    <row r="149" spans="1:8" x14ac:dyDescent="0.25">
      <c r="E149" t="str">
        <f>""</f>
        <v/>
      </c>
      <c r="F149" t="str">
        <f>""</f>
        <v/>
      </c>
      <c r="H149" t="str">
        <f>"ACCT#51249-0048 193 3"</f>
        <v>ACCT#51249-0048 193 3</v>
      </c>
    </row>
    <row r="150" spans="1:8" x14ac:dyDescent="0.25">
      <c r="E150" t="str">
        <f>"202101040991"</f>
        <v>202101040991</v>
      </c>
      <c r="F150" t="str">
        <f>"ACCT#512 308-9870 530 7"</f>
        <v>ACCT#512 308-9870 530 7</v>
      </c>
      <c r="G150" s="4">
        <v>744.41</v>
      </c>
      <c r="H150" t="str">
        <f>"ACCT#512 308-9870 530 7"</f>
        <v>ACCT#512 308-9870 530 7</v>
      </c>
    </row>
    <row r="151" spans="1:8" x14ac:dyDescent="0.25">
      <c r="A151" t="s">
        <v>30</v>
      </c>
      <c r="B151">
        <v>134284</v>
      </c>
      <c r="C151" s="4">
        <v>70</v>
      </c>
      <c r="D151" s="1">
        <v>44207</v>
      </c>
      <c r="E151" t="str">
        <f>"371530"</f>
        <v>371530</v>
      </c>
      <c r="F151" t="str">
        <f>"INV 371530"</f>
        <v>INV 371530</v>
      </c>
      <c r="G151" s="4">
        <v>70</v>
      </c>
      <c r="H151" t="str">
        <f>"INV 371530"</f>
        <v>INV 371530</v>
      </c>
    </row>
    <row r="152" spans="1:8" x14ac:dyDescent="0.25">
      <c r="A152" t="s">
        <v>30</v>
      </c>
      <c r="B152">
        <v>134285</v>
      </c>
      <c r="C152" s="4">
        <v>6543.48</v>
      </c>
      <c r="D152" s="1">
        <v>44207</v>
      </c>
      <c r="E152" t="str">
        <f>"2156198507"</f>
        <v>2156198507</v>
      </c>
      <c r="F152" t="str">
        <f>"ACCT#831-000-7218 923"</f>
        <v>ACCT#831-000-7218 923</v>
      </c>
      <c r="G152" s="4">
        <v>874.25</v>
      </c>
      <c r="H152" t="str">
        <f>"ACCT#831-000-7218 923"</f>
        <v>ACCT#831-000-7218 923</v>
      </c>
    </row>
    <row r="153" spans="1:8" x14ac:dyDescent="0.25">
      <c r="E153" t="str">
        <f>"5292119502"</f>
        <v>5292119502</v>
      </c>
      <c r="F153" t="str">
        <f>"ACCT#831-000-7919 623"</f>
        <v>ACCT#831-000-7919 623</v>
      </c>
      <c r="G153" s="4">
        <v>2000.38</v>
      </c>
      <c r="H153" t="str">
        <f>"ACCT#831-000-7919 623"</f>
        <v>ACCT#831-000-7919 623</v>
      </c>
    </row>
    <row r="154" spans="1:8" x14ac:dyDescent="0.25">
      <c r="E154" t="str">
        <f>"8305398500"</f>
        <v>8305398500</v>
      </c>
      <c r="F154" t="str">
        <f>"ACCT#831-000-6084-095"</f>
        <v>ACCT#831-000-6084-095</v>
      </c>
      <c r="G154" s="4">
        <v>1684.69</v>
      </c>
      <c r="H154" t="str">
        <f>"ACCT#831-000-6084-095"</f>
        <v>ACCT#831-000-6084-095</v>
      </c>
    </row>
    <row r="155" spans="1:8" x14ac:dyDescent="0.25">
      <c r="E155" t="str">
        <f>"8410029503"</f>
        <v>8410029503</v>
      </c>
      <c r="F155" t="str">
        <f>"ACCT#831-000-9850 451"</f>
        <v>ACCT#831-000-9850 451</v>
      </c>
      <c r="G155" s="4">
        <v>1984.16</v>
      </c>
      <c r="H155" t="str">
        <f>"ACCT#831-000-9850 451"</f>
        <v>ACCT#831-000-9850 451</v>
      </c>
    </row>
    <row r="156" spans="1:8" x14ac:dyDescent="0.25">
      <c r="A156" t="s">
        <v>31</v>
      </c>
      <c r="B156">
        <v>134286</v>
      </c>
      <c r="C156" s="4">
        <v>5439.41</v>
      </c>
      <c r="D156" s="1">
        <v>44207</v>
      </c>
      <c r="E156" t="str">
        <f>"287263291654S12202"</f>
        <v>287263291654S12202</v>
      </c>
      <c r="F156" t="str">
        <f>"ACCT#287263291654"</f>
        <v>ACCT#287263291654</v>
      </c>
      <c r="G156" s="4">
        <v>1435.03</v>
      </c>
      <c r="H156" t="str">
        <f t="shared" ref="H156:H171" si="2">"ACCT#287263291654"</f>
        <v>ACCT#287263291654</v>
      </c>
    </row>
    <row r="157" spans="1:8" x14ac:dyDescent="0.25">
      <c r="E157" t="str">
        <f>""</f>
        <v/>
      </c>
      <c r="F157" t="str">
        <f>""</f>
        <v/>
      </c>
      <c r="H157" t="str">
        <f t="shared" si="2"/>
        <v>ACCT#287263291654</v>
      </c>
    </row>
    <row r="158" spans="1:8" x14ac:dyDescent="0.25">
      <c r="E158" t="str">
        <f>""</f>
        <v/>
      </c>
      <c r="F158" t="str">
        <f>""</f>
        <v/>
      </c>
      <c r="H158" t="str">
        <f t="shared" si="2"/>
        <v>ACCT#287263291654</v>
      </c>
    </row>
    <row r="159" spans="1:8" x14ac:dyDescent="0.25">
      <c r="E159" t="str">
        <f>""</f>
        <v/>
      </c>
      <c r="F159" t="str">
        <f>""</f>
        <v/>
      </c>
      <c r="H159" t="str">
        <f t="shared" si="2"/>
        <v>ACCT#287263291654</v>
      </c>
    </row>
    <row r="160" spans="1:8" x14ac:dyDescent="0.25">
      <c r="E160" t="str">
        <f>""</f>
        <v/>
      </c>
      <c r="F160" t="str">
        <f>""</f>
        <v/>
      </c>
      <c r="H160" t="str">
        <f t="shared" si="2"/>
        <v>ACCT#287263291654</v>
      </c>
    </row>
    <row r="161" spans="5:8" x14ac:dyDescent="0.25">
      <c r="E161" t="str">
        <f>""</f>
        <v/>
      </c>
      <c r="F161" t="str">
        <f>""</f>
        <v/>
      </c>
      <c r="H161" t="str">
        <f t="shared" si="2"/>
        <v>ACCT#287263291654</v>
      </c>
    </row>
    <row r="162" spans="5:8" x14ac:dyDescent="0.25">
      <c r="E162" t="str">
        <f>""</f>
        <v/>
      </c>
      <c r="F162" t="str">
        <f>""</f>
        <v/>
      </c>
      <c r="H162" t="str">
        <f t="shared" si="2"/>
        <v>ACCT#287263291654</v>
      </c>
    </row>
    <row r="163" spans="5:8" x14ac:dyDescent="0.25">
      <c r="E163" t="str">
        <f>""</f>
        <v/>
      </c>
      <c r="F163" t="str">
        <f>""</f>
        <v/>
      </c>
      <c r="H163" t="str">
        <f t="shared" si="2"/>
        <v>ACCT#287263291654</v>
      </c>
    </row>
    <row r="164" spans="5:8" x14ac:dyDescent="0.25">
      <c r="E164" t="str">
        <f>""</f>
        <v/>
      </c>
      <c r="F164" t="str">
        <f>""</f>
        <v/>
      </c>
      <c r="H164" t="str">
        <f t="shared" si="2"/>
        <v>ACCT#287263291654</v>
      </c>
    </row>
    <row r="165" spans="5:8" x14ac:dyDescent="0.25">
      <c r="E165" t="str">
        <f>""</f>
        <v/>
      </c>
      <c r="F165" t="str">
        <f>""</f>
        <v/>
      </c>
      <c r="H165" t="str">
        <f t="shared" si="2"/>
        <v>ACCT#287263291654</v>
      </c>
    </row>
    <row r="166" spans="5:8" x14ac:dyDescent="0.25">
      <c r="E166" t="str">
        <f>""</f>
        <v/>
      </c>
      <c r="F166" t="str">
        <f>""</f>
        <v/>
      </c>
      <c r="H166" t="str">
        <f t="shared" si="2"/>
        <v>ACCT#287263291654</v>
      </c>
    </row>
    <row r="167" spans="5:8" x14ac:dyDescent="0.25">
      <c r="E167" t="str">
        <f>""</f>
        <v/>
      </c>
      <c r="F167" t="str">
        <f>""</f>
        <v/>
      </c>
      <c r="H167" t="str">
        <f t="shared" si="2"/>
        <v>ACCT#287263291654</v>
      </c>
    </row>
    <row r="168" spans="5:8" x14ac:dyDescent="0.25">
      <c r="E168" t="str">
        <f>""</f>
        <v/>
      </c>
      <c r="F168" t="str">
        <f>""</f>
        <v/>
      </c>
      <c r="H168" t="str">
        <f t="shared" si="2"/>
        <v>ACCT#287263291654</v>
      </c>
    </row>
    <row r="169" spans="5:8" x14ac:dyDescent="0.25">
      <c r="E169" t="str">
        <f>""</f>
        <v/>
      </c>
      <c r="F169" t="str">
        <f>""</f>
        <v/>
      </c>
      <c r="H169" t="str">
        <f t="shared" si="2"/>
        <v>ACCT#287263291654</v>
      </c>
    </row>
    <row r="170" spans="5:8" x14ac:dyDescent="0.25">
      <c r="E170" t="str">
        <f>""</f>
        <v/>
      </c>
      <c r="F170" t="str">
        <f>""</f>
        <v/>
      </c>
      <c r="H170" t="str">
        <f t="shared" si="2"/>
        <v>ACCT#287263291654</v>
      </c>
    </row>
    <row r="171" spans="5:8" x14ac:dyDescent="0.25">
      <c r="E171" t="str">
        <f>""</f>
        <v/>
      </c>
      <c r="F171" t="str">
        <f>""</f>
        <v/>
      </c>
      <c r="H171" t="str">
        <f t="shared" si="2"/>
        <v>ACCT#287263291654</v>
      </c>
    </row>
    <row r="172" spans="5:8" x14ac:dyDescent="0.25">
      <c r="E172" t="str">
        <f>"287290524359122720"</f>
        <v>287290524359122720</v>
      </c>
      <c r="F172" t="str">
        <f>"ACCT#287290524359/FAN#58143538"</f>
        <v>ACCT#287290524359/FAN#58143538</v>
      </c>
      <c r="G172" s="4">
        <v>4004.38</v>
      </c>
      <c r="H172" t="str">
        <f t="shared" ref="H172:H179" si="3">"ACCT#287290524359/FAN#58143538"</f>
        <v>ACCT#287290524359/FAN#58143538</v>
      </c>
    </row>
    <row r="173" spans="5:8" x14ac:dyDescent="0.25">
      <c r="E173" t="str">
        <f>""</f>
        <v/>
      </c>
      <c r="F173" t="str">
        <f>""</f>
        <v/>
      </c>
      <c r="H173" t="str">
        <f t="shared" si="3"/>
        <v>ACCT#287290524359/FAN#58143538</v>
      </c>
    </row>
    <row r="174" spans="5:8" x14ac:dyDescent="0.25">
      <c r="E174" t="str">
        <f>""</f>
        <v/>
      </c>
      <c r="F174" t="str">
        <f>""</f>
        <v/>
      </c>
      <c r="H174" t="str">
        <f t="shared" si="3"/>
        <v>ACCT#287290524359/FAN#58143538</v>
      </c>
    </row>
    <row r="175" spans="5:8" x14ac:dyDescent="0.25">
      <c r="E175" t="str">
        <f>""</f>
        <v/>
      </c>
      <c r="F175" t="str">
        <f>""</f>
        <v/>
      </c>
      <c r="H175" t="str">
        <f t="shared" si="3"/>
        <v>ACCT#287290524359/FAN#58143538</v>
      </c>
    </row>
    <row r="176" spans="5:8" x14ac:dyDescent="0.25">
      <c r="E176" t="str">
        <f>""</f>
        <v/>
      </c>
      <c r="F176" t="str">
        <f>""</f>
        <v/>
      </c>
      <c r="H176" t="str">
        <f t="shared" si="3"/>
        <v>ACCT#287290524359/FAN#58143538</v>
      </c>
    </row>
    <row r="177" spans="1:8" x14ac:dyDescent="0.25">
      <c r="E177" t="str">
        <f>""</f>
        <v/>
      </c>
      <c r="F177" t="str">
        <f>""</f>
        <v/>
      </c>
      <c r="H177" t="str">
        <f t="shared" si="3"/>
        <v>ACCT#287290524359/FAN#58143538</v>
      </c>
    </row>
    <row r="178" spans="1:8" x14ac:dyDescent="0.25">
      <c r="E178" t="str">
        <f>""</f>
        <v/>
      </c>
      <c r="F178" t="str">
        <f>""</f>
        <v/>
      </c>
      <c r="H178" t="str">
        <f t="shared" si="3"/>
        <v>ACCT#287290524359/FAN#58143538</v>
      </c>
    </row>
    <row r="179" spans="1:8" x14ac:dyDescent="0.25">
      <c r="E179" t="str">
        <f>""</f>
        <v/>
      </c>
      <c r="F179" t="str">
        <f>""</f>
        <v/>
      </c>
      <c r="H179" t="str">
        <f t="shared" si="3"/>
        <v>ACCT#287290524359/FAN#58143538</v>
      </c>
    </row>
    <row r="180" spans="1:8" x14ac:dyDescent="0.25">
      <c r="A180" t="s">
        <v>32</v>
      </c>
      <c r="B180">
        <v>134399</v>
      </c>
      <c r="C180" s="4">
        <v>439.9</v>
      </c>
      <c r="D180" s="1">
        <v>44221</v>
      </c>
      <c r="E180" t="str">
        <f>"99999901644644"</f>
        <v>99999901644644</v>
      </c>
      <c r="F180" t="str">
        <f>"MELOXICAM/ANIMAL SERVICES"</f>
        <v>MELOXICAM/ANIMAL SERVICES</v>
      </c>
      <c r="G180" s="4">
        <v>439.9</v>
      </c>
      <c r="H180" t="str">
        <f>"MELOXICAM/ANIMAL SERVICES"</f>
        <v>MELOXICAM/ANIMAL SERVICES</v>
      </c>
    </row>
    <row r="181" spans="1:8" x14ac:dyDescent="0.25">
      <c r="A181" t="s">
        <v>33</v>
      </c>
      <c r="B181">
        <v>3792</v>
      </c>
      <c r="C181" s="4">
        <v>194.78</v>
      </c>
      <c r="D181" s="1">
        <v>44208</v>
      </c>
      <c r="E181" t="str">
        <f>"3293"</f>
        <v>3293</v>
      </c>
      <c r="F181" t="str">
        <f>"HOSE ASSEMBLY/PCT#4"</f>
        <v>HOSE ASSEMBLY/PCT#4</v>
      </c>
      <c r="G181" s="4">
        <v>194.78</v>
      </c>
      <c r="H181" t="str">
        <f>"HOSE ASSEMBLY/PCT#4"</f>
        <v>HOSE ASSEMBLY/PCT#4</v>
      </c>
    </row>
    <row r="182" spans="1:8" x14ac:dyDescent="0.25">
      <c r="A182" t="s">
        <v>33</v>
      </c>
      <c r="B182">
        <v>3856</v>
      </c>
      <c r="C182" s="4">
        <v>515.4</v>
      </c>
      <c r="D182" s="1">
        <v>44222</v>
      </c>
      <c r="E182" t="str">
        <f>"3351"</f>
        <v>3351</v>
      </c>
      <c r="F182" t="str">
        <f>"HOSE ASSEMBLY PCT#4"</f>
        <v>HOSE ASSEMBLY PCT#4</v>
      </c>
      <c r="G182" s="4">
        <v>515.4</v>
      </c>
      <c r="H182" t="str">
        <f>"HOSE ASSEMBLY PCT#4"</f>
        <v>HOSE ASSEMBLY PCT#4</v>
      </c>
    </row>
    <row r="183" spans="1:8" x14ac:dyDescent="0.25">
      <c r="A183" t="s">
        <v>34</v>
      </c>
      <c r="B183">
        <v>134400</v>
      </c>
      <c r="C183" s="4">
        <v>53.38</v>
      </c>
      <c r="D183" s="1">
        <v>44221</v>
      </c>
      <c r="E183" t="str">
        <f>"323899"</f>
        <v>323899</v>
      </c>
      <c r="F183" t="str">
        <f>"CUST#7627/PCT#4"</f>
        <v>CUST#7627/PCT#4</v>
      </c>
      <c r="G183" s="4">
        <v>53.38</v>
      </c>
      <c r="H183" t="str">
        <f>"CUST#7627/PCT#4"</f>
        <v>CUST#7627/PCT#4</v>
      </c>
    </row>
    <row r="184" spans="1:8" x14ac:dyDescent="0.25">
      <c r="A184" t="s">
        <v>35</v>
      </c>
      <c r="B184">
        <v>134287</v>
      </c>
      <c r="C184" s="4">
        <v>133.76</v>
      </c>
      <c r="D184" s="1">
        <v>44207</v>
      </c>
      <c r="E184" t="str">
        <f>"157111"</f>
        <v>157111</v>
      </c>
      <c r="F184" t="str">
        <f>"NEW HOSE ASSY/PCT#3"</f>
        <v>NEW HOSE ASSY/PCT#3</v>
      </c>
      <c r="G184" s="4">
        <v>133.76</v>
      </c>
      <c r="H184" t="str">
        <f>"NEW HOSE ASSY/PCT#3"</f>
        <v>NEW HOSE ASSY/PCT#3</v>
      </c>
    </row>
    <row r="185" spans="1:8" x14ac:dyDescent="0.25">
      <c r="A185" t="s">
        <v>36</v>
      </c>
      <c r="B185">
        <v>3793</v>
      </c>
      <c r="C185" s="4">
        <v>359.99</v>
      </c>
      <c r="D185" s="1">
        <v>44208</v>
      </c>
      <c r="E185" t="str">
        <f>"202101050995"</f>
        <v>202101050995</v>
      </c>
      <c r="F185" t="str">
        <f>"CUST ID:0011/PCT#3"</f>
        <v>CUST ID:0011/PCT#3</v>
      </c>
      <c r="G185" s="4">
        <v>162</v>
      </c>
      <c r="H185" t="str">
        <f>"CUST ID:0011/PCT#3"</f>
        <v>CUST ID:0011/PCT#3</v>
      </c>
    </row>
    <row r="186" spans="1:8" x14ac:dyDescent="0.25">
      <c r="E186" t="str">
        <f>"379027"</f>
        <v>379027</v>
      </c>
      <c r="F186" t="str">
        <f>"CUST ID:0009/PCT#1"</f>
        <v>CUST ID:0009/PCT#1</v>
      </c>
      <c r="G186" s="4">
        <v>121.99</v>
      </c>
      <c r="H186" t="str">
        <f>"CUST ID:0009/PCT#1"</f>
        <v>CUST ID:0009/PCT#1</v>
      </c>
    </row>
    <row r="187" spans="1:8" x14ac:dyDescent="0.25">
      <c r="E187" t="str">
        <f>"379058"</f>
        <v>379058</v>
      </c>
      <c r="F187" t="str">
        <f>"CUST ID:0010/PCT#2"</f>
        <v>CUST ID:0010/PCT#2</v>
      </c>
      <c r="G187" s="4">
        <v>76</v>
      </c>
      <c r="H187" t="str">
        <f>"CUST ID:0010/PCT#2"</f>
        <v>CUST ID:0010/PCT#2</v>
      </c>
    </row>
    <row r="188" spans="1:8" x14ac:dyDescent="0.25">
      <c r="A188" t="s">
        <v>37</v>
      </c>
      <c r="B188">
        <v>3768</v>
      </c>
      <c r="C188" s="4">
        <v>12450</v>
      </c>
      <c r="D188" s="1">
        <v>44208</v>
      </c>
      <c r="E188" t="str">
        <f>"1618"</f>
        <v>1618</v>
      </c>
      <c r="F188" t="str">
        <f>"REMOVED LIMESTONE BASE/PCT#1"</f>
        <v>REMOVED LIMESTONE BASE/PCT#1</v>
      </c>
      <c r="G188" s="4">
        <v>4800</v>
      </c>
      <c r="H188" t="str">
        <f>"REMOVED LIMESTONE BASE/PCT#1"</f>
        <v>REMOVED LIMESTONE BASE/PCT#1</v>
      </c>
    </row>
    <row r="189" spans="1:8" x14ac:dyDescent="0.25">
      <c r="E189" t="str">
        <f>"1619"</f>
        <v>1619</v>
      </c>
      <c r="F189" t="str">
        <f>"REMOVED DEAD TREES/PCT#2"</f>
        <v>REMOVED DEAD TREES/PCT#2</v>
      </c>
      <c r="G189" s="4">
        <v>3650</v>
      </c>
      <c r="H189" t="str">
        <f>"REMOVED DEAD TREES/PCT#2"</f>
        <v>REMOVED DEAD TREES/PCT#2</v>
      </c>
    </row>
    <row r="190" spans="1:8" x14ac:dyDescent="0.25">
      <c r="E190" t="str">
        <f>"1620"</f>
        <v>1620</v>
      </c>
      <c r="F190" t="str">
        <f>"DEAD TREE REMOVAL/PCT#2"</f>
        <v>DEAD TREE REMOVAL/PCT#2</v>
      </c>
      <c r="G190" s="4">
        <v>4000</v>
      </c>
      <c r="H190" t="str">
        <f>"DEAD TREE REMOVAL/PCT#2"</f>
        <v>DEAD TREE REMOVAL/PCT#2</v>
      </c>
    </row>
    <row r="191" spans="1:8" x14ac:dyDescent="0.25">
      <c r="A191" t="s">
        <v>37</v>
      </c>
      <c r="B191">
        <v>3824</v>
      </c>
      <c r="C191" s="4">
        <v>600</v>
      </c>
      <c r="D191" s="1">
        <v>44222</v>
      </c>
      <c r="E191" t="str">
        <f>"202101131189"</f>
        <v>202101131189</v>
      </c>
      <c r="F191" t="str">
        <f>"REMOV DEAD TREES POPE BEND P#1"</f>
        <v>REMOV DEAD TREES POPE BEND P#1</v>
      </c>
      <c r="G191" s="4">
        <v>600</v>
      </c>
      <c r="H191" t="str">
        <f>"REMOV DEAD TREES POPE BEND P#1"</f>
        <v>REMOV DEAD TREES POPE BEND P#1</v>
      </c>
    </row>
    <row r="192" spans="1:8" x14ac:dyDescent="0.25">
      <c r="A192" t="s">
        <v>38</v>
      </c>
      <c r="B192">
        <v>3858</v>
      </c>
      <c r="C192" s="4">
        <v>116.5</v>
      </c>
      <c r="D192" s="1">
        <v>44222</v>
      </c>
      <c r="E192" t="str">
        <f>"202101201343"</f>
        <v>202101201343</v>
      </c>
      <c r="F192" t="str">
        <f>"ACCT#BC01/11302020"</f>
        <v>ACCT#BC01/11302020</v>
      </c>
      <c r="G192" s="4">
        <v>116.5</v>
      </c>
      <c r="H192" t="str">
        <f>"ACCT#BC01/11302020"</f>
        <v>ACCT#BC01/11302020</v>
      </c>
    </row>
    <row r="193" spans="1:8" x14ac:dyDescent="0.25">
      <c r="E193" t="str">
        <f>""</f>
        <v/>
      </c>
      <c r="F193" t="str">
        <f>""</f>
        <v/>
      </c>
      <c r="H193" t="str">
        <f>"ACCT#BC01/11302020"</f>
        <v>ACCT#BC01/11302020</v>
      </c>
    </row>
    <row r="194" spans="1:8" x14ac:dyDescent="0.25">
      <c r="E194" t="str">
        <f>""</f>
        <v/>
      </c>
      <c r="F194" t="str">
        <f>""</f>
        <v/>
      </c>
      <c r="H194" t="str">
        <f>"ACCT#BC01/11302020"</f>
        <v>ACCT#BC01/11302020</v>
      </c>
    </row>
    <row r="195" spans="1:8" x14ac:dyDescent="0.25">
      <c r="E195" t="str">
        <f>""</f>
        <v/>
      </c>
      <c r="F195" t="str">
        <f>""</f>
        <v/>
      </c>
      <c r="H195" t="str">
        <f>"ACCT#BC01/11302020"</f>
        <v>ACCT#BC01/11302020</v>
      </c>
    </row>
    <row r="196" spans="1:8" x14ac:dyDescent="0.25">
      <c r="A196" t="s">
        <v>39</v>
      </c>
      <c r="B196">
        <v>3787</v>
      </c>
      <c r="C196" s="4">
        <v>12958.75</v>
      </c>
      <c r="D196" s="1">
        <v>44208</v>
      </c>
      <c r="E196" t="str">
        <f>"202012300937"</f>
        <v>202012300937</v>
      </c>
      <c r="F196" t="str">
        <f>"GRANT REIMBURSEMENT"</f>
        <v>GRANT REIMBURSEMENT</v>
      </c>
      <c r="G196" s="4">
        <v>4000</v>
      </c>
      <c r="H196" t="str">
        <f>"GRANT REIMBURSEMENT"</f>
        <v>GRANT REIMBURSEMENT</v>
      </c>
    </row>
    <row r="197" spans="1:8" x14ac:dyDescent="0.25">
      <c r="E197" t="str">
        <f>"202012300938"</f>
        <v>202012300938</v>
      </c>
      <c r="F197" t="str">
        <f>"GRANT REIMBURSEMENT"</f>
        <v>GRANT REIMBURSEMENT</v>
      </c>
      <c r="G197" s="4">
        <v>8958.75</v>
      </c>
      <c r="H197" t="str">
        <f>"GRANT REIMBURSEMENT"</f>
        <v>GRANT REIMBURSEMENT</v>
      </c>
    </row>
    <row r="198" spans="1:8" x14ac:dyDescent="0.25">
      <c r="A198" t="s">
        <v>40</v>
      </c>
      <c r="B198">
        <v>3802</v>
      </c>
      <c r="C198" s="4">
        <v>236.93</v>
      </c>
      <c r="D198" s="1">
        <v>44208</v>
      </c>
      <c r="E198" t="str">
        <f>"202012300939"</f>
        <v>202012300939</v>
      </c>
      <c r="F198" t="str">
        <f>"FNB CHARGE FOR CHECKS"</f>
        <v>FNB CHARGE FOR CHECKS</v>
      </c>
      <c r="G198" s="4">
        <v>236.93</v>
      </c>
      <c r="H198" t="str">
        <f>"FNB CHARGE FOR CHECKS"</f>
        <v>FNB CHARGE FOR CHECKS</v>
      </c>
    </row>
    <row r="199" spans="1:8" x14ac:dyDescent="0.25">
      <c r="A199" t="s">
        <v>41</v>
      </c>
      <c r="B199">
        <v>3803</v>
      </c>
      <c r="C199" s="4">
        <v>22.5</v>
      </c>
      <c r="D199" s="1">
        <v>44208</v>
      </c>
      <c r="E199" t="str">
        <f>"202101051012"</f>
        <v>202101051012</v>
      </c>
      <c r="F199" t="str">
        <f>"VEHICLE REGISTRATION/PCT#1"</f>
        <v>VEHICLE REGISTRATION/PCT#1</v>
      </c>
      <c r="G199" s="4">
        <v>7.5</v>
      </c>
      <c r="H199" t="str">
        <f>"VEHICLE REGISTRATION/PCT#1"</f>
        <v>VEHICLE REGISTRATION/PCT#1</v>
      </c>
    </row>
    <row r="200" spans="1:8" x14ac:dyDescent="0.25">
      <c r="E200" t="str">
        <f>"202101051013"</f>
        <v>202101051013</v>
      </c>
      <c r="F200" t="str">
        <f>"VEHICLE REGISTRATION/PCT#4"</f>
        <v>VEHICLE REGISTRATION/PCT#4</v>
      </c>
      <c r="G200" s="4">
        <v>7.5</v>
      </c>
      <c r="H200" t="str">
        <f>"VEHICLE REGISTRATION/PCT#4"</f>
        <v>VEHICLE REGISTRATION/PCT#4</v>
      </c>
    </row>
    <row r="201" spans="1:8" x14ac:dyDescent="0.25">
      <c r="E201" t="str">
        <f>"202101061021"</f>
        <v>202101061021</v>
      </c>
      <c r="F201" t="str">
        <f>"2020 CHEV REGISTRATION/PCT#4"</f>
        <v>2020 CHEV REGISTRATION/PCT#4</v>
      </c>
      <c r="G201" s="4">
        <v>7.5</v>
      </c>
      <c r="H201" t="str">
        <f>"2020 CHEV REGISTRATION/PCT#4"</f>
        <v>2020 CHEV REGISTRATION/PCT#4</v>
      </c>
    </row>
    <row r="202" spans="1:8" x14ac:dyDescent="0.25">
      <c r="A202" t="s">
        <v>39</v>
      </c>
      <c r="B202">
        <v>3846</v>
      </c>
      <c r="C202" s="4">
        <v>20075.919999999998</v>
      </c>
      <c r="D202" s="1">
        <v>44222</v>
      </c>
      <c r="E202" t="str">
        <f>"202101131201"</f>
        <v>202101131201</v>
      </c>
      <c r="F202" t="str">
        <f>"BC CARES GRANT REIMBURSEMENT"</f>
        <v>BC CARES GRANT REIMBURSEMENT</v>
      </c>
      <c r="G202" s="4">
        <v>4000</v>
      </c>
      <c r="H202" t="str">
        <f>"BC CARES GRANT REIMBURSEMENT"</f>
        <v>BC CARES GRANT REIMBURSEMENT</v>
      </c>
    </row>
    <row r="203" spans="1:8" x14ac:dyDescent="0.25">
      <c r="E203" t="str">
        <f>"202101131202"</f>
        <v>202101131202</v>
      </c>
      <c r="F203" t="str">
        <f>"BC CARES HOGG FOUNDATION GRANT"</f>
        <v>BC CARES HOGG FOUNDATION GRANT</v>
      </c>
      <c r="G203" s="4">
        <v>11095.91</v>
      </c>
      <c r="H203" t="str">
        <f>"BC CARES HOGG FOUNDATION GRANT"</f>
        <v>BC CARES HOGG FOUNDATION GRANT</v>
      </c>
    </row>
    <row r="204" spans="1:8" x14ac:dyDescent="0.25">
      <c r="E204" t="str">
        <f>"202101141215"</f>
        <v>202101141215</v>
      </c>
      <c r="F204" t="str">
        <f>"BC CARES HOME VISIT GRANT"</f>
        <v>BC CARES HOME VISIT GRANT</v>
      </c>
      <c r="G204" s="4">
        <v>4980.01</v>
      </c>
      <c r="H204" t="str">
        <f>"BC CARES HOME VISIT GRANT"</f>
        <v>BC CARES HOME VISIT GRANT</v>
      </c>
    </row>
    <row r="205" spans="1:8" x14ac:dyDescent="0.25">
      <c r="A205" t="s">
        <v>41</v>
      </c>
      <c r="B205">
        <v>3868</v>
      </c>
      <c r="C205" s="4">
        <v>147.5</v>
      </c>
      <c r="D205" s="1">
        <v>44222</v>
      </c>
      <c r="E205" t="str">
        <f>"202101211346"</f>
        <v>202101211346</v>
      </c>
      <c r="F205" t="str">
        <f>"VEHICLE REGISTRATIONS/PCT3"</f>
        <v>VEHICLE REGISTRATIONS/PCT3</v>
      </c>
      <c r="G205" s="4">
        <v>147.5</v>
      </c>
      <c r="H205" t="str">
        <f>"VEHICLE REGISTRATIONS/PCT3"</f>
        <v>VEHICLE REGISTRATIONS/PCT3</v>
      </c>
    </row>
    <row r="206" spans="1:8" x14ac:dyDescent="0.25">
      <c r="A206" t="s">
        <v>42</v>
      </c>
      <c r="B206">
        <v>134401</v>
      </c>
      <c r="C206" s="4">
        <v>3500</v>
      </c>
      <c r="D206" s="1">
        <v>44221</v>
      </c>
      <c r="E206" t="str">
        <f>"202101131203"</f>
        <v>202101131203</v>
      </c>
      <c r="F206" t="str">
        <f>"CHILD WELFARE BOARD FUNDS"</f>
        <v>CHILD WELFARE BOARD FUNDS</v>
      </c>
      <c r="G206" s="4">
        <v>3500</v>
      </c>
      <c r="H206" t="str">
        <f>"CHILD WELFARE BORAD FUNDS"</f>
        <v>CHILD WELFARE BORAD FUNDS</v>
      </c>
    </row>
    <row r="207" spans="1:8" x14ac:dyDescent="0.25">
      <c r="A207" t="s">
        <v>43</v>
      </c>
      <c r="B207">
        <v>134402</v>
      </c>
      <c r="C207" s="4">
        <v>12500</v>
      </c>
      <c r="D207" s="1">
        <v>44221</v>
      </c>
      <c r="E207" t="str">
        <f>"202101131199"</f>
        <v>202101131199</v>
      </c>
      <c r="F207" t="str">
        <f>"ANNUAL CONTRACT SUPPORT"</f>
        <v>ANNUAL CONTRACT SUPPORT</v>
      </c>
      <c r="G207" s="4">
        <v>12500</v>
      </c>
      <c r="H207" t="str">
        <f>"ANNUAL CONTRACT SUPPORT"</f>
        <v>ANNUAL CONTRACT SUPPORT</v>
      </c>
    </row>
    <row r="208" spans="1:8" x14ac:dyDescent="0.25">
      <c r="A208" t="s">
        <v>44</v>
      </c>
      <c r="B208">
        <v>134525</v>
      </c>
      <c r="C208" s="4">
        <v>250</v>
      </c>
      <c r="D208" s="1">
        <v>44226</v>
      </c>
      <c r="E208" t="str">
        <f>"202101301431"</f>
        <v>202101301431</v>
      </c>
      <c r="F208" t="str">
        <f>"FY 20-21"</f>
        <v>FY 20-21</v>
      </c>
      <c r="G208" s="4">
        <v>250</v>
      </c>
      <c r="H208" t="str">
        <f>"FY 20-21"</f>
        <v>FY 20-21</v>
      </c>
    </row>
    <row r="209" spans="1:8" x14ac:dyDescent="0.25">
      <c r="A209" t="s">
        <v>45</v>
      </c>
      <c r="B209">
        <v>3873</v>
      </c>
      <c r="C209" s="4">
        <v>33.270000000000003</v>
      </c>
      <c r="D209" s="1">
        <v>44222</v>
      </c>
      <c r="E209" t="str">
        <f>"202101191245"</f>
        <v>202101191245</v>
      </c>
      <c r="F209" t="str">
        <f>"INDIGENT HEALTH"</f>
        <v>INDIGENT HEALTH</v>
      </c>
      <c r="G209" s="4">
        <v>33.270000000000003</v>
      </c>
      <c r="H209" t="str">
        <f>"INDIGENT HEALTH"</f>
        <v>INDIGENT HEALTH</v>
      </c>
    </row>
    <row r="210" spans="1:8" x14ac:dyDescent="0.25">
      <c r="A210" t="s">
        <v>46</v>
      </c>
      <c r="B210">
        <v>3822</v>
      </c>
      <c r="C210" s="4">
        <v>3550</v>
      </c>
      <c r="D210" s="1">
        <v>44222</v>
      </c>
      <c r="E210" t="str">
        <f>"2020189"</f>
        <v>2020189</v>
      </c>
      <c r="F210" t="str">
        <f>"TRANSPORT M. HAWKINS"</f>
        <v>TRANSPORT M. HAWKINS</v>
      </c>
      <c r="G210" s="4">
        <v>495</v>
      </c>
      <c r="H210" t="str">
        <f>"TRANSPORT M. HAWKINS"</f>
        <v>TRANSPORT M. HAWKINS</v>
      </c>
    </row>
    <row r="211" spans="1:8" x14ac:dyDescent="0.25">
      <c r="E211" t="str">
        <f>"2020190"</f>
        <v>2020190</v>
      </c>
      <c r="F211" t="str">
        <f>"TRANSPORT E. LAMBERT"</f>
        <v>TRANSPORT E. LAMBERT</v>
      </c>
      <c r="G211" s="4">
        <v>695</v>
      </c>
      <c r="H211" t="str">
        <f>"TRANSPORT E. LAMBERT"</f>
        <v>TRANSPORT E. LAMBERT</v>
      </c>
    </row>
    <row r="212" spans="1:8" x14ac:dyDescent="0.25">
      <c r="E212" t="str">
        <f>"2020192"</f>
        <v>2020192</v>
      </c>
      <c r="F212" t="str">
        <f>"TRANSPORT A. WESSON"</f>
        <v>TRANSPORT A. WESSON</v>
      </c>
      <c r="G212" s="4">
        <v>390</v>
      </c>
      <c r="H212" t="str">
        <f>"TRANSPORT A. WESSON"</f>
        <v>TRANSPORT A. WESSON</v>
      </c>
    </row>
    <row r="213" spans="1:8" x14ac:dyDescent="0.25">
      <c r="E213" t="str">
        <f>"2020195"</f>
        <v>2020195</v>
      </c>
      <c r="F213" t="str">
        <f>"TRANSPORT R. MASON-CORWIN"</f>
        <v>TRANSPORT R. MASON-CORWIN</v>
      </c>
      <c r="G213" s="4">
        <v>495</v>
      </c>
      <c r="H213" t="str">
        <f>"TRANSPORT R. MASON-CORWIN"</f>
        <v>TRANSPORT R. MASON-CORWIN</v>
      </c>
    </row>
    <row r="214" spans="1:8" x14ac:dyDescent="0.25">
      <c r="E214" t="str">
        <f>"2020197"</f>
        <v>2020197</v>
      </c>
      <c r="F214" t="str">
        <f>"TRANSPORT J. MUSE"</f>
        <v>TRANSPORT J. MUSE</v>
      </c>
      <c r="G214" s="4">
        <v>390</v>
      </c>
      <c r="H214" t="str">
        <f>"TRANSPORT J. MUSE"</f>
        <v>TRANSPORT J. MUSE</v>
      </c>
    </row>
    <row r="215" spans="1:8" x14ac:dyDescent="0.25">
      <c r="E215" t="str">
        <f>"2020200"</f>
        <v>2020200</v>
      </c>
      <c r="F215" t="str">
        <f>"TRANSPORT W. COLVILLE"</f>
        <v>TRANSPORT W. COLVILLE</v>
      </c>
      <c r="G215" s="4">
        <v>295</v>
      </c>
      <c r="H215" t="str">
        <f>"TRANSPORT W. COLVILLE"</f>
        <v>TRANSPORT W. COLVILLE</v>
      </c>
    </row>
    <row r="216" spans="1:8" x14ac:dyDescent="0.25">
      <c r="E216" t="str">
        <f>"2020201"</f>
        <v>2020201</v>
      </c>
      <c r="F216" t="str">
        <f>"TRANSPORT D. RUMLEY"</f>
        <v>TRANSPORT D. RUMLEY</v>
      </c>
      <c r="G216" s="4">
        <v>295</v>
      </c>
      <c r="H216" t="str">
        <f>"TRANSPORT D. RUMLEY"</f>
        <v>TRANSPORT D. RUMLEY</v>
      </c>
    </row>
    <row r="217" spans="1:8" x14ac:dyDescent="0.25">
      <c r="E217" t="str">
        <f>"2020205"</f>
        <v>2020205</v>
      </c>
      <c r="F217" t="str">
        <f>"TRANSPORT C. FELLER"</f>
        <v>TRANSPORT C. FELLER</v>
      </c>
      <c r="G217" s="4">
        <v>495</v>
      </c>
      <c r="H217" t="str">
        <f>"TRANSPORT C. FELLER"</f>
        <v>TRANSPORT C. FELLER</v>
      </c>
    </row>
    <row r="218" spans="1:8" x14ac:dyDescent="0.25">
      <c r="A218" t="s">
        <v>47</v>
      </c>
      <c r="B218">
        <v>134288</v>
      </c>
      <c r="C218" s="4">
        <v>346.17</v>
      </c>
      <c r="D218" s="1">
        <v>44207</v>
      </c>
      <c r="E218" t="str">
        <f>"1173168"</f>
        <v>1173168</v>
      </c>
      <c r="F218" t="str">
        <f>"INV 1173168"</f>
        <v>INV 1173168</v>
      </c>
      <c r="G218" s="4">
        <v>346.17</v>
      </c>
      <c r="H218" t="str">
        <f>"INV 1173168"</f>
        <v>INV 1173168</v>
      </c>
    </row>
    <row r="219" spans="1:8" x14ac:dyDescent="0.25">
      <c r="A219" t="s">
        <v>48</v>
      </c>
      <c r="B219">
        <v>3764</v>
      </c>
      <c r="C219" s="4">
        <v>1785</v>
      </c>
      <c r="D219" s="1">
        <v>44208</v>
      </c>
      <c r="E219" t="str">
        <f>"202101050993"</f>
        <v>202101050993</v>
      </c>
      <c r="F219" t="str">
        <f>"INVESTIGATIVE SVCS"</f>
        <v>INVESTIGATIVE SVCS</v>
      </c>
      <c r="G219" s="4">
        <v>875</v>
      </c>
      <c r="H219" t="str">
        <f>"INVESTIGATIVE SVCS"</f>
        <v>INVESTIGATIVE SVCS</v>
      </c>
    </row>
    <row r="220" spans="1:8" x14ac:dyDescent="0.25">
      <c r="E220" t="str">
        <f>"202101061041"</f>
        <v>202101061041</v>
      </c>
      <c r="F220" t="str">
        <f>"DECEMBER BACKGROUND"</f>
        <v>DECEMBER BACKGROUND</v>
      </c>
      <c r="G220" s="4">
        <v>910</v>
      </c>
      <c r="H220" t="str">
        <f>"DECEMBER BACKGROUND"</f>
        <v>DECEMBER BACKGROUND</v>
      </c>
    </row>
    <row r="221" spans="1:8" x14ac:dyDescent="0.25">
      <c r="A221" t="s">
        <v>49</v>
      </c>
      <c r="B221">
        <v>134403</v>
      </c>
      <c r="C221" s="4">
        <v>2500</v>
      </c>
      <c r="D221" s="1">
        <v>44221</v>
      </c>
      <c r="E221" t="str">
        <f>"202101201266"</f>
        <v>202101201266</v>
      </c>
      <c r="F221" t="str">
        <f>"H and H Study"</f>
        <v>H and H Study</v>
      </c>
      <c r="G221" s="4">
        <v>2500</v>
      </c>
      <c r="H221" t="str">
        <f>"H&amp;H Study -Lund Road"</f>
        <v>H&amp;H Study -Lund Road</v>
      </c>
    </row>
    <row r="222" spans="1:8" x14ac:dyDescent="0.25">
      <c r="A222" t="s">
        <v>50</v>
      </c>
      <c r="B222">
        <v>134289</v>
      </c>
      <c r="C222" s="4">
        <v>1363.77</v>
      </c>
      <c r="D222" s="1">
        <v>44207</v>
      </c>
      <c r="E222" t="str">
        <f>"75773008 75780199"</f>
        <v>75773008 75780199</v>
      </c>
      <c r="F222" t="str">
        <f>"INV 75773008"</f>
        <v>INV 75773008</v>
      </c>
      <c r="G222" s="4">
        <v>1363.77</v>
      </c>
      <c r="H222" t="str">
        <f>"INV 75773008"</f>
        <v>INV 75773008</v>
      </c>
    </row>
    <row r="223" spans="1:8" x14ac:dyDescent="0.25">
      <c r="E223" t="str">
        <f>""</f>
        <v/>
      </c>
      <c r="F223" t="str">
        <f>""</f>
        <v/>
      </c>
      <c r="H223" t="str">
        <f>"INV 75780199"</f>
        <v>INV 75780199</v>
      </c>
    </row>
    <row r="224" spans="1:8" x14ac:dyDescent="0.25">
      <c r="A224" t="s">
        <v>50</v>
      </c>
      <c r="B224">
        <v>134404</v>
      </c>
      <c r="C224" s="4">
        <v>621.5</v>
      </c>
      <c r="D224" s="1">
        <v>44221</v>
      </c>
      <c r="E224" t="str">
        <f>"75787714"</f>
        <v>75787714</v>
      </c>
      <c r="F224" t="str">
        <f>"INV 75787714"</f>
        <v>INV 75787714</v>
      </c>
      <c r="G224" s="4">
        <v>621.5</v>
      </c>
      <c r="H224" t="str">
        <f>"INV 75787714"</f>
        <v>INV 75787714</v>
      </c>
    </row>
    <row r="225" spans="1:8" x14ac:dyDescent="0.25">
      <c r="A225" t="s">
        <v>51</v>
      </c>
      <c r="B225">
        <v>3869</v>
      </c>
      <c r="C225" s="4">
        <v>2040.54</v>
      </c>
      <c r="D225" s="1">
        <v>44222</v>
      </c>
      <c r="E225" t="str">
        <f>"25023"</f>
        <v>25023</v>
      </c>
      <c r="F225" t="str">
        <f>"INV 25023"</f>
        <v>INV 25023</v>
      </c>
      <c r="G225" s="4">
        <v>2040.54</v>
      </c>
      <c r="H225" t="str">
        <f>"INV 25023"</f>
        <v>INV 25023</v>
      </c>
    </row>
    <row r="226" spans="1:8" x14ac:dyDescent="0.25">
      <c r="A226" t="s">
        <v>52</v>
      </c>
      <c r="B226">
        <v>3817</v>
      </c>
      <c r="C226" s="4">
        <v>665.56</v>
      </c>
      <c r="D226" s="1">
        <v>44222</v>
      </c>
      <c r="E226" t="str">
        <f>"202101201325"</f>
        <v>202101201325</v>
      </c>
      <c r="F226" t="str">
        <f>"INTERPRETING"</f>
        <v>INTERPRETING</v>
      </c>
      <c r="G226" s="4">
        <v>332.78</v>
      </c>
      <c r="H226" t="str">
        <f>"INTERPRETING"</f>
        <v>INTERPRETING</v>
      </c>
    </row>
    <row r="227" spans="1:8" x14ac:dyDescent="0.25">
      <c r="E227" t="str">
        <f>"202101201326"</f>
        <v>202101201326</v>
      </c>
      <c r="F227" t="str">
        <f>"INTERPERTING"</f>
        <v>INTERPERTING</v>
      </c>
      <c r="G227" s="4">
        <v>332.78</v>
      </c>
      <c r="H227" t="str">
        <f>"INTERPERTING"</f>
        <v>INTERPERTING</v>
      </c>
    </row>
    <row r="228" spans="1:8" x14ac:dyDescent="0.25">
      <c r="A228" t="s">
        <v>53</v>
      </c>
      <c r="B228">
        <v>134290</v>
      </c>
      <c r="C228" s="4">
        <v>399.22</v>
      </c>
      <c r="D228" s="1">
        <v>44207</v>
      </c>
      <c r="E228" t="str">
        <f>"84078907572 7638"</f>
        <v>84078907572 7638</v>
      </c>
      <c r="F228" t="str">
        <f>"INV 84078907572"</f>
        <v>INV 84078907572</v>
      </c>
      <c r="G228" s="4">
        <v>399.22</v>
      </c>
      <c r="H228" t="str">
        <f>"INV 84078907572"</f>
        <v>INV 84078907572</v>
      </c>
    </row>
    <row r="229" spans="1:8" x14ac:dyDescent="0.25">
      <c r="E229" t="str">
        <f>""</f>
        <v/>
      </c>
      <c r="F229" t="str">
        <f>""</f>
        <v/>
      </c>
      <c r="H229" t="str">
        <f>"INV 84078907638"</f>
        <v>INV 84078907638</v>
      </c>
    </row>
    <row r="230" spans="1:8" x14ac:dyDescent="0.25">
      <c r="A230" t="s">
        <v>53</v>
      </c>
      <c r="B230">
        <v>134405</v>
      </c>
      <c r="C230" s="4">
        <v>486.2</v>
      </c>
      <c r="D230" s="1">
        <v>44221</v>
      </c>
      <c r="E230" t="str">
        <f>"84078907712"</f>
        <v>84078907712</v>
      </c>
      <c r="F230" t="str">
        <f>"INV 84078907712"</f>
        <v>INV 84078907712</v>
      </c>
      <c r="G230" s="4">
        <v>486.2</v>
      </c>
      <c r="H230" t="str">
        <f>"INV 84078907712"</f>
        <v>INV 84078907712</v>
      </c>
    </row>
    <row r="231" spans="1:8" x14ac:dyDescent="0.25">
      <c r="E231" t="str">
        <f>""</f>
        <v/>
      </c>
      <c r="F231" t="str">
        <f>""</f>
        <v/>
      </c>
      <c r="H231" t="str">
        <f>"INV 84078907778"</f>
        <v>INV 84078907778</v>
      </c>
    </row>
    <row r="232" spans="1:8" x14ac:dyDescent="0.25">
      <c r="A232" t="s">
        <v>54</v>
      </c>
      <c r="B232">
        <v>134406</v>
      </c>
      <c r="C232" s="4">
        <v>222.6</v>
      </c>
      <c r="D232" s="1">
        <v>44221</v>
      </c>
      <c r="E232" t="str">
        <f>"202101201256"</f>
        <v>202101201256</v>
      </c>
      <c r="F232" t="str">
        <f>"CRIMESTOPPER FEES DEC 2020"</f>
        <v>CRIMESTOPPER FEES DEC 2020</v>
      </c>
      <c r="G232" s="4">
        <v>222.6</v>
      </c>
      <c r="H232" t="str">
        <f>"CRIMESTOPPER FEES DEC 2020"</f>
        <v>CRIMESTOPPER FEES DEC 2020</v>
      </c>
    </row>
    <row r="233" spans="1:8" x14ac:dyDescent="0.25">
      <c r="A233" t="s">
        <v>55</v>
      </c>
      <c r="B233">
        <v>134384</v>
      </c>
      <c r="C233" s="4">
        <v>4087.21</v>
      </c>
      <c r="D233" s="1">
        <v>44217</v>
      </c>
      <c r="E233" t="str">
        <f>"202101211360"</f>
        <v>202101211360</v>
      </c>
      <c r="F233" t="str">
        <f>"ACCT#55000090397 / 01032021"</f>
        <v>ACCT#55000090397 / 01032021</v>
      </c>
      <c r="G233" s="4">
        <v>182.14</v>
      </c>
      <c r="H233" t="str">
        <f>"BLUEBONNET ELECTRIC COOPERATIV"</f>
        <v>BLUEBONNET ELECTRIC COOPERATIV</v>
      </c>
    </row>
    <row r="234" spans="1:8" x14ac:dyDescent="0.25">
      <c r="E234" t="str">
        <f>"202101211361"</f>
        <v>202101211361</v>
      </c>
      <c r="F234" t="str">
        <f>"ACCT#5000057374 / 01042021"</f>
        <v>ACCT#5000057374 / 01042021</v>
      </c>
      <c r="G234" s="4">
        <v>3905.07</v>
      </c>
      <c r="H234" t="str">
        <f>"BLUEBONNET ELECTRIC COOPERATIV"</f>
        <v>BLUEBONNET ELECTRIC COOPERATIV</v>
      </c>
    </row>
    <row r="235" spans="1:8" x14ac:dyDescent="0.25">
      <c r="E235" t="str">
        <f>""</f>
        <v/>
      </c>
      <c r="F235" t="str">
        <f>""</f>
        <v/>
      </c>
      <c r="H235" t="str">
        <f>"BLUEBONNET ELECTRIC COOPERATIV"</f>
        <v>BLUEBONNET ELECTRIC COOPERATIV</v>
      </c>
    </row>
    <row r="236" spans="1:8" x14ac:dyDescent="0.25">
      <c r="E236" t="str">
        <f>""</f>
        <v/>
      </c>
      <c r="F236" t="str">
        <f>""</f>
        <v/>
      </c>
      <c r="H236" t="str">
        <f>"BLUEBONNET ELECTRIC COOPERATIV"</f>
        <v>BLUEBONNET ELECTRIC COOPERATIV</v>
      </c>
    </row>
    <row r="237" spans="1:8" x14ac:dyDescent="0.25">
      <c r="E237" t="str">
        <f>""</f>
        <v/>
      </c>
      <c r="F237" t="str">
        <f>""</f>
        <v/>
      </c>
      <c r="H237" t="str">
        <f>"BLUEBONNET ELECTRIC COOPERATIV"</f>
        <v>BLUEBONNET ELECTRIC COOPERATIV</v>
      </c>
    </row>
    <row r="238" spans="1:8" x14ac:dyDescent="0.25">
      <c r="A238" t="s">
        <v>56</v>
      </c>
      <c r="B238">
        <v>3878</v>
      </c>
      <c r="C238" s="4">
        <v>18647.27</v>
      </c>
      <c r="D238" s="1">
        <v>44222</v>
      </c>
      <c r="E238" t="str">
        <f>"202101141216"</f>
        <v>202101141216</v>
      </c>
      <c r="F238" t="str">
        <f>"BLUEBONNET TRAILS HOME VISIT G"</f>
        <v>BLUEBONNET TRAILS HOME VISIT G</v>
      </c>
      <c r="G238" s="4">
        <v>18647.27</v>
      </c>
      <c r="H238" t="str">
        <f>"BLUEBONNET TRAILS HOME VISIT G"</f>
        <v>BLUEBONNET TRAILS HOME VISIT G</v>
      </c>
    </row>
    <row r="239" spans="1:8" x14ac:dyDescent="0.25">
      <c r="A239" t="s">
        <v>57</v>
      </c>
      <c r="B239">
        <v>134291</v>
      </c>
      <c r="C239" s="4">
        <v>4054.56</v>
      </c>
      <c r="D239" s="1">
        <v>44207</v>
      </c>
      <c r="E239" t="str">
        <f>"117117"</f>
        <v>117117</v>
      </c>
      <c r="F239" t="str">
        <f t="shared" ref="F239:F248" si="4">"ACCT#1268/PCT#3"</f>
        <v>ACCT#1268/PCT#3</v>
      </c>
      <c r="G239" s="4">
        <v>2491.92</v>
      </c>
      <c r="H239" t="str">
        <f t="shared" ref="H239:H248" si="5">"ACCT#1268/PCT#3"</f>
        <v>ACCT#1268/PCT#3</v>
      </c>
    </row>
    <row r="240" spans="1:8" x14ac:dyDescent="0.25">
      <c r="E240" t="str">
        <f>"117311"</f>
        <v>117311</v>
      </c>
      <c r="F240" t="str">
        <f t="shared" si="4"/>
        <v>ACCT#1268/PCT#3</v>
      </c>
      <c r="G240" s="4">
        <v>821.76</v>
      </c>
      <c r="H240" t="str">
        <f t="shared" si="5"/>
        <v>ACCT#1268/PCT#3</v>
      </c>
    </row>
    <row r="241" spans="1:8" x14ac:dyDescent="0.25">
      <c r="E241" t="str">
        <f>"117418"</f>
        <v>117418</v>
      </c>
      <c r="F241" t="str">
        <f t="shared" si="4"/>
        <v>ACCT#1268/PCT#3</v>
      </c>
      <c r="G241" s="4">
        <v>281.95999999999998</v>
      </c>
      <c r="H241" t="str">
        <f t="shared" si="5"/>
        <v>ACCT#1268/PCT#3</v>
      </c>
    </row>
    <row r="242" spans="1:8" x14ac:dyDescent="0.25">
      <c r="E242" t="str">
        <f>"117493"</f>
        <v>117493</v>
      </c>
      <c r="F242" t="str">
        <f t="shared" si="4"/>
        <v>ACCT#1268/PCT#3</v>
      </c>
      <c r="G242" s="4">
        <v>458.92</v>
      </c>
      <c r="H242" t="str">
        <f t="shared" si="5"/>
        <v>ACCT#1268/PCT#3</v>
      </c>
    </row>
    <row r="243" spans="1:8" x14ac:dyDescent="0.25">
      <c r="A243" t="s">
        <v>57</v>
      </c>
      <c r="B243">
        <v>134407</v>
      </c>
      <c r="C243" s="4">
        <v>15219.52</v>
      </c>
      <c r="D243" s="1">
        <v>44221</v>
      </c>
      <c r="E243" t="str">
        <f>"117628"</f>
        <v>117628</v>
      </c>
      <c r="F243" t="str">
        <f t="shared" si="4"/>
        <v>ACCT#1268/PCT#3</v>
      </c>
      <c r="G243" s="4">
        <v>2112.2399999999998</v>
      </c>
      <c r="H243" t="str">
        <f t="shared" si="5"/>
        <v>ACCT#1268/PCT#3</v>
      </c>
    </row>
    <row r="244" spans="1:8" x14ac:dyDescent="0.25">
      <c r="E244" t="str">
        <f>"117629"</f>
        <v>117629</v>
      </c>
      <c r="F244" t="str">
        <f t="shared" si="4"/>
        <v>ACCT#1268/PCT#3</v>
      </c>
      <c r="G244" s="4">
        <v>621.84</v>
      </c>
      <c r="H244" t="str">
        <f t="shared" si="5"/>
        <v>ACCT#1268/PCT#3</v>
      </c>
    </row>
    <row r="245" spans="1:8" x14ac:dyDescent="0.25">
      <c r="E245" t="str">
        <f>"117789"</f>
        <v>117789</v>
      </c>
      <c r="F245" t="str">
        <f t="shared" si="4"/>
        <v>ACCT#1268/PCT#3</v>
      </c>
      <c r="G245" s="4">
        <v>806.52</v>
      </c>
      <c r="H245" t="str">
        <f t="shared" si="5"/>
        <v>ACCT#1268/PCT#3</v>
      </c>
    </row>
    <row r="246" spans="1:8" x14ac:dyDescent="0.25">
      <c r="E246" t="str">
        <f>"117790"</f>
        <v>117790</v>
      </c>
      <c r="F246" t="str">
        <f t="shared" si="4"/>
        <v>ACCT#1268/PCT#3</v>
      </c>
      <c r="G246" s="4">
        <v>848.16</v>
      </c>
      <c r="H246" t="str">
        <f t="shared" si="5"/>
        <v>ACCT#1268/PCT#3</v>
      </c>
    </row>
    <row r="247" spans="1:8" x14ac:dyDescent="0.25">
      <c r="E247" t="str">
        <f>"117916"</f>
        <v>117916</v>
      </c>
      <c r="F247" t="str">
        <f t="shared" si="4"/>
        <v>ACCT#1268/PCT#3</v>
      </c>
      <c r="G247" s="4">
        <v>10544.72</v>
      </c>
      <c r="H247" t="str">
        <f t="shared" si="5"/>
        <v>ACCT#1268/PCT#3</v>
      </c>
    </row>
    <row r="248" spans="1:8" x14ac:dyDescent="0.25">
      <c r="E248" t="str">
        <f>"117917"</f>
        <v>117917</v>
      </c>
      <c r="F248" t="str">
        <f t="shared" si="4"/>
        <v>ACCT#1268/PCT#3</v>
      </c>
      <c r="G248" s="4">
        <v>286.04000000000002</v>
      </c>
      <c r="H248" t="str">
        <f t="shared" si="5"/>
        <v>ACCT#1268/PCT#3</v>
      </c>
    </row>
    <row r="249" spans="1:8" x14ac:dyDescent="0.25">
      <c r="A249" t="s">
        <v>58</v>
      </c>
      <c r="B249">
        <v>3885</v>
      </c>
      <c r="C249" s="4">
        <v>500</v>
      </c>
      <c r="D249" s="1">
        <v>44222</v>
      </c>
      <c r="E249" t="str">
        <f>"202101201298"</f>
        <v>202101201298</v>
      </c>
      <c r="F249" t="str">
        <f>"DCPC18-159"</f>
        <v>DCPC18-159</v>
      </c>
      <c r="G249" s="4">
        <v>250</v>
      </c>
      <c r="H249" t="str">
        <f>"DCPC18-159"</f>
        <v>DCPC18-159</v>
      </c>
    </row>
    <row r="250" spans="1:8" x14ac:dyDescent="0.25">
      <c r="E250" t="str">
        <f>"202101201340"</f>
        <v>202101201340</v>
      </c>
      <c r="F250" t="str">
        <f>"CC20200628-B"</f>
        <v>CC20200628-B</v>
      </c>
      <c r="G250" s="4">
        <v>250</v>
      </c>
      <c r="H250" t="str">
        <f>"CC20200628-B"</f>
        <v>CC20200628-B</v>
      </c>
    </row>
    <row r="251" spans="1:8" x14ac:dyDescent="0.25">
      <c r="A251" t="s">
        <v>59</v>
      </c>
      <c r="B251">
        <v>134292</v>
      </c>
      <c r="C251" s="4">
        <v>15</v>
      </c>
      <c r="D251" s="1">
        <v>44207</v>
      </c>
      <c r="E251" t="str">
        <f>"423-7606"</f>
        <v>423-7606</v>
      </c>
      <c r="F251" t="str">
        <f>"CAR FUND"</f>
        <v>CAR FUND</v>
      </c>
      <c r="G251" s="4">
        <v>15</v>
      </c>
      <c r="H251" t="str">
        <f>"CAR FUND"</f>
        <v>CAR FUND</v>
      </c>
    </row>
    <row r="252" spans="1:8" x14ac:dyDescent="0.25">
      <c r="A252" t="s">
        <v>59</v>
      </c>
      <c r="B252">
        <v>134408</v>
      </c>
      <c r="C252" s="4">
        <v>30</v>
      </c>
      <c r="D252" s="1">
        <v>44221</v>
      </c>
      <c r="E252" t="str">
        <f>"21-20554"</f>
        <v>21-20554</v>
      </c>
      <c r="F252" t="str">
        <f>"CENTRAL ADOPTION REGISTRY FUND"</f>
        <v>CENTRAL ADOPTION REGISTRY FUND</v>
      </c>
      <c r="G252" s="4">
        <v>15</v>
      </c>
      <c r="H252" t="str">
        <f>"CENTRAL ADOPTION REGISTRY FUND"</f>
        <v>CENTRAL ADOPTION REGISTRY FUND</v>
      </c>
    </row>
    <row r="253" spans="1:8" x14ac:dyDescent="0.25">
      <c r="E253" t="str">
        <f>"423-7585"</f>
        <v>423-7585</v>
      </c>
      <c r="F253" t="str">
        <f>"CENTRAL ADOPTION REGISTRY FUND"</f>
        <v>CENTRAL ADOPTION REGISTRY FUND</v>
      </c>
      <c r="G253" s="4">
        <v>15</v>
      </c>
      <c r="H253" t="str">
        <f>"CENTRAL ADOPTION REGISTRY FUND"</f>
        <v>CENTRAL ADOPTION REGISTRY FUND</v>
      </c>
    </row>
    <row r="254" spans="1:8" x14ac:dyDescent="0.25">
      <c r="A254" t="s">
        <v>60</v>
      </c>
      <c r="B254">
        <v>134409</v>
      </c>
      <c r="C254" s="4">
        <v>75</v>
      </c>
      <c r="D254" s="1">
        <v>44221</v>
      </c>
      <c r="E254" t="str">
        <f>"11311"</f>
        <v>11311</v>
      </c>
      <c r="F254" t="str">
        <f>"SERVICE"</f>
        <v>SERVICE</v>
      </c>
      <c r="G254" s="4">
        <v>75</v>
      </c>
      <c r="H254" t="str">
        <f>"SERVICE"</f>
        <v>SERVICE</v>
      </c>
    </row>
    <row r="255" spans="1:8" x14ac:dyDescent="0.25">
      <c r="A255" t="s">
        <v>61</v>
      </c>
      <c r="B255">
        <v>134410</v>
      </c>
      <c r="C255" s="4">
        <v>465</v>
      </c>
      <c r="D255" s="1">
        <v>44221</v>
      </c>
      <c r="E255" t="str">
        <f>"21985"</f>
        <v>21985</v>
      </c>
      <c r="F255" t="str">
        <f>"BCAS Leashes"</f>
        <v>BCAS Leashes</v>
      </c>
      <c r="G255" s="4">
        <v>465</v>
      </c>
      <c r="H255" t="str">
        <f>"BCAS Leashes"</f>
        <v>BCAS Leashes</v>
      </c>
    </row>
    <row r="256" spans="1:8" x14ac:dyDescent="0.25">
      <c r="E256" t="str">
        <f>""</f>
        <v/>
      </c>
      <c r="F256" t="str">
        <f>""</f>
        <v/>
      </c>
      <c r="H256" t="str">
        <f>"Freight"</f>
        <v>Freight</v>
      </c>
    </row>
    <row r="257" spans="1:8" x14ac:dyDescent="0.25">
      <c r="A257" t="s">
        <v>62</v>
      </c>
      <c r="B257">
        <v>853</v>
      </c>
      <c r="C257" s="4">
        <v>-3074.18</v>
      </c>
      <c r="D257" s="1">
        <v>44207</v>
      </c>
      <c r="E257" t="str">
        <f>"CHECK"</f>
        <v>CHECK</v>
      </c>
      <c r="F257" t="str">
        <f>""</f>
        <v/>
      </c>
      <c r="G257" s="4">
        <v>-3074.18</v>
      </c>
    </row>
    <row r="258" spans="1:8" x14ac:dyDescent="0.25">
      <c r="A258" t="s">
        <v>62</v>
      </c>
      <c r="B258">
        <v>854</v>
      </c>
      <c r="C258" s="4">
        <v>1229.77</v>
      </c>
      <c r="D258" s="1">
        <v>44207</v>
      </c>
      <c r="E258" t="str">
        <f>"202101061051"</f>
        <v>202101061051</v>
      </c>
      <c r="F258" t="str">
        <f>"STATEMENT FOR CARD 0574"</f>
        <v>STATEMENT FOR CARD 0574</v>
      </c>
      <c r="G258" s="4">
        <v>1229.77</v>
      </c>
      <c r="H258" t="str">
        <f>"WALMART"</f>
        <v>WALMART</v>
      </c>
    </row>
    <row r="259" spans="1:8" x14ac:dyDescent="0.25">
      <c r="E259" t="str">
        <f>""</f>
        <v/>
      </c>
      <c r="F259" t="str">
        <f>""</f>
        <v/>
      </c>
      <c r="H259" t="str">
        <f>"HOLIDAY INN"</f>
        <v>HOLIDAY INN</v>
      </c>
    </row>
    <row r="260" spans="1:8" x14ac:dyDescent="0.25">
      <c r="E260" t="str">
        <f>""</f>
        <v/>
      </c>
      <c r="F260" t="str">
        <f>""</f>
        <v/>
      </c>
      <c r="H260" t="str">
        <f>"GOVX"</f>
        <v>GOVX</v>
      </c>
    </row>
    <row r="261" spans="1:8" x14ac:dyDescent="0.25">
      <c r="A261" t="s">
        <v>63</v>
      </c>
      <c r="B261">
        <v>134293</v>
      </c>
      <c r="C261" s="4">
        <v>310</v>
      </c>
      <c r="D261" s="1">
        <v>44207</v>
      </c>
      <c r="E261" t="str">
        <f>"90093522"</f>
        <v>90093522</v>
      </c>
      <c r="F261" t="str">
        <f>"INV 90093522"</f>
        <v>INV 90093522</v>
      </c>
      <c r="G261" s="4">
        <v>310</v>
      </c>
      <c r="H261" t="str">
        <f>"INV 90093522"</f>
        <v>INV 90093522</v>
      </c>
    </row>
    <row r="262" spans="1:8" x14ac:dyDescent="0.25">
      <c r="A262" t="s">
        <v>64</v>
      </c>
      <c r="B262">
        <v>3877</v>
      </c>
      <c r="C262" s="4">
        <v>1575</v>
      </c>
      <c r="D262" s="1">
        <v>44222</v>
      </c>
      <c r="E262" t="str">
        <f>"22103"</f>
        <v>22103</v>
      </c>
      <c r="F262" t="str">
        <f>"CDWG order"</f>
        <v>CDWG order</v>
      </c>
      <c r="G262" s="4">
        <v>1575</v>
      </c>
      <c r="H262" t="str">
        <f>"ErgotronWorkFit-S"</f>
        <v>ErgotronWorkFit-S</v>
      </c>
    </row>
    <row r="263" spans="1:8" x14ac:dyDescent="0.25">
      <c r="E263" t="str">
        <f>""</f>
        <v/>
      </c>
      <c r="F263" t="str">
        <f>""</f>
        <v/>
      </c>
      <c r="H263" t="str">
        <f>"Ergotron Work-Fit-S"</f>
        <v>Ergotron Work-Fit-S</v>
      </c>
    </row>
    <row r="264" spans="1:8" x14ac:dyDescent="0.25">
      <c r="E264" t="str">
        <f>""</f>
        <v/>
      </c>
      <c r="F264" t="str">
        <f>""</f>
        <v/>
      </c>
      <c r="H264" t="str">
        <f>"Ergotron WorkFit-S"</f>
        <v>Ergotron WorkFit-S</v>
      </c>
    </row>
    <row r="265" spans="1:8" x14ac:dyDescent="0.25">
      <c r="A265" t="s">
        <v>65</v>
      </c>
      <c r="B265">
        <v>134238</v>
      </c>
      <c r="C265" s="4">
        <v>1606.98</v>
      </c>
      <c r="D265" s="1">
        <v>44200</v>
      </c>
      <c r="E265" t="str">
        <f>"202101040959"</f>
        <v>202101040959</v>
      </c>
      <c r="F265" t="str">
        <f>"ACCT#80000081165-5 / 12182020"</f>
        <v>ACCT#80000081165-5 / 12182020</v>
      </c>
      <c r="G265" s="4">
        <v>1606.98</v>
      </c>
      <c r="H265" t="str">
        <f>"ACCT#80000081165-5 / 12182020"</f>
        <v>ACCT#80000081165-5 / 12182020</v>
      </c>
    </row>
    <row r="266" spans="1:8" x14ac:dyDescent="0.25">
      <c r="E266" t="str">
        <f>""</f>
        <v/>
      </c>
      <c r="F266" t="str">
        <f>""</f>
        <v/>
      </c>
      <c r="H266" t="str">
        <f>"ACCT#80000081165-5 / 12182020"</f>
        <v>ACCT#80000081165-5 / 12182020</v>
      </c>
    </row>
    <row r="267" spans="1:8" x14ac:dyDescent="0.25">
      <c r="A267" t="s">
        <v>65</v>
      </c>
      <c r="B267">
        <v>134522</v>
      </c>
      <c r="C267" s="4">
        <v>2275.4</v>
      </c>
      <c r="D267" s="1">
        <v>44223</v>
      </c>
      <c r="E267" t="str">
        <f>"202101271378"</f>
        <v>202101271378</v>
      </c>
      <c r="F267" t="str">
        <f>"ACCT#800081165-5 / 01212021"</f>
        <v>ACCT#800081165-5 / 01212021</v>
      </c>
      <c r="G267" s="4">
        <v>2275.4</v>
      </c>
      <c r="H267" t="str">
        <f>"ACCT#800081165-5 / 01212021"</f>
        <v>ACCT#800081165-5 / 01212021</v>
      </c>
    </row>
    <row r="268" spans="1:8" x14ac:dyDescent="0.25">
      <c r="E268" t="str">
        <f>""</f>
        <v/>
      </c>
      <c r="F268" t="str">
        <f>""</f>
        <v/>
      </c>
      <c r="H268" t="str">
        <f>"ACCT#800081165-5 / 01212021"</f>
        <v>ACCT#800081165-5 / 01212021</v>
      </c>
    </row>
    <row r="269" spans="1:8" x14ac:dyDescent="0.25">
      <c r="A269" t="s">
        <v>66</v>
      </c>
      <c r="B269">
        <v>134294</v>
      </c>
      <c r="C269" s="4">
        <v>1486.5</v>
      </c>
      <c r="D269" s="1">
        <v>44207</v>
      </c>
      <c r="E269" t="str">
        <f>"202101040971"</f>
        <v>202101040971</v>
      </c>
      <c r="F269" t="str">
        <f>"20-20293"</f>
        <v>20-20293</v>
      </c>
      <c r="G269" s="4">
        <v>75</v>
      </c>
      <c r="H269" t="str">
        <f>"20-20293"</f>
        <v>20-20293</v>
      </c>
    </row>
    <row r="270" spans="1:8" x14ac:dyDescent="0.25">
      <c r="E270" t="str">
        <f>"202101040972"</f>
        <v>202101040972</v>
      </c>
      <c r="F270" t="str">
        <f>"20-20482"</f>
        <v>20-20482</v>
      </c>
      <c r="G270" s="4">
        <v>395.75</v>
      </c>
      <c r="H270" t="str">
        <f>"20-20482"</f>
        <v>20-20482</v>
      </c>
    </row>
    <row r="271" spans="1:8" x14ac:dyDescent="0.25">
      <c r="E271" t="str">
        <f>"202101040973"</f>
        <v>202101040973</v>
      </c>
      <c r="F271" t="str">
        <f>"20-20465"</f>
        <v>20-20465</v>
      </c>
      <c r="G271" s="4">
        <v>75</v>
      </c>
      <c r="H271" t="str">
        <f>"20-20465"</f>
        <v>20-20465</v>
      </c>
    </row>
    <row r="272" spans="1:8" x14ac:dyDescent="0.25">
      <c r="E272" t="str">
        <f>"202101040974"</f>
        <v>202101040974</v>
      </c>
      <c r="F272" t="str">
        <f>"19-19849"</f>
        <v>19-19849</v>
      </c>
      <c r="G272" s="4">
        <v>87</v>
      </c>
      <c r="H272" t="str">
        <f>"19-19849"</f>
        <v>19-19849</v>
      </c>
    </row>
    <row r="273" spans="1:8" x14ac:dyDescent="0.25">
      <c r="E273" t="str">
        <f>"202101040975"</f>
        <v>202101040975</v>
      </c>
      <c r="F273" t="str">
        <f>"20-20373"</f>
        <v>20-20373</v>
      </c>
      <c r="G273" s="4">
        <v>75</v>
      </c>
      <c r="H273" t="str">
        <f>"20-20373"</f>
        <v>20-20373</v>
      </c>
    </row>
    <row r="274" spans="1:8" x14ac:dyDescent="0.25">
      <c r="E274" t="str">
        <f>"202101040976"</f>
        <v>202101040976</v>
      </c>
      <c r="F274" t="str">
        <f>"19-19849"</f>
        <v>19-19849</v>
      </c>
      <c r="G274" s="4">
        <v>671.25</v>
      </c>
      <c r="H274" t="str">
        <f>"19-19849"</f>
        <v>19-19849</v>
      </c>
    </row>
    <row r="275" spans="1:8" x14ac:dyDescent="0.25">
      <c r="E275" t="str">
        <f>"202101040989"</f>
        <v>202101040989</v>
      </c>
      <c r="F275" t="str">
        <f>"20-20321"</f>
        <v>20-20321</v>
      </c>
      <c r="G275" s="4">
        <v>107.5</v>
      </c>
      <c r="H275" t="str">
        <f>"20-20321"</f>
        <v>20-20321</v>
      </c>
    </row>
    <row r="276" spans="1:8" x14ac:dyDescent="0.25">
      <c r="A276" t="s">
        <v>67</v>
      </c>
      <c r="B276">
        <v>134295</v>
      </c>
      <c r="C276" s="4">
        <v>570</v>
      </c>
      <c r="D276" s="1">
        <v>44207</v>
      </c>
      <c r="E276" t="str">
        <f>"202012300946"</f>
        <v>202012300946</v>
      </c>
      <c r="F276" t="str">
        <f>"RENTAL JAN 2021 - JUL 2021"</f>
        <v>RENTAL JAN 2021 - JUL 2021</v>
      </c>
      <c r="G276" s="4">
        <v>570</v>
      </c>
      <c r="H276" t="str">
        <f>"RENTAL JAN 2021 - JUL 2021"</f>
        <v>RENTAL JAN 2021 - JUL 2021</v>
      </c>
    </row>
    <row r="277" spans="1:8" x14ac:dyDescent="0.25">
      <c r="A277" t="s">
        <v>68</v>
      </c>
      <c r="B277">
        <v>3809</v>
      </c>
      <c r="C277" s="4">
        <v>850</v>
      </c>
      <c r="D277" s="1">
        <v>44208</v>
      </c>
      <c r="E277" t="str">
        <f>"202101040952"</f>
        <v>202101040952</v>
      </c>
      <c r="F277" t="str">
        <f>"1688-21"</f>
        <v>1688-21</v>
      </c>
      <c r="G277" s="4">
        <v>100</v>
      </c>
      <c r="H277" t="str">
        <f>"1688-21"</f>
        <v>1688-21</v>
      </c>
    </row>
    <row r="278" spans="1:8" x14ac:dyDescent="0.25">
      <c r="E278" t="str">
        <f>"202101040953"</f>
        <v>202101040953</v>
      </c>
      <c r="F278" t="str">
        <f>"20-20480  423-7547 1663-335"</f>
        <v>20-20480  423-7547 1663-335</v>
      </c>
      <c r="G278" s="4">
        <v>400</v>
      </c>
      <c r="H278" t="str">
        <f>"20-20480  423-7547 1663-335"</f>
        <v>20-20480  423-7547 1663-335</v>
      </c>
    </row>
    <row r="279" spans="1:8" x14ac:dyDescent="0.25">
      <c r="E279" t="str">
        <f>"202101040965"</f>
        <v>202101040965</v>
      </c>
      <c r="F279" t="str">
        <f>"1JP1030420005"</f>
        <v>1JP1030420005</v>
      </c>
      <c r="G279" s="4">
        <v>250</v>
      </c>
      <c r="H279" t="str">
        <f>"1JP1030420005"</f>
        <v>1JP1030420005</v>
      </c>
    </row>
    <row r="280" spans="1:8" x14ac:dyDescent="0.25">
      <c r="E280" t="str">
        <f>"202101040966"</f>
        <v>202101040966</v>
      </c>
      <c r="F280" t="str">
        <f>"20-20523"</f>
        <v>20-20523</v>
      </c>
      <c r="G280" s="4">
        <v>100</v>
      </c>
      <c r="H280" t="str">
        <f>"20-20523"</f>
        <v>20-20523</v>
      </c>
    </row>
    <row r="281" spans="1:8" x14ac:dyDescent="0.25">
      <c r="A281" t="s">
        <v>69</v>
      </c>
      <c r="B281">
        <v>134296</v>
      </c>
      <c r="C281" s="4">
        <v>265.61</v>
      </c>
      <c r="D281" s="1">
        <v>44207</v>
      </c>
      <c r="E281" t="str">
        <f>"5046682839"</f>
        <v>5046682839</v>
      </c>
      <c r="F281" t="str">
        <f>"CUST#11167190/PCT#1"</f>
        <v>CUST#11167190/PCT#1</v>
      </c>
      <c r="G281" s="4">
        <v>115.61</v>
      </c>
      <c r="H281" t="str">
        <f>"CUST#11167190/PCT#1"</f>
        <v>CUST#11167190/PCT#1</v>
      </c>
    </row>
    <row r="282" spans="1:8" x14ac:dyDescent="0.25">
      <c r="E282" t="str">
        <f>"9115692416"</f>
        <v>9115692416</v>
      </c>
      <c r="F282" t="str">
        <f>"INV 9115692416"</f>
        <v>INV 9115692416</v>
      </c>
      <c r="G282" s="4">
        <v>100</v>
      </c>
      <c r="H282" t="str">
        <f>"INV 9115692416"</f>
        <v>INV 9115692416</v>
      </c>
    </row>
    <row r="283" spans="1:8" x14ac:dyDescent="0.25">
      <c r="E283" t="str">
        <f>"9115692417"</f>
        <v>9115692417</v>
      </c>
      <c r="F283" t="str">
        <f>"INV 9115692417"</f>
        <v>INV 9115692417</v>
      </c>
      <c r="G283" s="4">
        <v>50</v>
      </c>
      <c r="H283" t="str">
        <f>"INV 9115692417"</f>
        <v>INV 9115692417</v>
      </c>
    </row>
    <row r="284" spans="1:8" x14ac:dyDescent="0.25">
      <c r="A284" t="s">
        <v>69</v>
      </c>
      <c r="B284">
        <v>134411</v>
      </c>
      <c r="C284" s="4">
        <v>33.479999999999997</v>
      </c>
      <c r="D284" s="1">
        <v>44221</v>
      </c>
      <c r="E284" t="str">
        <f>"9104506890"</f>
        <v>9104506890</v>
      </c>
      <c r="F284" t="str">
        <f>"ANSER BLK FRAME GRY LENSE P#1"</f>
        <v>ANSER BLK FRAME GRY LENSE P#1</v>
      </c>
      <c r="G284" s="4">
        <v>33.479999999999997</v>
      </c>
      <c r="H284" t="str">
        <f>"ANSER BLK FRAME GRY LENSE"</f>
        <v>ANSER BLK FRAME GRY LENSE</v>
      </c>
    </row>
    <row r="285" spans="1:8" x14ac:dyDescent="0.25">
      <c r="A285" t="s">
        <v>70</v>
      </c>
      <c r="B285">
        <v>134297</v>
      </c>
      <c r="C285" s="4">
        <v>1855.45</v>
      </c>
      <c r="D285" s="1">
        <v>44207</v>
      </c>
      <c r="E285" t="str">
        <f>"202101050999"</f>
        <v>202101050999</v>
      </c>
      <c r="F285" t="str">
        <f>"PAYER#14108375/GEN SVCS"</f>
        <v>PAYER#14108375/GEN SVCS</v>
      </c>
      <c r="G285" s="4">
        <v>1855.45</v>
      </c>
      <c r="H285" t="str">
        <f>"PAYER#14108375/GEN SVCS"</f>
        <v>PAYER#14108375/GEN SVCS</v>
      </c>
    </row>
    <row r="286" spans="1:8" x14ac:dyDescent="0.25">
      <c r="A286" t="s">
        <v>70</v>
      </c>
      <c r="B286">
        <v>134298</v>
      </c>
      <c r="C286" s="4">
        <v>449.92</v>
      </c>
      <c r="D286" s="1">
        <v>44207</v>
      </c>
      <c r="E286" t="str">
        <f>"8404930364"</f>
        <v>8404930364</v>
      </c>
      <c r="F286" t="str">
        <f>"CUST#10377368/PCT#3"</f>
        <v>CUST#10377368/PCT#3</v>
      </c>
      <c r="G286" s="4">
        <v>303.5</v>
      </c>
      <c r="H286" t="str">
        <f>"CUST#10377368/PCT#3"</f>
        <v>CUST#10377368/PCT#3</v>
      </c>
    </row>
    <row r="287" spans="1:8" x14ac:dyDescent="0.25">
      <c r="E287" t="str">
        <f>"8404936706"</f>
        <v>8404936706</v>
      </c>
      <c r="F287" t="str">
        <f>"CUST#10377368/PCT#3"</f>
        <v>CUST#10377368/PCT#3</v>
      </c>
      <c r="G287" s="4">
        <v>146.41999999999999</v>
      </c>
      <c r="H287" t="str">
        <f>"CUST#10377368/PCT#3"</f>
        <v>CUST#10377368/PCT#3</v>
      </c>
    </row>
    <row r="288" spans="1:8" x14ac:dyDescent="0.25">
      <c r="A288" t="s">
        <v>70</v>
      </c>
      <c r="B288">
        <v>134412</v>
      </c>
      <c r="C288" s="4">
        <v>6603.42</v>
      </c>
      <c r="D288" s="1">
        <v>44221</v>
      </c>
      <c r="E288" t="str">
        <f>"202101191226"</f>
        <v>202101191226</v>
      </c>
      <c r="F288" t="str">
        <f>"PAYER#14108367/PCT#2"</f>
        <v>PAYER#14108367/PCT#2</v>
      </c>
      <c r="G288" s="4">
        <v>929.96</v>
      </c>
      <c r="H288" t="str">
        <f>"PAYER#14108367/PCT#2"</f>
        <v>PAYER#14108367/PCT#2</v>
      </c>
    </row>
    <row r="289" spans="1:8" x14ac:dyDescent="0.25">
      <c r="E289" t="str">
        <f>"202101201254"</f>
        <v>202101201254</v>
      </c>
      <c r="F289" t="str">
        <f>"PAYER#14108375"</f>
        <v>PAYER#14108375</v>
      </c>
      <c r="G289" s="4">
        <v>2213.85</v>
      </c>
      <c r="H289" t="str">
        <f>"PAYER#14108375"</f>
        <v>PAYER#14108375</v>
      </c>
    </row>
    <row r="290" spans="1:8" x14ac:dyDescent="0.25">
      <c r="E290" t="str">
        <f>"202101201255"</f>
        <v>202101201255</v>
      </c>
      <c r="F290" t="str">
        <f>"PAYER#14108431/SIGN SHOP"</f>
        <v>PAYER#14108431/SIGN SHOP</v>
      </c>
      <c r="G290" s="4">
        <v>82.35</v>
      </c>
      <c r="H290" t="str">
        <f>"PAYER#14108431/SIGN SHOP"</f>
        <v>PAYER#14108431/SIGN SHOP</v>
      </c>
    </row>
    <row r="291" spans="1:8" x14ac:dyDescent="0.25">
      <c r="E291" t="str">
        <f>"202101201268"</f>
        <v>202101201268</v>
      </c>
      <c r="F291" t="str">
        <f>"ACCT#14108431"</f>
        <v>ACCT#14108431</v>
      </c>
      <c r="G291" s="4">
        <v>1302.1099999999999</v>
      </c>
      <c r="H291" t="str">
        <f>"ACCT#14108431"</f>
        <v>ACCT#14108431</v>
      </c>
    </row>
    <row r="292" spans="1:8" x14ac:dyDescent="0.25">
      <c r="E292" t="str">
        <f>"202101201271"</f>
        <v>202101201271</v>
      </c>
      <c r="F292" t="str">
        <f>"PAYER#14108463/ANIMAL SHELTER"</f>
        <v>PAYER#14108463/ANIMAL SHELTER</v>
      </c>
      <c r="G292" s="4">
        <v>352.1</v>
      </c>
      <c r="H292" t="str">
        <f>"PAYER#14108463/ANIMAL SHELTER"</f>
        <v>PAYER#14108463/ANIMAL SHELTER</v>
      </c>
    </row>
    <row r="293" spans="1:8" x14ac:dyDescent="0.25">
      <c r="E293" t="str">
        <f>"4068909610"</f>
        <v>4068909610</v>
      </c>
      <c r="F293" t="str">
        <f>"PAYER#14108430 PCT#4"</f>
        <v>PAYER#14108430 PCT#4</v>
      </c>
      <c r="G293" s="4">
        <v>1723.05</v>
      </c>
      <c r="H293" t="str">
        <f>"PAYER#14108430 PCT#4"</f>
        <v>PAYER#14108430 PCT#4</v>
      </c>
    </row>
    <row r="294" spans="1:8" x14ac:dyDescent="0.25">
      <c r="A294" t="s">
        <v>70</v>
      </c>
      <c r="B294">
        <v>134413</v>
      </c>
      <c r="C294" s="4">
        <v>181.08</v>
      </c>
      <c r="D294" s="1">
        <v>44221</v>
      </c>
      <c r="E294" t="str">
        <f>"8404969090"</f>
        <v>8404969090</v>
      </c>
      <c r="F294" t="str">
        <f>"PAYER#10377368"</f>
        <v>PAYER#10377368</v>
      </c>
      <c r="G294" s="4">
        <v>181.08</v>
      </c>
      <c r="H294" t="str">
        <f>"PAYER#10377368"</f>
        <v>PAYER#10377368</v>
      </c>
    </row>
    <row r="295" spans="1:8" x14ac:dyDescent="0.25">
      <c r="A295" t="s">
        <v>71</v>
      </c>
      <c r="B295">
        <v>881</v>
      </c>
      <c r="C295" s="4">
        <v>4091.7</v>
      </c>
      <c r="D295" s="1">
        <v>44223</v>
      </c>
      <c r="E295" t="str">
        <f>"202101271401"</f>
        <v>202101271401</v>
      </c>
      <c r="F295" t="str">
        <f>"ACCT#72-5613 / 01032021"</f>
        <v>ACCT#72-5613 / 01032021</v>
      </c>
      <c r="G295" s="4">
        <v>4091.7</v>
      </c>
      <c r="H295" t="str">
        <f>"ACCT#72-5613 / 01032021"</f>
        <v>ACCT#72-5613 / 01032021</v>
      </c>
    </row>
    <row r="296" spans="1:8" x14ac:dyDescent="0.25">
      <c r="A296" t="s">
        <v>72</v>
      </c>
      <c r="B296">
        <v>134382</v>
      </c>
      <c r="C296" s="4">
        <v>38391.21</v>
      </c>
      <c r="D296" s="1">
        <v>44210</v>
      </c>
      <c r="E296" t="str">
        <f>"202101131209"</f>
        <v>202101131209</v>
      </c>
      <c r="F296" t="str">
        <f>"ACCT#02-2083-04 / 12292020"</f>
        <v>ACCT#02-2083-04 / 12292020</v>
      </c>
      <c r="G296" s="4">
        <v>5491.97</v>
      </c>
      <c r="H296" t="str">
        <f>"ACCT#02-2083-04 / 12292020"</f>
        <v>ACCT#02-2083-04 / 12292020</v>
      </c>
    </row>
    <row r="297" spans="1:8" x14ac:dyDescent="0.25">
      <c r="E297" t="str">
        <f>"202101131210"</f>
        <v>202101131210</v>
      </c>
      <c r="F297" t="str">
        <f>"COUNTY DEV CTR / 12292020"</f>
        <v>COUNTY DEV CTR / 12292020</v>
      </c>
      <c r="G297" s="4">
        <v>1599.89</v>
      </c>
      <c r="H297" t="str">
        <f>"COUNTY DEV CTR / 12292020"</f>
        <v>COUNTY DEV CTR / 12292020</v>
      </c>
    </row>
    <row r="298" spans="1:8" x14ac:dyDescent="0.25">
      <c r="E298" t="str">
        <f>"202101131211"</f>
        <v>202101131211</v>
      </c>
      <c r="F298" t="str">
        <f>"COUNTY LAW CTR / 12292020"</f>
        <v>COUNTY LAW CTR / 12292020</v>
      </c>
      <c r="G298" s="4">
        <v>19022.810000000001</v>
      </c>
      <c r="H298" t="str">
        <f>"CITY OF BASTROP"</f>
        <v>CITY OF BASTROP</v>
      </c>
    </row>
    <row r="299" spans="1:8" x14ac:dyDescent="0.25">
      <c r="E299" t="str">
        <f>"202101131212"</f>
        <v>202101131212</v>
      </c>
      <c r="F299" t="str">
        <f>"BASTROP COURTHOUSE / 12292020"</f>
        <v>BASTROP COURTHOUSE / 12292020</v>
      </c>
      <c r="G299" s="4">
        <v>12276.54</v>
      </c>
      <c r="H299" t="str">
        <f>"BASTROP COURTHOUSE / 12292020"</f>
        <v>BASTROP COURTHOUSE / 12292020</v>
      </c>
    </row>
    <row r="300" spans="1:8" x14ac:dyDescent="0.25">
      <c r="A300" t="s">
        <v>72</v>
      </c>
      <c r="B300">
        <v>134414</v>
      </c>
      <c r="C300" s="4">
        <v>750</v>
      </c>
      <c r="D300" s="1">
        <v>44221</v>
      </c>
      <c r="E300" t="str">
        <f>"202101131194"</f>
        <v>202101131194</v>
      </c>
      <c r="F300" t="str">
        <f>"CITY OF BASTROP"</f>
        <v>CITY OF BASTROP</v>
      </c>
      <c r="G300" s="4">
        <v>750</v>
      </c>
      <c r="H300" t="str">
        <f>"CITY OF BASTROP"</f>
        <v>CITY OF BASTROP</v>
      </c>
    </row>
    <row r="301" spans="1:8" x14ac:dyDescent="0.25">
      <c r="A301" t="s">
        <v>73</v>
      </c>
      <c r="B301">
        <v>134240</v>
      </c>
      <c r="C301" s="4">
        <v>4134.83</v>
      </c>
      <c r="D301" s="1">
        <v>44203</v>
      </c>
      <c r="E301" t="str">
        <f>"202101061068"</f>
        <v>202101061068</v>
      </c>
      <c r="F301" t="str">
        <f>"ACCT#007-0000388-000/12232020"</f>
        <v>ACCT#007-0000388-000/12232020</v>
      </c>
      <c r="G301" s="4">
        <v>477.35</v>
      </c>
      <c r="H301" t="str">
        <f>"CITY OF SMITHVILLE"</f>
        <v>CITY OF SMITHVILLE</v>
      </c>
    </row>
    <row r="302" spans="1:8" x14ac:dyDescent="0.25">
      <c r="E302" t="str">
        <f>"202101061069"</f>
        <v>202101061069</v>
      </c>
      <c r="F302" t="str">
        <f>"ACCT#007-0000389-000/12232020"</f>
        <v>ACCT#007-0000389-000/12232020</v>
      </c>
      <c r="G302" s="4">
        <v>113.19</v>
      </c>
      <c r="H302" t="str">
        <f>"CITY OF SMITHVILLE"</f>
        <v>CITY OF SMITHVILLE</v>
      </c>
    </row>
    <row r="303" spans="1:8" x14ac:dyDescent="0.25">
      <c r="E303" t="str">
        <f>"202101061070"</f>
        <v>202101061070</v>
      </c>
      <c r="F303" t="str">
        <f>"ACCT#044-0001240-000/12232020"</f>
        <v>ACCT#044-0001240-000/12232020</v>
      </c>
      <c r="G303" s="4">
        <v>335.17</v>
      </c>
      <c r="H303" t="str">
        <f>"CITY OF SMITHVILLE"</f>
        <v>CITY OF SMITHVILLE</v>
      </c>
    </row>
    <row r="304" spans="1:8" x14ac:dyDescent="0.25">
      <c r="E304" t="str">
        <f>"202101061071"</f>
        <v>202101061071</v>
      </c>
      <c r="F304" t="str">
        <f>"ACCT#044-0001250-000/12232020"</f>
        <v>ACCT#044-0001250-000/12232020</v>
      </c>
      <c r="G304" s="4">
        <v>135.80000000000001</v>
      </c>
      <c r="H304" t="str">
        <f>"CITY OF SMITHVILLE"</f>
        <v>CITY OF SMITHVILLE</v>
      </c>
    </row>
    <row r="305" spans="1:8" x14ac:dyDescent="0.25">
      <c r="E305" t="str">
        <f>"202101061072"</f>
        <v>202101061072</v>
      </c>
      <c r="F305" t="str">
        <f>"ACCT#044-0001252-000/12232020"</f>
        <v>ACCT#044-0001252-000/12232020</v>
      </c>
      <c r="G305" s="4">
        <v>2863.31</v>
      </c>
      <c r="H305" t="str">
        <f>"CITY OF SMITHVILLE"</f>
        <v>CITY OF SMITHVILLE</v>
      </c>
    </row>
    <row r="306" spans="1:8" x14ac:dyDescent="0.25">
      <c r="E306" t="str">
        <f>"202101061073"</f>
        <v>202101061073</v>
      </c>
      <c r="F306" t="str">
        <f>"ACCT#044-0001253-000/12232020"</f>
        <v>ACCT#044-0001253-000/12232020</v>
      </c>
      <c r="G306" s="4">
        <v>210.01</v>
      </c>
      <c r="H306" t="str">
        <f>"ACCT#044-0001253-000/12232020"</f>
        <v>ACCT#044-0001253-000/12232020</v>
      </c>
    </row>
    <row r="307" spans="1:8" x14ac:dyDescent="0.25">
      <c r="A307" t="s">
        <v>74</v>
      </c>
      <c r="B307">
        <v>3861</v>
      </c>
      <c r="C307" s="4">
        <v>193.84</v>
      </c>
      <c r="D307" s="1">
        <v>44222</v>
      </c>
      <c r="E307" t="str">
        <f>"202101191232"</f>
        <v>202101191232</v>
      </c>
      <c r="F307" t="str">
        <f>"INDIGENT HEALTH"</f>
        <v>INDIGENT HEALTH</v>
      </c>
      <c r="G307" s="4">
        <v>193.84</v>
      </c>
      <c r="H307" t="str">
        <f>"INDIGENT HEALTH"</f>
        <v>INDIGENT HEALTH</v>
      </c>
    </row>
    <row r="308" spans="1:8" x14ac:dyDescent="0.25">
      <c r="A308" t="s">
        <v>75</v>
      </c>
      <c r="B308">
        <v>134415</v>
      </c>
      <c r="C308" s="4">
        <v>132.04</v>
      </c>
      <c r="D308" s="1">
        <v>44221</v>
      </c>
      <c r="E308" t="str">
        <f>"202101191231"</f>
        <v>202101191231</v>
      </c>
      <c r="F308" t="str">
        <f>"INDIGENT HEALTH"</f>
        <v>INDIGENT HEALTH</v>
      </c>
      <c r="G308" s="4">
        <v>132.04</v>
      </c>
      <c r="H308" t="str">
        <f>"INDIGENT HEALTH"</f>
        <v>INDIGENT HEALTH</v>
      </c>
    </row>
    <row r="309" spans="1:8" x14ac:dyDescent="0.25">
      <c r="A309" t="s">
        <v>76</v>
      </c>
      <c r="B309">
        <v>3774</v>
      </c>
      <c r="C309" s="4">
        <v>168</v>
      </c>
      <c r="D309" s="1">
        <v>44208</v>
      </c>
      <c r="E309" t="str">
        <f>"12457035609"</f>
        <v>12457035609</v>
      </c>
      <c r="F309" t="str">
        <f>"INV 12457035609"</f>
        <v>INV 12457035609</v>
      </c>
      <c r="G309" s="4">
        <v>168</v>
      </c>
      <c r="H309" t="str">
        <f>"INV 12457035609"</f>
        <v>INV 12457035609</v>
      </c>
    </row>
    <row r="310" spans="1:8" x14ac:dyDescent="0.25">
      <c r="A310" t="s">
        <v>76</v>
      </c>
      <c r="B310">
        <v>3831</v>
      </c>
      <c r="C310" s="4">
        <v>156</v>
      </c>
      <c r="D310" s="1">
        <v>44222</v>
      </c>
      <c r="E310" t="str">
        <f>"12457100612"</f>
        <v>12457100612</v>
      </c>
      <c r="F310" t="str">
        <f>"INV 12457100612"</f>
        <v>INV 12457100612</v>
      </c>
      <c r="G310" s="4">
        <v>156</v>
      </c>
      <c r="H310" t="str">
        <f>"INV 12457100612"</f>
        <v>INV 12457100612</v>
      </c>
    </row>
    <row r="311" spans="1:8" x14ac:dyDescent="0.25">
      <c r="A311" t="s">
        <v>77</v>
      </c>
      <c r="B311">
        <v>3837</v>
      </c>
      <c r="C311" s="4">
        <v>1199.4100000000001</v>
      </c>
      <c r="D311" s="1">
        <v>44222</v>
      </c>
      <c r="E311" t="str">
        <f>"202101191229"</f>
        <v>202101191229</v>
      </c>
      <c r="F311" t="str">
        <f>"INDIGENT HEALTH"</f>
        <v>INDIGENT HEALTH</v>
      </c>
      <c r="G311" s="4">
        <v>1199.4100000000001</v>
      </c>
      <c r="H311" t="str">
        <f>"INDIGENT HEALTH"</f>
        <v>INDIGENT HEALTH</v>
      </c>
    </row>
    <row r="312" spans="1:8" x14ac:dyDescent="0.25">
      <c r="E312" t="str">
        <f>""</f>
        <v/>
      </c>
      <c r="F312" t="str">
        <f>""</f>
        <v/>
      </c>
      <c r="H312" t="str">
        <f>"INDIGENT HEALTH"</f>
        <v>INDIGENT HEALTH</v>
      </c>
    </row>
    <row r="313" spans="1:8" x14ac:dyDescent="0.25">
      <c r="A313" t="s">
        <v>78</v>
      </c>
      <c r="B313">
        <v>134299</v>
      </c>
      <c r="C313" s="4">
        <v>75</v>
      </c>
      <c r="D313" s="1">
        <v>44207</v>
      </c>
      <c r="E313" t="str">
        <f>"202101061040"</f>
        <v>202101061040</v>
      </c>
      <c r="F313" t="str">
        <f>"PHONE REPAIR FOR CASE"</f>
        <v>PHONE REPAIR FOR CASE</v>
      </c>
      <c r="G313" s="4">
        <v>75</v>
      </c>
      <c r="H313" t="str">
        <f>"PHONE REPAIR FOR CASE"</f>
        <v>PHONE REPAIR FOR CASE</v>
      </c>
    </row>
    <row r="314" spans="1:8" x14ac:dyDescent="0.25">
      <c r="A314" t="s">
        <v>79</v>
      </c>
      <c r="B314">
        <v>134416</v>
      </c>
      <c r="C314" s="4">
        <v>4924.8</v>
      </c>
      <c r="D314" s="1">
        <v>44221</v>
      </c>
      <c r="E314" t="str">
        <f>"22020409"</f>
        <v>22020409</v>
      </c>
      <c r="F314" t="str">
        <f>"ACCT#434304/PCT#4"</f>
        <v>ACCT#434304/PCT#4</v>
      </c>
      <c r="G314" s="4">
        <v>4924.8</v>
      </c>
      <c r="H314" t="str">
        <f>"ACCT#434304/PCT#4"</f>
        <v>ACCT#434304/PCT#4</v>
      </c>
    </row>
    <row r="315" spans="1:8" x14ac:dyDescent="0.25">
      <c r="A315" t="s">
        <v>80</v>
      </c>
      <c r="B315">
        <v>3777</v>
      </c>
      <c r="C315" s="4">
        <v>1936</v>
      </c>
      <c r="D315" s="1">
        <v>44208</v>
      </c>
      <c r="E315" t="str">
        <f>"20771"</f>
        <v>20771</v>
      </c>
      <c r="F315" t="str">
        <f>"INSTALL 2 CABLES/MATERIAL/LABO"</f>
        <v>INSTALL 2 CABLES/MATERIAL/LABO</v>
      </c>
      <c r="G315" s="4">
        <v>296</v>
      </c>
      <c r="H315" t="str">
        <f>"INSTALL 2 CABLES/MATERIAL/LABO"</f>
        <v>INSTALL 2 CABLES/MATERIAL/LABO</v>
      </c>
    </row>
    <row r="316" spans="1:8" x14ac:dyDescent="0.25">
      <c r="E316" t="str">
        <f>"20785"</f>
        <v>20785</v>
      </c>
      <c r="F316" t="str">
        <f>"LABOR/MATERIAL - SHERIFF'S OFF"</f>
        <v>LABOR/MATERIAL - SHERIFF'S OFF</v>
      </c>
      <c r="G316" s="4">
        <v>1640</v>
      </c>
      <c r="H316" t="str">
        <f>"LABOR/MATERIAL - SHERIFF'S OFF"</f>
        <v>LABOR/MATERIAL - SHERIFF'S OFF</v>
      </c>
    </row>
    <row r="317" spans="1:8" x14ac:dyDescent="0.25">
      <c r="A317" t="s">
        <v>81</v>
      </c>
      <c r="B317">
        <v>3860</v>
      </c>
      <c r="C317" s="4">
        <v>679.63</v>
      </c>
      <c r="D317" s="1">
        <v>44222</v>
      </c>
      <c r="E317" t="str">
        <f>"202101201267"</f>
        <v>202101201267</v>
      </c>
      <c r="F317" t="str">
        <f>"ACCT#063/PCT#1"</f>
        <v>ACCT#063/PCT#1</v>
      </c>
      <c r="G317" s="4">
        <v>679.63</v>
      </c>
      <c r="H317" t="str">
        <f>"ACCT#063/PCT#1"</f>
        <v>ACCT#063/PCT#1</v>
      </c>
    </row>
    <row r="318" spans="1:8" x14ac:dyDescent="0.25">
      <c r="A318" t="s">
        <v>82</v>
      </c>
      <c r="B318">
        <v>134300</v>
      </c>
      <c r="C318" s="4">
        <v>186.3</v>
      </c>
      <c r="D318" s="1">
        <v>44207</v>
      </c>
      <c r="E318" t="str">
        <f>"T300-165194"</f>
        <v>T300-165194</v>
      </c>
      <c r="F318" t="str">
        <f>"CUST#BAST676/PCT#4"</f>
        <v>CUST#BAST676/PCT#4</v>
      </c>
      <c r="G318" s="4">
        <v>186.3</v>
      </c>
      <c r="H318" t="str">
        <f>"CUST#BAST676/PCT#4"</f>
        <v>CUST#BAST676/PCT#4</v>
      </c>
    </row>
    <row r="319" spans="1:8" x14ac:dyDescent="0.25">
      <c r="A319" t="s">
        <v>83</v>
      </c>
      <c r="B319">
        <v>3859</v>
      </c>
      <c r="C319" s="4">
        <v>51.96</v>
      </c>
      <c r="D319" s="1">
        <v>44222</v>
      </c>
      <c r="E319" t="str">
        <f>"255215"</f>
        <v>255215</v>
      </c>
      <c r="F319" t="str">
        <f>"CUST#4011"</f>
        <v>CUST#4011</v>
      </c>
      <c r="G319" s="4">
        <v>51.96</v>
      </c>
      <c r="H319" t="str">
        <f>"CUST#4011"</f>
        <v>CUST#4011</v>
      </c>
    </row>
    <row r="320" spans="1:8" x14ac:dyDescent="0.25">
      <c r="A320" t="s">
        <v>84</v>
      </c>
      <c r="B320">
        <v>134417</v>
      </c>
      <c r="C320" s="4">
        <v>2070.96</v>
      </c>
      <c r="D320" s="1">
        <v>44221</v>
      </c>
      <c r="E320" t="str">
        <f>"TW71603"</f>
        <v>TW71603</v>
      </c>
      <c r="F320" t="str">
        <f>"ACCT#68930/ANIMAL SVCS"</f>
        <v>ACCT#68930/ANIMAL SVCS</v>
      </c>
      <c r="G320" s="4">
        <v>457.06</v>
      </c>
      <c r="H320" t="str">
        <f t="shared" ref="H320:H327" si="6">"ACCT#68930/ANIMAL SVCS"</f>
        <v>ACCT#68930/ANIMAL SVCS</v>
      </c>
    </row>
    <row r="321" spans="1:8" x14ac:dyDescent="0.25">
      <c r="E321" t="str">
        <f>"TY80152"</f>
        <v>TY80152</v>
      </c>
      <c r="F321" t="str">
        <f>"ACCT#68930/ANIMAL SVCS"</f>
        <v>ACCT#68930/ANIMAL SVCS</v>
      </c>
      <c r="G321" s="4">
        <v>76.900000000000006</v>
      </c>
      <c r="H321" t="str">
        <f t="shared" si="6"/>
        <v>ACCT#68930/ANIMAL SVCS</v>
      </c>
    </row>
    <row r="322" spans="1:8" x14ac:dyDescent="0.25">
      <c r="E322" t="str">
        <f>"UA36636"</f>
        <v>UA36636</v>
      </c>
      <c r="F322" t="str">
        <f>"ACCT#68930/ANIMAL SVCS"</f>
        <v>ACCT#68930/ANIMAL SVCS</v>
      </c>
      <c r="G322" s="4">
        <v>357.74</v>
      </c>
      <c r="H322" t="str">
        <f t="shared" si="6"/>
        <v>ACCT#68930/ANIMAL SVCS</v>
      </c>
    </row>
    <row r="323" spans="1:8" x14ac:dyDescent="0.25">
      <c r="E323" t="str">
        <f>"UA53840"</f>
        <v>UA53840</v>
      </c>
      <c r="F323" t="str">
        <f>"ACCT#68930/ANIMAL SVCS"</f>
        <v>ACCT#68930/ANIMAL SVCS</v>
      </c>
      <c r="G323" s="4">
        <v>159.85</v>
      </c>
      <c r="H323" t="str">
        <f t="shared" si="6"/>
        <v>ACCT#68930/ANIMAL SVCS</v>
      </c>
    </row>
    <row r="324" spans="1:8" x14ac:dyDescent="0.25">
      <c r="E324" t="str">
        <f>""</f>
        <v/>
      </c>
      <c r="F324" t="str">
        <f>""</f>
        <v/>
      </c>
      <c r="H324" t="str">
        <f t="shared" si="6"/>
        <v>ACCT#68930/ANIMAL SVCS</v>
      </c>
    </row>
    <row r="325" spans="1:8" x14ac:dyDescent="0.25">
      <c r="E325" t="str">
        <f>""</f>
        <v/>
      </c>
      <c r="F325" t="str">
        <f>""</f>
        <v/>
      </c>
      <c r="H325" t="str">
        <f t="shared" si="6"/>
        <v>ACCT#68930/ANIMAL SVCS</v>
      </c>
    </row>
    <row r="326" spans="1:8" x14ac:dyDescent="0.25">
      <c r="E326" t="str">
        <f>"UB17772"</f>
        <v>UB17772</v>
      </c>
      <c r="F326" t="str">
        <f>"ACCT#68930/ANIMAL SVCS"</f>
        <v>ACCT#68930/ANIMAL SVCS</v>
      </c>
      <c r="G326" s="4">
        <v>468.16</v>
      </c>
      <c r="H326" t="str">
        <f t="shared" si="6"/>
        <v>ACCT#68930/ANIMAL SVCS</v>
      </c>
    </row>
    <row r="327" spans="1:8" x14ac:dyDescent="0.25">
      <c r="E327" t="str">
        <f>"US22019"</f>
        <v>US22019</v>
      </c>
      <c r="F327" t="str">
        <f>"ACCT#68930/ANIMAL SVCS"</f>
        <v>ACCT#68930/ANIMAL SVCS</v>
      </c>
      <c r="G327" s="4">
        <v>551.25</v>
      </c>
      <c r="H327" t="str">
        <f t="shared" si="6"/>
        <v>ACCT#68930/ANIMAL SVCS</v>
      </c>
    </row>
    <row r="328" spans="1:8" x14ac:dyDescent="0.25">
      <c r="A328" t="s">
        <v>85</v>
      </c>
      <c r="B328">
        <v>134301</v>
      </c>
      <c r="C328" s="4">
        <v>25</v>
      </c>
      <c r="D328" s="1">
        <v>44207</v>
      </c>
      <c r="E328" t="s">
        <v>86</v>
      </c>
      <c r="F328" s="4" t="str">
        <f>"RESTITUTION - M. MANZANARES"</f>
        <v>RESTITUTION - M. MANZANARES</v>
      </c>
      <c r="G328">
        <v>25</v>
      </c>
      <c r="H328" s="4" t="str">
        <f>"RESTITUTION - M. MANZANARES"</f>
        <v>RESTITUTION - M. MANZANARES</v>
      </c>
    </row>
    <row r="329" spans="1:8" x14ac:dyDescent="0.25">
      <c r="A329" t="s">
        <v>87</v>
      </c>
      <c r="B329">
        <v>134418</v>
      </c>
      <c r="C329" s="4">
        <v>75</v>
      </c>
      <c r="D329" s="1">
        <v>44221</v>
      </c>
      <c r="E329" t="str">
        <f>"11311"</f>
        <v>11311</v>
      </c>
      <c r="F329" t="str">
        <f>"SERVICE"</f>
        <v>SERVICE</v>
      </c>
      <c r="G329" s="4">
        <v>75</v>
      </c>
      <c r="H329" t="str">
        <f>"SERVICE"</f>
        <v>SERVICE</v>
      </c>
    </row>
    <row r="330" spans="1:8" x14ac:dyDescent="0.25">
      <c r="A330" t="s">
        <v>88</v>
      </c>
      <c r="B330">
        <v>3791</v>
      </c>
      <c r="C330" s="4">
        <v>2835</v>
      </c>
      <c r="D330" s="1">
        <v>44208</v>
      </c>
      <c r="E330" t="str">
        <f>"202101040961"</f>
        <v>202101040961</v>
      </c>
      <c r="F330" t="str">
        <f>"20-20303"</f>
        <v>20-20303</v>
      </c>
      <c r="G330" s="4">
        <v>827.5</v>
      </c>
      <c r="H330" t="str">
        <f>"20-20303"</f>
        <v>20-20303</v>
      </c>
    </row>
    <row r="331" spans="1:8" x14ac:dyDescent="0.25">
      <c r="E331" t="str">
        <f>"202101040962"</f>
        <v>202101040962</v>
      </c>
      <c r="F331" t="str">
        <f>"20-20060"</f>
        <v>20-20060</v>
      </c>
      <c r="G331" s="4">
        <v>862.5</v>
      </c>
      <c r="H331" t="str">
        <f>"20-20060"</f>
        <v>20-20060</v>
      </c>
    </row>
    <row r="332" spans="1:8" x14ac:dyDescent="0.25">
      <c r="E332" t="str">
        <f>"202101040963"</f>
        <v>202101040963</v>
      </c>
      <c r="F332" t="str">
        <f>"19-17987"</f>
        <v>19-17987</v>
      </c>
      <c r="G332" s="4">
        <v>617.5</v>
      </c>
      <c r="H332" t="str">
        <f>"19-17987"</f>
        <v>19-17987</v>
      </c>
    </row>
    <row r="333" spans="1:8" x14ac:dyDescent="0.25">
      <c r="E333" t="str">
        <f>"202101040964"</f>
        <v>202101040964</v>
      </c>
      <c r="F333" t="str">
        <f>"20-20216"</f>
        <v>20-20216</v>
      </c>
      <c r="G333" s="4">
        <v>527.5</v>
      </c>
      <c r="H333" t="str">
        <f>"20-20216"</f>
        <v>20-20216</v>
      </c>
    </row>
    <row r="334" spans="1:8" x14ac:dyDescent="0.25">
      <c r="A334" t="s">
        <v>89</v>
      </c>
      <c r="B334">
        <v>3833</v>
      </c>
      <c r="C334" s="4">
        <v>680</v>
      </c>
      <c r="D334" s="1">
        <v>44222</v>
      </c>
      <c r="E334" t="str">
        <f>"202101201309"</f>
        <v>202101201309</v>
      </c>
      <c r="F334" t="str">
        <f>"20-20510"</f>
        <v>20-20510</v>
      </c>
      <c r="G334" s="4">
        <v>175</v>
      </c>
      <c r="H334" t="str">
        <f>"20-20510"</f>
        <v>20-20510</v>
      </c>
    </row>
    <row r="335" spans="1:8" x14ac:dyDescent="0.25">
      <c r="E335" t="str">
        <f>"202101201310"</f>
        <v>202101201310</v>
      </c>
      <c r="F335" t="str">
        <f>"15-17513"</f>
        <v>15-17513</v>
      </c>
      <c r="G335" s="4">
        <v>212.5</v>
      </c>
      <c r="H335" t="str">
        <f>"15-17513"</f>
        <v>15-17513</v>
      </c>
    </row>
    <row r="336" spans="1:8" x14ac:dyDescent="0.25">
      <c r="E336" t="str">
        <f>"202101201311"</f>
        <v>202101201311</v>
      </c>
      <c r="F336" t="str">
        <f>"20-20130"</f>
        <v>20-20130</v>
      </c>
      <c r="G336" s="4">
        <v>97.5</v>
      </c>
      <c r="H336" t="str">
        <f>"20-20130"</f>
        <v>20-20130</v>
      </c>
    </row>
    <row r="337" spans="1:8" x14ac:dyDescent="0.25">
      <c r="E337" t="str">
        <f>"202101201312"</f>
        <v>202101201312</v>
      </c>
      <c r="F337" t="str">
        <f>"20-20394"</f>
        <v>20-20394</v>
      </c>
      <c r="G337" s="4">
        <v>82.5</v>
      </c>
      <c r="H337" t="str">
        <f>"20-20394"</f>
        <v>20-20394</v>
      </c>
    </row>
    <row r="338" spans="1:8" x14ac:dyDescent="0.25">
      <c r="E338" t="str">
        <f>"202101201313"</f>
        <v>202101201313</v>
      </c>
      <c r="F338" t="str">
        <f>"20-20426"</f>
        <v>20-20426</v>
      </c>
      <c r="G338" s="4">
        <v>112.5</v>
      </c>
      <c r="H338" t="str">
        <f>"20-20426"</f>
        <v>20-20426</v>
      </c>
    </row>
    <row r="339" spans="1:8" x14ac:dyDescent="0.25">
      <c r="A339" t="s">
        <v>90</v>
      </c>
      <c r="B339">
        <v>134302</v>
      </c>
      <c r="C339" s="4">
        <v>1164.26</v>
      </c>
      <c r="D339" s="1">
        <v>44207</v>
      </c>
      <c r="E339" t="str">
        <f>"2109920 40203678"</f>
        <v>2109920 40203678</v>
      </c>
      <c r="F339" t="str">
        <f>"INV 2109920"</f>
        <v>INV 2109920</v>
      </c>
      <c r="G339" s="4">
        <v>1164.26</v>
      </c>
      <c r="H339" t="str">
        <f>"INV 2109920"</f>
        <v>INV 2109920</v>
      </c>
    </row>
    <row r="340" spans="1:8" x14ac:dyDescent="0.25">
      <c r="E340" t="str">
        <f>""</f>
        <v/>
      </c>
      <c r="F340" t="str">
        <f>""</f>
        <v/>
      </c>
      <c r="H340" t="str">
        <f>"INV 40203678"</f>
        <v>INV 40203678</v>
      </c>
    </row>
    <row r="341" spans="1:8" x14ac:dyDescent="0.25">
      <c r="E341" t="str">
        <f>""</f>
        <v/>
      </c>
      <c r="F341" t="str">
        <f>""</f>
        <v/>
      </c>
      <c r="H341" t="str">
        <f>"INV 2112661"</f>
        <v>INV 2112661</v>
      </c>
    </row>
    <row r="342" spans="1:8" x14ac:dyDescent="0.25">
      <c r="A342" t="s">
        <v>90</v>
      </c>
      <c r="B342">
        <v>134419</v>
      </c>
      <c r="C342" s="4">
        <v>1140.98</v>
      </c>
      <c r="D342" s="1">
        <v>44221</v>
      </c>
      <c r="E342" t="str">
        <f>"2116479"</f>
        <v>2116479</v>
      </c>
      <c r="F342" t="str">
        <f>"INV 2116479"</f>
        <v>INV 2116479</v>
      </c>
      <c r="G342" s="4">
        <v>1140.98</v>
      </c>
      <c r="H342" t="str">
        <f>"INV 2116479"</f>
        <v>INV 2116479</v>
      </c>
    </row>
    <row r="343" spans="1:8" x14ac:dyDescent="0.25">
      <c r="E343" t="str">
        <f>""</f>
        <v/>
      </c>
      <c r="F343" t="str">
        <f>""</f>
        <v/>
      </c>
      <c r="H343" t="str">
        <f>"INV 2121723"</f>
        <v>INV 2121723</v>
      </c>
    </row>
    <row r="344" spans="1:8" x14ac:dyDescent="0.25">
      <c r="E344" t="str">
        <f>""</f>
        <v/>
      </c>
      <c r="F344" t="str">
        <f>""</f>
        <v/>
      </c>
      <c r="H344" t="str">
        <f>"INV 40206347"</f>
        <v>INV 40206347</v>
      </c>
    </row>
    <row r="345" spans="1:8" x14ac:dyDescent="0.25">
      <c r="A345" t="s">
        <v>91</v>
      </c>
      <c r="B345">
        <v>134303</v>
      </c>
      <c r="C345" s="4">
        <v>27064.93</v>
      </c>
      <c r="D345" s="1">
        <v>44207</v>
      </c>
      <c r="E345" t="str">
        <f>"10446640531"</f>
        <v>10446640531</v>
      </c>
      <c r="F345" t="str">
        <f>"DELL"</f>
        <v>DELL</v>
      </c>
      <c r="G345" s="4">
        <v>693.6</v>
      </c>
      <c r="H345" t="str">
        <f>"Rugged Renewal"</f>
        <v>Rugged Renewal</v>
      </c>
    </row>
    <row r="346" spans="1:8" x14ac:dyDescent="0.25">
      <c r="E346" t="str">
        <f>"10451073457"</f>
        <v>10451073457</v>
      </c>
      <c r="F346" t="str">
        <f>"DELL"</f>
        <v>DELL</v>
      </c>
      <c r="G346" s="4">
        <v>119.5</v>
      </c>
      <c r="H346" t="str">
        <f>"Memory"</f>
        <v>Memory</v>
      </c>
    </row>
    <row r="347" spans="1:8" x14ac:dyDescent="0.25">
      <c r="E347" t="str">
        <f>"10451477299"</f>
        <v>10451477299</v>
      </c>
      <c r="F347" t="str">
        <f>"DELL"</f>
        <v>DELL</v>
      </c>
      <c r="G347" s="4">
        <v>4799.5200000000004</v>
      </c>
      <c r="H347" t="str">
        <f>"DELL"</f>
        <v>DELL</v>
      </c>
    </row>
    <row r="348" spans="1:8" x14ac:dyDescent="0.25">
      <c r="E348" t="str">
        <f>""</f>
        <v/>
      </c>
      <c r="F348" t="str">
        <f>""</f>
        <v/>
      </c>
      <c r="H348" t="str">
        <f>"Premier Discount"</f>
        <v>Premier Discount</v>
      </c>
    </row>
    <row r="349" spans="1:8" x14ac:dyDescent="0.25">
      <c r="E349" t="str">
        <f>"10451521707"</f>
        <v>10451521707</v>
      </c>
      <c r="F349" t="str">
        <f>"Wireless keyboard &amp; mouse"</f>
        <v>Wireless keyboard &amp; mouse</v>
      </c>
      <c r="G349" s="4">
        <v>42.74</v>
      </c>
      <c r="H349" t="str">
        <f>"Wireless Keyboard"</f>
        <v>Wireless Keyboard</v>
      </c>
    </row>
    <row r="350" spans="1:8" x14ac:dyDescent="0.25">
      <c r="E350" t="str">
        <f>""</f>
        <v/>
      </c>
      <c r="F350" t="str">
        <f>""</f>
        <v/>
      </c>
      <c r="H350" t="str">
        <f>"Premier discount"</f>
        <v>Premier discount</v>
      </c>
    </row>
    <row r="351" spans="1:8" x14ac:dyDescent="0.25">
      <c r="E351" t="str">
        <f>"10453185761"</f>
        <v>10453185761</v>
      </c>
      <c r="F351" t="str">
        <f>"DELL"</f>
        <v>DELL</v>
      </c>
      <c r="G351" s="4">
        <v>20643.63</v>
      </c>
      <c r="H351" t="str">
        <f>"Dell 24 Monitor"</f>
        <v>Dell 24 Monitor</v>
      </c>
    </row>
    <row r="352" spans="1:8" x14ac:dyDescent="0.25">
      <c r="E352" t="str">
        <f>""</f>
        <v/>
      </c>
      <c r="F352" t="str">
        <f>""</f>
        <v/>
      </c>
      <c r="H352" t="str">
        <f>"Rugged Notebook"</f>
        <v>Rugged Notebook</v>
      </c>
    </row>
    <row r="353" spans="1:8" x14ac:dyDescent="0.25">
      <c r="E353" t="str">
        <f>""</f>
        <v/>
      </c>
      <c r="F353" t="str">
        <f>""</f>
        <v/>
      </c>
      <c r="H353" t="str">
        <f>"Optiplex 7080"</f>
        <v>Optiplex 7080</v>
      </c>
    </row>
    <row r="354" spans="1:8" x14ac:dyDescent="0.25">
      <c r="E354" t="str">
        <f>""</f>
        <v/>
      </c>
      <c r="F354" t="str">
        <f>""</f>
        <v/>
      </c>
      <c r="H354" t="str">
        <f>"Dell Docking Station"</f>
        <v>Dell Docking Station</v>
      </c>
    </row>
    <row r="355" spans="1:8" x14ac:dyDescent="0.25">
      <c r="E355" t="str">
        <f>"10453399932"</f>
        <v>10453399932</v>
      </c>
      <c r="F355" t="str">
        <f>"DELLRuggedWarrantyRenewal"</f>
        <v>DELLRuggedWarrantyRenewal</v>
      </c>
      <c r="G355" s="4">
        <v>672.71</v>
      </c>
      <c r="H355" t="str">
        <f>"DELLRuggedWarrantyRenewal"</f>
        <v>DELLRuggedWarrantyRenewal</v>
      </c>
    </row>
    <row r="356" spans="1:8" x14ac:dyDescent="0.25">
      <c r="E356" t="str">
        <f>"60125274149"</f>
        <v>60125274149</v>
      </c>
      <c r="F356" t="str">
        <f>"Dell DDR3 &amp; Power Cord"</f>
        <v>Dell DDR3 &amp; Power Cord</v>
      </c>
      <c r="G356" s="4">
        <v>38.24</v>
      </c>
      <c r="H356" t="str">
        <f>"Dell DDR3 &amp; Power Cord"</f>
        <v>Dell DDR3 &amp; Power Cord</v>
      </c>
    </row>
    <row r="357" spans="1:8" x14ac:dyDescent="0.25">
      <c r="E357" t="str">
        <f>""</f>
        <v/>
      </c>
      <c r="F357" t="str">
        <f>""</f>
        <v/>
      </c>
      <c r="H357" t="str">
        <f>"Credit Memo"</f>
        <v>Credit Memo</v>
      </c>
    </row>
    <row r="358" spans="1:8" x14ac:dyDescent="0.25">
      <c r="E358" t="str">
        <f>"GB003952494"</f>
        <v>GB003952494</v>
      </c>
      <c r="F358" t="str">
        <f>"DELL"</f>
        <v>DELL</v>
      </c>
      <c r="G358" s="4">
        <v>54.99</v>
      </c>
      <c r="H358" t="str">
        <f>"Power Supply"</f>
        <v>Power Supply</v>
      </c>
    </row>
    <row r="359" spans="1:8" x14ac:dyDescent="0.25">
      <c r="A359" t="s">
        <v>91</v>
      </c>
      <c r="B359">
        <v>134420</v>
      </c>
      <c r="C359" s="4">
        <v>2207.4299999999998</v>
      </c>
      <c r="D359" s="1">
        <v>44221</v>
      </c>
      <c r="E359" t="str">
        <f>"10433038065"</f>
        <v>10433038065</v>
      </c>
      <c r="F359" t="str">
        <f>"DELL"</f>
        <v>DELL</v>
      </c>
      <c r="G359" s="4">
        <v>1.99</v>
      </c>
      <c r="H359" t="str">
        <f>"Keyboard Shield"</f>
        <v>Keyboard Shield</v>
      </c>
    </row>
    <row r="360" spans="1:8" x14ac:dyDescent="0.25">
      <c r="E360" t="str">
        <f>"10454351254"</f>
        <v>10454351254</v>
      </c>
      <c r="F360" t="str">
        <f>"DELL"</f>
        <v>DELL</v>
      </c>
      <c r="G360" s="4">
        <v>1833.84</v>
      </c>
      <c r="H360" t="str">
        <f>"Keyboard 82"</f>
        <v>Keyboard 82</v>
      </c>
    </row>
    <row r="361" spans="1:8" x14ac:dyDescent="0.25">
      <c r="E361" t="str">
        <f>""</f>
        <v/>
      </c>
      <c r="F361" t="str">
        <f>""</f>
        <v/>
      </c>
      <c r="H361" t="str">
        <f>"Screw M2"</f>
        <v>Screw M2</v>
      </c>
    </row>
    <row r="362" spans="1:8" x14ac:dyDescent="0.25">
      <c r="E362" t="str">
        <f>"22106"</f>
        <v>22106</v>
      </c>
      <c r="F362" t="str">
        <f>"DELL"</f>
        <v>DELL</v>
      </c>
      <c r="G362" s="4">
        <v>194.81</v>
      </c>
      <c r="H362" t="str">
        <f>"Power Supply 255W"</f>
        <v>Power Supply 255W</v>
      </c>
    </row>
    <row r="363" spans="1:8" x14ac:dyDescent="0.25">
      <c r="E363" t="str">
        <f>""</f>
        <v/>
      </c>
      <c r="F363" t="str">
        <f>""</f>
        <v/>
      </c>
      <c r="H363" t="str">
        <f>"DDR3 Memory 8GB"</f>
        <v>DDR3 Memory 8GB</v>
      </c>
    </row>
    <row r="364" spans="1:8" x14ac:dyDescent="0.25">
      <c r="E364" t="str">
        <f>""</f>
        <v/>
      </c>
      <c r="F364" t="str">
        <f>""</f>
        <v/>
      </c>
      <c r="H364" t="str">
        <f>"DDR3 Moemory 8GB"</f>
        <v>DDR3 Moemory 8GB</v>
      </c>
    </row>
    <row r="365" spans="1:8" x14ac:dyDescent="0.25">
      <c r="E365" t="str">
        <f>"22120"</f>
        <v>22120</v>
      </c>
      <c r="F365" t="str">
        <f>"Dell Memory Uograde 8G"</f>
        <v>Dell Memory Uograde 8G</v>
      </c>
      <c r="G365" s="4">
        <v>176.79</v>
      </c>
      <c r="H365" t="str">
        <f>"Dell Memory Uograde 8G"</f>
        <v>Dell Memory Uograde 8G</v>
      </c>
    </row>
    <row r="366" spans="1:8" x14ac:dyDescent="0.25">
      <c r="E366" t="str">
        <f>""</f>
        <v/>
      </c>
      <c r="F366" t="str">
        <f>""</f>
        <v/>
      </c>
      <c r="H366" t="str">
        <f>"Dell Memory Uograde 8G"</f>
        <v>Dell Memory Uograde 8G</v>
      </c>
    </row>
    <row r="367" spans="1:8" x14ac:dyDescent="0.25">
      <c r="A367" t="s">
        <v>92</v>
      </c>
      <c r="B367">
        <v>134304</v>
      </c>
      <c r="C367" s="4">
        <v>14.14</v>
      </c>
      <c r="D367" s="1">
        <v>44207</v>
      </c>
      <c r="E367" t="str">
        <f>"27374"</f>
        <v>27374</v>
      </c>
      <c r="F367" t="str">
        <f>"DUPLICATE KEYS/TAGS/PCT#1"</f>
        <v>DUPLICATE KEYS/TAGS/PCT#1</v>
      </c>
      <c r="G367" s="4">
        <v>14.14</v>
      </c>
      <c r="H367" t="str">
        <f>"DUPLICATE KEYS/TAGS/PCT#1"</f>
        <v>DUPLICATE KEYS/TAGS/PCT#1</v>
      </c>
    </row>
    <row r="368" spans="1:8" x14ac:dyDescent="0.25">
      <c r="A368" t="s">
        <v>93</v>
      </c>
      <c r="B368">
        <v>134305</v>
      </c>
      <c r="C368" s="4">
        <v>20094.91</v>
      </c>
      <c r="D368" s="1">
        <v>44207</v>
      </c>
      <c r="E368" t="str">
        <f>"21111123N"</f>
        <v>21111123N</v>
      </c>
      <c r="F368" t="str">
        <f>"CUST#:PKE5000/110120-113020"</f>
        <v>CUST#:PKE5000/110120-113020</v>
      </c>
      <c r="G368" s="4">
        <v>20094.91</v>
      </c>
      <c r="H368" t="str">
        <f>"CUST#:PKE5000/110120-113020"</f>
        <v>CUST#:PKE5000/110120-113020</v>
      </c>
    </row>
    <row r="369" spans="1:8" x14ac:dyDescent="0.25">
      <c r="E369" t="str">
        <f>""</f>
        <v/>
      </c>
      <c r="F369" t="str">
        <f>""</f>
        <v/>
      </c>
      <c r="H369" t="str">
        <f>"CUST#:PKE5000/110120-113020"</f>
        <v>CUST#:PKE5000/110120-113020</v>
      </c>
    </row>
    <row r="370" spans="1:8" x14ac:dyDescent="0.25">
      <c r="A370" t="s">
        <v>94</v>
      </c>
      <c r="B370">
        <v>134306</v>
      </c>
      <c r="C370" s="4">
        <v>591</v>
      </c>
      <c r="D370" s="1">
        <v>44207</v>
      </c>
      <c r="E370" t="str">
        <f>"2886270"</f>
        <v>2886270</v>
      </c>
      <c r="F370" t="str">
        <f>"ACCT#27917/DEVLPMT SVCS"</f>
        <v>ACCT#27917/DEVLPMT SVCS</v>
      </c>
      <c r="G370" s="4">
        <v>591</v>
      </c>
      <c r="H370" t="str">
        <f>"ACCT#27917/DEVLPMT SVCS"</f>
        <v>ACCT#27917/DEVLPMT SVCS</v>
      </c>
    </row>
    <row r="371" spans="1:8" x14ac:dyDescent="0.25">
      <c r="A371" t="s">
        <v>95</v>
      </c>
      <c r="B371">
        <v>134523</v>
      </c>
      <c r="C371" s="4">
        <v>749.4</v>
      </c>
      <c r="D371" s="1">
        <v>44223</v>
      </c>
      <c r="E371" t="str">
        <f>"202101271375"</f>
        <v>202101271375</v>
      </c>
      <c r="F371" t="str">
        <f>"ACCT#405900029213 / 02012021"</f>
        <v>ACCT#405900029213 / 02012021</v>
      </c>
      <c r="G371" s="4">
        <v>374.7</v>
      </c>
      <c r="H371" t="str">
        <f>"ACCT#405900029213 / 02012021"</f>
        <v>ACCT#405900029213 / 02012021</v>
      </c>
    </row>
    <row r="372" spans="1:8" x14ac:dyDescent="0.25">
      <c r="E372" t="str">
        <f>"202101271376"</f>
        <v>202101271376</v>
      </c>
      <c r="F372" t="str">
        <f>"ACCT#405900029225 / 02012021"</f>
        <v>ACCT#405900029225 / 02012021</v>
      </c>
      <c r="G372" s="4">
        <v>187.35</v>
      </c>
      <c r="H372" t="str">
        <f>"ACCT#405900029225 / 02012021"</f>
        <v>ACCT#405900029225 / 02012021</v>
      </c>
    </row>
    <row r="373" spans="1:8" x14ac:dyDescent="0.25">
      <c r="E373" t="str">
        <f>"202101271377"</f>
        <v>202101271377</v>
      </c>
      <c r="F373" t="str">
        <f>"ACCT#405900028789 / 02012021"</f>
        <v>ACCT#405900028789 / 02012021</v>
      </c>
      <c r="G373" s="4">
        <v>187.35</v>
      </c>
      <c r="H373" t="str">
        <f>"ACCT#405900028789 / 02012021"</f>
        <v>ACCT#405900028789 / 02012021</v>
      </c>
    </row>
    <row r="374" spans="1:8" x14ac:dyDescent="0.25">
      <c r="A374" t="s">
        <v>96</v>
      </c>
      <c r="B374">
        <v>134307</v>
      </c>
      <c r="C374" s="4">
        <v>25</v>
      </c>
      <c r="D374" s="1">
        <v>44207</v>
      </c>
      <c r="E374" t="s">
        <v>97</v>
      </c>
      <c r="F374" s="4" t="str">
        <f>"RESTITUTION - M. MAZANARES"</f>
        <v>RESTITUTION - M. MAZANARES</v>
      </c>
      <c r="G374">
        <v>25</v>
      </c>
      <c r="H374" s="4" t="str">
        <f>"RESTITUTION - M. MAZANARES"</f>
        <v>RESTITUTION - M. MAZANARES</v>
      </c>
    </row>
    <row r="375" spans="1:8" x14ac:dyDescent="0.25">
      <c r="A375" t="s">
        <v>98</v>
      </c>
      <c r="B375">
        <v>3786</v>
      </c>
      <c r="C375" s="4">
        <v>1823.7</v>
      </c>
      <c r="D375" s="1">
        <v>44208</v>
      </c>
      <c r="E375" t="str">
        <f>"29788B"</f>
        <v>29788B</v>
      </c>
      <c r="F375" t="str">
        <f>"INV 29788 B"</f>
        <v>INV 29788 B</v>
      </c>
      <c r="G375" s="4">
        <v>1823.7</v>
      </c>
      <c r="H375" t="str">
        <f>"INV 29788 B"</f>
        <v>INV 29788 B</v>
      </c>
    </row>
    <row r="376" spans="1:8" x14ac:dyDescent="0.25">
      <c r="A376" t="s">
        <v>99</v>
      </c>
      <c r="B376">
        <v>3810</v>
      </c>
      <c r="C376" s="4">
        <v>500</v>
      </c>
      <c r="D376" s="1">
        <v>44208</v>
      </c>
      <c r="E376" t="str">
        <f>"202101040954"</f>
        <v>202101040954</v>
      </c>
      <c r="F376" t="str">
        <f>"423-7340"</f>
        <v>423-7340</v>
      </c>
      <c r="G376" s="4">
        <v>400</v>
      </c>
      <c r="H376" t="str">
        <f>"423-7340"</f>
        <v>423-7340</v>
      </c>
    </row>
    <row r="377" spans="1:8" x14ac:dyDescent="0.25">
      <c r="E377" t="str">
        <f>"202101040955"</f>
        <v>202101040955</v>
      </c>
      <c r="F377" t="str">
        <f>"423-7527"</f>
        <v>423-7527</v>
      </c>
      <c r="G377" s="4">
        <v>100</v>
      </c>
      <c r="H377" t="str">
        <f>"423-7527"</f>
        <v>423-7527</v>
      </c>
    </row>
    <row r="378" spans="1:8" x14ac:dyDescent="0.25">
      <c r="A378" t="s">
        <v>99</v>
      </c>
      <c r="B378">
        <v>3886</v>
      </c>
      <c r="C378" s="4">
        <v>1300</v>
      </c>
      <c r="D378" s="1">
        <v>44222</v>
      </c>
      <c r="E378" t="str">
        <f>"202101121163"</f>
        <v>202101121163</v>
      </c>
      <c r="F378" t="str">
        <f>"16206"</f>
        <v>16206</v>
      </c>
      <c r="G378" s="4">
        <v>600</v>
      </c>
      <c r="H378" t="str">
        <f>"16206"</f>
        <v>16206</v>
      </c>
    </row>
    <row r="379" spans="1:8" x14ac:dyDescent="0.25">
      <c r="E379" t="str">
        <f>"202101201275"</f>
        <v>202101201275</v>
      </c>
      <c r="F379" t="str">
        <f>"423-7527"</f>
        <v>423-7527</v>
      </c>
      <c r="G379" s="4">
        <v>200</v>
      </c>
      <c r="H379" t="str">
        <f>"423-7527"</f>
        <v>423-7527</v>
      </c>
    </row>
    <row r="380" spans="1:8" x14ac:dyDescent="0.25">
      <c r="E380" t="str">
        <f>"202101201302"</f>
        <v>202101201302</v>
      </c>
      <c r="F380" t="str">
        <f>"57499"</f>
        <v>57499</v>
      </c>
      <c r="G380" s="4">
        <v>250</v>
      </c>
      <c r="H380" t="str">
        <f>"57499"</f>
        <v>57499</v>
      </c>
    </row>
    <row r="381" spans="1:8" x14ac:dyDescent="0.25">
      <c r="E381" t="str">
        <f>"202101201307"</f>
        <v>202101201307</v>
      </c>
      <c r="F381" t="str">
        <f>"56874"</f>
        <v>56874</v>
      </c>
      <c r="G381" s="4">
        <v>250</v>
      </c>
      <c r="H381" t="str">
        <f>"56874"</f>
        <v>56874</v>
      </c>
    </row>
    <row r="382" spans="1:8" x14ac:dyDescent="0.25">
      <c r="A382" t="s">
        <v>100</v>
      </c>
      <c r="B382">
        <v>134308</v>
      </c>
      <c r="C382" s="4">
        <v>2200</v>
      </c>
      <c r="D382" s="1">
        <v>44207</v>
      </c>
      <c r="E382" t="str">
        <f>"024"</f>
        <v>024</v>
      </c>
      <c r="F382" t="str">
        <f>"10 LDS COMM BASE/PCT#3"</f>
        <v>10 LDS COMM BASE/PCT#3</v>
      </c>
      <c r="G382" s="4">
        <v>2200</v>
      </c>
      <c r="H382" t="str">
        <f>"10 LDS COMM BASE/PCT#3"</f>
        <v>10 LDS COMM BASE/PCT#3</v>
      </c>
    </row>
    <row r="383" spans="1:8" x14ac:dyDescent="0.25">
      <c r="A383" t="s">
        <v>101</v>
      </c>
      <c r="B383">
        <v>3795</v>
      </c>
      <c r="C383" s="4">
        <v>913.91</v>
      </c>
      <c r="D383" s="1">
        <v>44208</v>
      </c>
      <c r="E383" t="str">
        <f>"6259076823"</f>
        <v>6259076823</v>
      </c>
      <c r="F383" t="str">
        <f>"INV 6259076823"</f>
        <v>INV 6259076823</v>
      </c>
      <c r="G383" s="4">
        <v>913.91</v>
      </c>
      <c r="H383" t="str">
        <f>"INV 6259076823"</f>
        <v>INV 6259076823</v>
      </c>
    </row>
    <row r="384" spans="1:8" x14ac:dyDescent="0.25">
      <c r="A384" t="s">
        <v>101</v>
      </c>
      <c r="B384">
        <v>3863</v>
      </c>
      <c r="C384" s="4">
        <v>2080</v>
      </c>
      <c r="D384" s="1">
        <v>44222</v>
      </c>
      <c r="E384" t="str">
        <f>"6259328197"</f>
        <v>6259328197</v>
      </c>
      <c r="F384" t="str">
        <f>"INV 6259328197"</f>
        <v>INV 6259328197</v>
      </c>
      <c r="G384" s="4">
        <v>2080</v>
      </c>
      <c r="H384" t="str">
        <f>"INV 6259328197"</f>
        <v>INV 6259328197</v>
      </c>
    </row>
    <row r="385" spans="1:8" x14ac:dyDescent="0.25">
      <c r="A385" t="s">
        <v>102</v>
      </c>
      <c r="B385">
        <v>3794</v>
      </c>
      <c r="C385" s="4">
        <v>41</v>
      </c>
      <c r="D385" s="1">
        <v>44208</v>
      </c>
      <c r="E385" t="str">
        <f>"202101050992"</f>
        <v>202101050992</v>
      </c>
      <c r="F385" t="str">
        <f>"SUBSCRIPTION/JP#4"</f>
        <v>SUBSCRIPTION/JP#4</v>
      </c>
      <c r="G385" s="4">
        <v>41</v>
      </c>
      <c r="H385" t="str">
        <f>"SUBSCRIPTION/JP#4"</f>
        <v>SUBSCRIPTION/JP#4</v>
      </c>
    </row>
    <row r="386" spans="1:8" x14ac:dyDescent="0.25">
      <c r="A386" t="s">
        <v>102</v>
      </c>
      <c r="B386">
        <v>3862</v>
      </c>
      <c r="C386" s="4">
        <v>913</v>
      </c>
      <c r="D386" s="1">
        <v>44222</v>
      </c>
      <c r="E386" t="str">
        <f>"20-26603"</f>
        <v>20-26603</v>
      </c>
      <c r="F386" t="str">
        <f>"BLACKLANDS PUBLICATIONS INC"</f>
        <v>BLACKLANDS PUBLICATIONS INC</v>
      </c>
      <c r="G386" s="4">
        <v>45</v>
      </c>
      <c r="H386" t="str">
        <f>"Public Notice Ad"</f>
        <v>Public Notice Ad</v>
      </c>
    </row>
    <row r="387" spans="1:8" x14ac:dyDescent="0.25">
      <c r="E387" t="str">
        <f>"20382"</f>
        <v>20382</v>
      </c>
      <c r="F387" t="str">
        <f>"Public Notice"</f>
        <v>Public Notice</v>
      </c>
      <c r="G387" s="4">
        <v>38</v>
      </c>
      <c r="H387" t="str">
        <f>"Public Notice"</f>
        <v>Public Notice</v>
      </c>
    </row>
    <row r="388" spans="1:8" x14ac:dyDescent="0.25">
      <c r="E388" t="str">
        <f>"20754"</f>
        <v>20754</v>
      </c>
      <c r="F388" t="str">
        <f>"Public Notice"</f>
        <v>Public Notice</v>
      </c>
      <c r="G388" s="4">
        <v>38</v>
      </c>
      <c r="H388" t="str">
        <f>"Public Notice"</f>
        <v>Public Notice</v>
      </c>
    </row>
    <row r="389" spans="1:8" x14ac:dyDescent="0.25">
      <c r="E389" t="str">
        <f>"20755"</f>
        <v>20755</v>
      </c>
      <c r="F389" t="str">
        <f>"Public Notice"</f>
        <v>Public Notice</v>
      </c>
      <c r="G389" s="4">
        <v>42</v>
      </c>
      <c r="H389" t="str">
        <f>"Public Notice"</f>
        <v>Public Notice</v>
      </c>
    </row>
    <row r="390" spans="1:8" x14ac:dyDescent="0.25">
      <c r="E390" t="str">
        <f>"25421-25533"</f>
        <v>25421-25533</v>
      </c>
      <c r="F390" t="str">
        <f>"Public Notice RFQ20BCP10C"</f>
        <v>Public Notice RFQ20BCP10C</v>
      </c>
      <c r="G390" s="4">
        <v>370</v>
      </c>
      <c r="H390" t="str">
        <f>"Public Notice RFQ20BCP10C"</f>
        <v>Public Notice RFQ20BCP10C</v>
      </c>
    </row>
    <row r="391" spans="1:8" x14ac:dyDescent="0.25">
      <c r="E391" t="str">
        <f>"25421-26317"</f>
        <v>25421-26317</v>
      </c>
      <c r="F391" t="str">
        <f>"Pub. Notice RFQ20BCP10B"</f>
        <v>Pub. Notice RFQ20BCP10B</v>
      </c>
      <c r="G391" s="4">
        <v>190</v>
      </c>
      <c r="H391" t="str">
        <f>"October 28  2020"</f>
        <v>October 28  2020</v>
      </c>
    </row>
    <row r="392" spans="1:8" x14ac:dyDescent="0.25">
      <c r="E392" t="str">
        <f>""</f>
        <v/>
      </c>
      <c r="F392" t="str">
        <f>""</f>
        <v/>
      </c>
      <c r="H392" t="str">
        <f>"November 4  2020"</f>
        <v>November 4  2020</v>
      </c>
    </row>
    <row r="393" spans="1:8" x14ac:dyDescent="0.25">
      <c r="E393" t="str">
        <f>"52421-26317"</f>
        <v>52421-26317</v>
      </c>
      <c r="F393" t="str">
        <f>"Public Notice"</f>
        <v>Public Notice</v>
      </c>
      <c r="G393" s="4">
        <v>190</v>
      </c>
      <c r="H393" t="str">
        <f>"12/30"</f>
        <v>12/30</v>
      </c>
    </row>
    <row r="394" spans="1:8" x14ac:dyDescent="0.25">
      <c r="E394" t="str">
        <f>""</f>
        <v/>
      </c>
      <c r="F394" t="str">
        <f>""</f>
        <v/>
      </c>
      <c r="H394" t="str">
        <f>"01/06"</f>
        <v>01/06</v>
      </c>
    </row>
    <row r="395" spans="1:8" x14ac:dyDescent="0.25">
      <c r="A395" t="s">
        <v>103</v>
      </c>
      <c r="B395">
        <v>134421</v>
      </c>
      <c r="C395" s="4">
        <v>281.98</v>
      </c>
      <c r="D395" s="1">
        <v>44221</v>
      </c>
      <c r="E395" t="str">
        <f>"14278"</f>
        <v>14278</v>
      </c>
      <c r="F395" t="str">
        <f>"SUPPLIES/PCT#1"</f>
        <v>SUPPLIES/PCT#1</v>
      </c>
      <c r="G395" s="4">
        <v>281.98</v>
      </c>
      <c r="H395" t="str">
        <f>"SUPPLIES/PCT#1"</f>
        <v>SUPPLIES/PCT#1</v>
      </c>
    </row>
    <row r="396" spans="1:8" x14ac:dyDescent="0.25">
      <c r="E396" t="str">
        <f>""</f>
        <v/>
      </c>
      <c r="F396" t="str">
        <f>""</f>
        <v/>
      </c>
      <c r="H396" t="str">
        <f>"SUPPLIES/PCT#1"</f>
        <v>SUPPLIES/PCT#1</v>
      </c>
    </row>
    <row r="397" spans="1:8" x14ac:dyDescent="0.25">
      <c r="A397" t="s">
        <v>104</v>
      </c>
      <c r="B397">
        <v>134241</v>
      </c>
      <c r="C397" s="4">
        <v>1055.79</v>
      </c>
      <c r="D397" s="1">
        <v>44203</v>
      </c>
      <c r="E397" t="str">
        <f>"202101061060"</f>
        <v>202101061060</v>
      </c>
      <c r="F397" t="str">
        <f>"ACCT#007-0008410-002/12312020"</f>
        <v>ACCT#007-0008410-002/12312020</v>
      </c>
      <c r="G397" s="4">
        <v>230.79</v>
      </c>
      <c r="H397" t="str">
        <f>"ACCT#007-0008410-002/12312020"</f>
        <v>ACCT#007-0008410-002/12312020</v>
      </c>
    </row>
    <row r="398" spans="1:8" x14ac:dyDescent="0.25">
      <c r="E398" t="str">
        <f>"202101061061"</f>
        <v>202101061061</v>
      </c>
      <c r="F398" t="str">
        <f>"ACCT#007-0011501-000/12312020"</f>
        <v>ACCT#007-0011501-000/12312020</v>
      </c>
      <c r="G398" s="4">
        <v>58.24</v>
      </c>
      <c r="H398" t="str">
        <f>"ACCT#007-0011501-000/12312020"</f>
        <v>ACCT#007-0011501-000/12312020</v>
      </c>
    </row>
    <row r="399" spans="1:8" x14ac:dyDescent="0.25">
      <c r="E399" t="str">
        <f>"202101061062"</f>
        <v>202101061062</v>
      </c>
      <c r="F399" t="str">
        <f>"ACCT#007-0011510-000/12312020"</f>
        <v>ACCT#007-0011510-000/12312020</v>
      </c>
      <c r="G399" s="4">
        <v>245.49</v>
      </c>
      <c r="H399" t="str">
        <f>"CITY OF ELGIN UTILITIES"</f>
        <v>CITY OF ELGIN UTILITIES</v>
      </c>
    </row>
    <row r="400" spans="1:8" x14ac:dyDescent="0.25">
      <c r="E400" t="str">
        <f>"202101061063"</f>
        <v>202101061063</v>
      </c>
      <c r="F400" t="str">
        <f>"ACCT#007-001530-000/12312020"</f>
        <v>ACCT#007-001530-000/12312020</v>
      </c>
      <c r="G400" s="4">
        <v>99.65</v>
      </c>
      <c r="H400" t="str">
        <f>"CITY OF ELGIN UTILITIES"</f>
        <v>CITY OF ELGIN UTILITIES</v>
      </c>
    </row>
    <row r="401" spans="1:8" x14ac:dyDescent="0.25">
      <c r="E401" t="str">
        <f>"202101061064"</f>
        <v>202101061064</v>
      </c>
      <c r="F401" t="str">
        <f>"ACCT#007-0011534-001/12312020"</f>
        <v>ACCT#007-0011534-001/12312020</v>
      </c>
      <c r="G401" s="4">
        <v>171.84</v>
      </c>
      <c r="H401" t="str">
        <f>"CITY OF ELGIN UTILITIES"</f>
        <v>CITY OF ELGIN UTILITIES</v>
      </c>
    </row>
    <row r="402" spans="1:8" x14ac:dyDescent="0.25">
      <c r="E402" t="str">
        <f>"202101061065"</f>
        <v>202101061065</v>
      </c>
      <c r="F402" t="str">
        <f>"ACCT#007-0011535-000/12312020"</f>
        <v>ACCT#007-0011535-000/12312020</v>
      </c>
      <c r="G402" s="4">
        <v>114.99</v>
      </c>
      <c r="H402" t="str">
        <f>"CITY OF ELGIN UTILITIES"</f>
        <v>CITY OF ELGIN UTILITIES</v>
      </c>
    </row>
    <row r="403" spans="1:8" x14ac:dyDescent="0.25">
      <c r="E403" t="str">
        <f>"202101061066"</f>
        <v>202101061066</v>
      </c>
      <c r="F403" t="str">
        <f>"ACCT#007-0011544-001/12312020"</f>
        <v>ACCT#007-0011544-001/12312020</v>
      </c>
      <c r="G403" s="4">
        <v>134.79</v>
      </c>
      <c r="H403" t="str">
        <f>"CITY OF ELGIN UTILITIES"</f>
        <v>CITY OF ELGIN UTILITIES</v>
      </c>
    </row>
    <row r="404" spans="1:8" x14ac:dyDescent="0.25">
      <c r="A404" t="s">
        <v>105</v>
      </c>
      <c r="B404">
        <v>134309</v>
      </c>
      <c r="C404" s="4">
        <v>393.12</v>
      </c>
      <c r="D404" s="1">
        <v>44207</v>
      </c>
      <c r="E404" t="str">
        <f>"145-44784-01"</f>
        <v>145-44784-01</v>
      </c>
      <c r="F404" t="str">
        <f>"INV 145-44784-01"</f>
        <v>INV 145-44784-01</v>
      </c>
      <c r="G404" s="4">
        <v>393.12</v>
      </c>
      <c r="H404" t="str">
        <f>"INV 145-44784-01"</f>
        <v>INV 145-44784-01</v>
      </c>
    </row>
    <row r="405" spans="1:8" x14ac:dyDescent="0.25">
      <c r="A405" t="s">
        <v>105</v>
      </c>
      <c r="B405">
        <v>134422</v>
      </c>
      <c r="C405" s="4">
        <v>196.61</v>
      </c>
      <c r="D405" s="1">
        <v>44221</v>
      </c>
      <c r="E405" t="str">
        <f>"INV-145-46266-01"</f>
        <v>INV-145-46266-01</v>
      </c>
      <c r="F405" t="str">
        <f>"INV 145-46266.01"</f>
        <v>INV 145-46266.01</v>
      </c>
      <c r="G405" s="4">
        <v>196.61</v>
      </c>
      <c r="H405" t="str">
        <f>"INV 145-46266.01"</f>
        <v>INV 145-46266.01</v>
      </c>
    </row>
    <row r="406" spans="1:8" x14ac:dyDescent="0.25">
      <c r="A406" t="s">
        <v>106</v>
      </c>
      <c r="B406">
        <v>134310</v>
      </c>
      <c r="C406" s="4">
        <v>150</v>
      </c>
      <c r="D406" s="1">
        <v>44207</v>
      </c>
      <c r="E406" t="str">
        <f>"01677"</f>
        <v>01677</v>
      </c>
      <c r="F406" t="str">
        <f>"EMERGENCY MGMT ASSOC OF TX"</f>
        <v>EMERGENCY MGMT ASSOC OF TX</v>
      </c>
      <c r="G406" s="4">
        <v>150</v>
      </c>
      <c r="H406" t="str">
        <f>"EMAT Membership"</f>
        <v>EMAT Membership</v>
      </c>
    </row>
    <row r="407" spans="1:8" x14ac:dyDescent="0.25">
      <c r="A407" t="s">
        <v>107</v>
      </c>
      <c r="B407">
        <v>134311</v>
      </c>
      <c r="C407" s="4">
        <v>33.35</v>
      </c>
      <c r="D407" s="1">
        <v>44207</v>
      </c>
      <c r="E407" t="str">
        <f>"202101061030"</f>
        <v>202101061030</v>
      </c>
      <c r="F407" t="str">
        <f>"MILEAGE REIMBURSEMENT"</f>
        <v>MILEAGE REIMBURSEMENT</v>
      </c>
      <c r="G407" s="4">
        <v>33.35</v>
      </c>
      <c r="H407" t="str">
        <f>"MILEAGE REIMBURSEMENT"</f>
        <v>MILEAGE REIMBURSEMENT</v>
      </c>
    </row>
    <row r="408" spans="1:8" x14ac:dyDescent="0.25">
      <c r="A408" t="s">
        <v>108</v>
      </c>
      <c r="B408">
        <v>3890</v>
      </c>
      <c r="C408" s="4">
        <v>11001.5</v>
      </c>
      <c r="D408" s="1">
        <v>44225</v>
      </c>
      <c r="E408" t="str">
        <f>"202101281411"</f>
        <v>202101281411</v>
      </c>
      <c r="F408" t="str">
        <f>"EVERYTHING BUT STROMBOLI LLC"</f>
        <v>EVERYTHING BUT STROMBOLI LLC</v>
      </c>
      <c r="G408" s="4">
        <v>11001.5</v>
      </c>
      <c r="H408" t="str">
        <f>"8GB"</f>
        <v>8GB</v>
      </c>
    </row>
    <row r="409" spans="1:8" x14ac:dyDescent="0.25">
      <c r="E409" t="str">
        <f>""</f>
        <v/>
      </c>
      <c r="F409" t="str">
        <f>""</f>
        <v/>
      </c>
      <c r="H409" t="str">
        <f>"16GB"</f>
        <v>16GB</v>
      </c>
    </row>
    <row r="410" spans="1:8" x14ac:dyDescent="0.25">
      <c r="E410" t="str">
        <f>""</f>
        <v/>
      </c>
      <c r="F410" t="str">
        <f>""</f>
        <v/>
      </c>
      <c r="H410" t="str">
        <f>"32GB"</f>
        <v>32GB</v>
      </c>
    </row>
    <row r="411" spans="1:8" x14ac:dyDescent="0.25">
      <c r="E411" t="str">
        <f>""</f>
        <v/>
      </c>
      <c r="F411" t="str">
        <f>""</f>
        <v/>
      </c>
      <c r="H411" t="str">
        <f>"64GB"</f>
        <v>64GB</v>
      </c>
    </row>
    <row r="412" spans="1:8" x14ac:dyDescent="0.25">
      <c r="E412" t="str">
        <f>""</f>
        <v/>
      </c>
      <c r="F412" t="str">
        <f>""</f>
        <v/>
      </c>
      <c r="H412" t="str">
        <f>"128GB"</f>
        <v>128GB</v>
      </c>
    </row>
    <row r="413" spans="1:8" x14ac:dyDescent="0.25">
      <c r="E413" t="str">
        <f>""</f>
        <v/>
      </c>
      <c r="F413" t="str">
        <f>""</f>
        <v/>
      </c>
      <c r="H413" t="str">
        <f>"256GB"</f>
        <v>256GB</v>
      </c>
    </row>
    <row r="414" spans="1:8" x14ac:dyDescent="0.25">
      <c r="A414" t="s">
        <v>109</v>
      </c>
      <c r="B414">
        <v>3807</v>
      </c>
      <c r="C414" s="4">
        <v>71.5</v>
      </c>
      <c r="D414" s="1">
        <v>44208</v>
      </c>
      <c r="E414" t="str">
        <f>"3430698"</f>
        <v>3430698</v>
      </c>
      <c r="F414" t="str">
        <f>"ACCT#00405/PCT#2"</f>
        <v>ACCT#00405/PCT#2</v>
      </c>
      <c r="G414" s="4">
        <v>71.5</v>
      </c>
      <c r="H414" t="str">
        <f>"ACCT#00405/PCT#2"</f>
        <v>ACCT#00405/PCT#2</v>
      </c>
    </row>
    <row r="415" spans="1:8" x14ac:dyDescent="0.25">
      <c r="A415" t="s">
        <v>110</v>
      </c>
      <c r="B415">
        <v>3796</v>
      </c>
      <c r="C415" s="4">
        <v>11000</v>
      </c>
      <c r="D415" s="1">
        <v>44208</v>
      </c>
      <c r="E415" t="str">
        <f>"202101061054"</f>
        <v>202101061054</v>
      </c>
      <c r="F415" t="str">
        <f>"FY 20-21"</f>
        <v>FY 20-21</v>
      </c>
      <c r="G415" s="4">
        <v>11000</v>
      </c>
      <c r="H415" t="str">
        <f>"FY 20-21"</f>
        <v>FY 20-21</v>
      </c>
    </row>
    <row r="416" spans="1:8" x14ac:dyDescent="0.25">
      <c r="A416" t="s">
        <v>111</v>
      </c>
      <c r="B416">
        <v>134312</v>
      </c>
      <c r="C416" s="4">
        <v>871.42</v>
      </c>
      <c r="D416" s="1">
        <v>44207</v>
      </c>
      <c r="E416" t="str">
        <f>"5084116785"</f>
        <v>5084116785</v>
      </c>
      <c r="F416" t="str">
        <f>"ACCT#833840517/PCT#3"</f>
        <v>ACCT#833840517/PCT#3</v>
      </c>
      <c r="G416" s="4">
        <v>871.42</v>
      </c>
      <c r="H416" t="str">
        <f>"ACCT#833840517/PCT#3"</f>
        <v>ACCT#833840517/PCT#3</v>
      </c>
    </row>
    <row r="417" spans="1:8" x14ac:dyDescent="0.25">
      <c r="A417" t="s">
        <v>112</v>
      </c>
      <c r="B417">
        <v>134423</v>
      </c>
      <c r="C417" s="4">
        <v>871.42</v>
      </c>
      <c r="D417" s="1">
        <v>44221</v>
      </c>
      <c r="E417" t="str">
        <f>"5084116785"</f>
        <v>5084116785</v>
      </c>
      <c r="F417" t="str">
        <f>"FEDEX"</f>
        <v>FEDEX</v>
      </c>
      <c r="G417" s="4">
        <v>871.42</v>
      </c>
      <c r="H417" t="str">
        <f>"FEDEX Return"</f>
        <v>FEDEX Return</v>
      </c>
    </row>
    <row r="418" spans="1:8" x14ac:dyDescent="0.25">
      <c r="A418" t="s">
        <v>113</v>
      </c>
      <c r="B418">
        <v>134424</v>
      </c>
      <c r="C418" s="4">
        <v>606.49</v>
      </c>
      <c r="D418" s="1">
        <v>44221</v>
      </c>
      <c r="E418" t="str">
        <f>"66799159"</f>
        <v>66799159</v>
      </c>
      <c r="F418" t="str">
        <f>"ACCT#80975-001/PCT#3"</f>
        <v>ACCT#80975-001/PCT#3</v>
      </c>
      <c r="G418" s="4">
        <v>606.49</v>
      </c>
      <c r="H418" t="str">
        <f>"ACCT#80975-001/PCT#3"</f>
        <v>ACCT#80975-001/PCT#3</v>
      </c>
    </row>
    <row r="419" spans="1:8" x14ac:dyDescent="0.25">
      <c r="A419" t="s">
        <v>114</v>
      </c>
      <c r="B419">
        <v>134313</v>
      </c>
      <c r="C419" s="4">
        <v>100</v>
      </c>
      <c r="D419" s="1">
        <v>44207</v>
      </c>
      <c r="E419" t="s">
        <v>115</v>
      </c>
      <c r="F419" s="4" t="str">
        <f>"RESTITUTION - D. CORKILL"</f>
        <v>RESTITUTION - D. CORKILL</v>
      </c>
      <c r="G419">
        <v>100</v>
      </c>
      <c r="H419" s="4" t="str">
        <f>"RESTITUTION - D. CORKILL"</f>
        <v>RESTITUTION - D. CORKILL</v>
      </c>
    </row>
    <row r="420" spans="1:8" x14ac:dyDescent="0.25">
      <c r="A420" t="s">
        <v>116</v>
      </c>
      <c r="B420">
        <v>134314</v>
      </c>
      <c r="C420" s="4">
        <v>240</v>
      </c>
      <c r="D420" s="1">
        <v>44207</v>
      </c>
      <c r="E420" t="str">
        <f>"7054"</f>
        <v>7054</v>
      </c>
      <c r="F420" t="str">
        <f>"INV 7054"</f>
        <v>INV 7054</v>
      </c>
      <c r="G420" s="4">
        <v>240</v>
      </c>
      <c r="H420" t="str">
        <f>"INV 7054"</f>
        <v>INV 7054</v>
      </c>
    </row>
    <row r="421" spans="1:8" x14ac:dyDescent="0.25">
      <c r="A421" t="s">
        <v>117</v>
      </c>
      <c r="B421">
        <v>3857</v>
      </c>
      <c r="C421" s="4">
        <v>45.71</v>
      </c>
      <c r="D421" s="1">
        <v>44222</v>
      </c>
      <c r="E421" t="str">
        <f>"57598AP"</f>
        <v>57598AP</v>
      </c>
      <c r="F421" t="str">
        <f>"SEAL-WEATHERSTRIP"</f>
        <v>SEAL-WEATHERSTRIP</v>
      </c>
      <c r="G421" s="4">
        <v>32.880000000000003</v>
      </c>
      <c r="H421" t="str">
        <f>"SEAL-WEATHERSTRIP"</f>
        <v>SEAL-WEATHERSTRIP</v>
      </c>
    </row>
    <row r="422" spans="1:8" x14ac:dyDescent="0.25">
      <c r="E422" t="str">
        <f>"58054AP"</f>
        <v>58054AP</v>
      </c>
      <c r="F422" t="str">
        <f>"ACCT#3326 PCT#4"</f>
        <v>ACCT#3326 PCT#4</v>
      </c>
      <c r="G422" s="4">
        <v>12.83</v>
      </c>
      <c r="H422" t="str">
        <f>"ACCT#3326 PCT#4"</f>
        <v>ACCT#3326 PCT#4</v>
      </c>
    </row>
    <row r="423" spans="1:8" x14ac:dyDescent="0.25">
      <c r="A423" t="s">
        <v>118</v>
      </c>
      <c r="B423">
        <v>3797</v>
      </c>
      <c r="C423" s="4">
        <v>40.96</v>
      </c>
      <c r="D423" s="1">
        <v>44208</v>
      </c>
      <c r="E423" t="str">
        <f>"GC 113184"</f>
        <v>GC 113184</v>
      </c>
      <c r="F423" t="str">
        <f>"INV GC 113184"</f>
        <v>INV GC 113184</v>
      </c>
      <c r="G423" s="4">
        <v>40.96</v>
      </c>
      <c r="H423" t="str">
        <f>"INV GC 113184"</f>
        <v>INV GC 113184</v>
      </c>
    </row>
    <row r="424" spans="1:8" x14ac:dyDescent="0.25">
      <c r="A424" t="s">
        <v>118</v>
      </c>
      <c r="B424">
        <v>3864</v>
      </c>
      <c r="C424" s="4">
        <v>791.81</v>
      </c>
      <c r="D424" s="1">
        <v>44222</v>
      </c>
      <c r="E424" t="str">
        <f>"113185"</f>
        <v>113185</v>
      </c>
      <c r="F424" t="str">
        <f>"INV GC 113185"</f>
        <v>INV GC 113185</v>
      </c>
      <c r="G424" s="4">
        <v>40.96</v>
      </c>
      <c r="H424" t="str">
        <f>"INV GC 113185"</f>
        <v>INV GC 113185</v>
      </c>
    </row>
    <row r="425" spans="1:8" x14ac:dyDescent="0.25">
      <c r="E425" t="str">
        <f>"113229"</f>
        <v>113229</v>
      </c>
      <c r="F425" t="str">
        <f>"INV GC 113229"</f>
        <v>INV GC 113229</v>
      </c>
      <c r="G425" s="4">
        <v>558.72</v>
      </c>
      <c r="H425" t="str">
        <f>"INV GC 113229"</f>
        <v>INV GC 113229</v>
      </c>
    </row>
    <row r="426" spans="1:8" x14ac:dyDescent="0.25">
      <c r="E426" t="str">
        <f>"113246"</f>
        <v>113246</v>
      </c>
      <c r="F426" t="str">
        <f>"INV GC 113246"</f>
        <v>INV GC 113246</v>
      </c>
      <c r="G426" s="4">
        <v>40.96</v>
      </c>
      <c r="H426" t="str">
        <f>"INV GC 113246"</f>
        <v>INV GC 113246</v>
      </c>
    </row>
    <row r="427" spans="1:8" x14ac:dyDescent="0.25">
      <c r="E427" t="str">
        <f>"113247"</f>
        <v>113247</v>
      </c>
      <c r="F427" t="str">
        <f>"INV 113247"</f>
        <v>INV 113247</v>
      </c>
      <c r="G427" s="4">
        <v>61.44</v>
      </c>
      <c r="H427" t="str">
        <f>"INV 113247"</f>
        <v>INV 113247</v>
      </c>
    </row>
    <row r="428" spans="1:8" x14ac:dyDescent="0.25">
      <c r="E428" t="str">
        <f>"113249"</f>
        <v>113249</v>
      </c>
      <c r="F428" t="str">
        <f>"INV GC 113249"</f>
        <v>INV GC 113249</v>
      </c>
      <c r="G428" s="4">
        <v>48.77</v>
      </c>
      <c r="H428" t="str">
        <f>"INV GC 113249"</f>
        <v>INV GC 113249</v>
      </c>
    </row>
    <row r="429" spans="1:8" x14ac:dyDescent="0.25">
      <c r="E429" t="str">
        <f>"113306"</f>
        <v>113306</v>
      </c>
      <c r="F429" t="str">
        <f>"INV GC 113306"</f>
        <v>INV GC 113306</v>
      </c>
      <c r="G429" s="4">
        <v>40.96</v>
      </c>
      <c r="H429" t="str">
        <f>"INV GC 113306"</f>
        <v>INV GC 113306</v>
      </c>
    </row>
    <row r="430" spans="1:8" x14ac:dyDescent="0.25">
      <c r="A430" t="s">
        <v>119</v>
      </c>
      <c r="B430">
        <v>134315</v>
      </c>
      <c r="C430" s="4">
        <v>1777.05</v>
      </c>
      <c r="D430" s="1">
        <v>44207</v>
      </c>
      <c r="E430" t="str">
        <f>"015786744 01582845"</f>
        <v>015786744 01582845</v>
      </c>
      <c r="F430" t="str">
        <f>"INV 015786744/015828454/"</f>
        <v>INV 015786744/015828454/</v>
      </c>
      <c r="G430" s="4">
        <v>576</v>
      </c>
      <c r="H430" t="str">
        <f>"INV 015786744"</f>
        <v>INV 015786744</v>
      </c>
    </row>
    <row r="431" spans="1:8" x14ac:dyDescent="0.25">
      <c r="E431" t="str">
        <f>""</f>
        <v/>
      </c>
      <c r="F431" t="str">
        <f>""</f>
        <v/>
      </c>
      <c r="H431" t="str">
        <f>"INV 015828454"</f>
        <v>INV 015828454</v>
      </c>
    </row>
    <row r="432" spans="1:8" x14ac:dyDescent="0.25">
      <c r="E432" t="str">
        <f>""</f>
        <v/>
      </c>
      <c r="F432" t="str">
        <f>""</f>
        <v/>
      </c>
      <c r="H432" t="str">
        <f>"INV 015818717"</f>
        <v>INV 015818717</v>
      </c>
    </row>
    <row r="433" spans="1:8" x14ac:dyDescent="0.25">
      <c r="E433" t="str">
        <f>""</f>
        <v/>
      </c>
      <c r="F433" t="str">
        <f>""</f>
        <v/>
      </c>
      <c r="H433" t="str">
        <f>"INV 017283475"</f>
        <v>INV 017283475</v>
      </c>
    </row>
    <row r="434" spans="1:8" x14ac:dyDescent="0.25">
      <c r="E434" t="str">
        <f>"017121738 01721982"</f>
        <v>017121738 01721982</v>
      </c>
      <c r="F434" t="str">
        <f>"INV 017121738"</f>
        <v>INV 017121738</v>
      </c>
      <c r="G434" s="4">
        <v>688.05</v>
      </c>
      <c r="H434" t="str">
        <f>"INV 017121738"</f>
        <v>INV 017121738</v>
      </c>
    </row>
    <row r="435" spans="1:8" x14ac:dyDescent="0.25">
      <c r="E435" t="str">
        <f>""</f>
        <v/>
      </c>
      <c r="F435" t="str">
        <f>""</f>
        <v/>
      </c>
      <c r="H435" t="str">
        <f>"INV 017219827"</f>
        <v>INV 017219827</v>
      </c>
    </row>
    <row r="436" spans="1:8" x14ac:dyDescent="0.25">
      <c r="E436" t="str">
        <f>"017219841"</f>
        <v>017219841</v>
      </c>
      <c r="F436" t="str">
        <f>"INV 017219841"</f>
        <v>INV 017219841</v>
      </c>
      <c r="G436" s="4">
        <v>36</v>
      </c>
      <c r="H436" t="str">
        <f>"INV 017219841"</f>
        <v>INV 017219841</v>
      </c>
    </row>
    <row r="437" spans="1:8" x14ac:dyDescent="0.25">
      <c r="E437" t="str">
        <f>"017219842"</f>
        <v>017219842</v>
      </c>
      <c r="F437" t="str">
        <f>"INV 017219842"</f>
        <v>INV 017219842</v>
      </c>
      <c r="G437" s="4">
        <v>417</v>
      </c>
      <c r="H437" t="str">
        <f>"INV 017219842"</f>
        <v>INV 017219842</v>
      </c>
    </row>
    <row r="438" spans="1:8" x14ac:dyDescent="0.25">
      <c r="E438" t="str">
        <f>"017219844 01721984"</f>
        <v>017219844 01721984</v>
      </c>
      <c r="F438" t="str">
        <f>"INV 017219844/017219843"</f>
        <v>INV 017219844/017219843</v>
      </c>
      <c r="G438" s="4">
        <v>24</v>
      </c>
      <c r="H438" t="str">
        <f>"INV 017219844"</f>
        <v>INV 017219844</v>
      </c>
    </row>
    <row r="439" spans="1:8" x14ac:dyDescent="0.25">
      <c r="E439" t="str">
        <f>""</f>
        <v/>
      </c>
      <c r="F439" t="str">
        <f>""</f>
        <v/>
      </c>
      <c r="H439" t="str">
        <f>"INV 017219843"</f>
        <v>INV 017219843</v>
      </c>
    </row>
    <row r="440" spans="1:8" x14ac:dyDescent="0.25">
      <c r="E440" t="str">
        <f>"017219868"</f>
        <v>017219868</v>
      </c>
      <c r="F440" t="str">
        <f>"INV 017219868"</f>
        <v>INV 017219868</v>
      </c>
      <c r="G440" s="4">
        <v>36</v>
      </c>
      <c r="H440" t="str">
        <f>"INV 017219868"</f>
        <v>INV 017219868</v>
      </c>
    </row>
    <row r="441" spans="1:8" x14ac:dyDescent="0.25">
      <c r="A441" t="s">
        <v>119</v>
      </c>
      <c r="B441">
        <v>134425</v>
      </c>
      <c r="C441" s="4">
        <v>1391.09</v>
      </c>
      <c r="D441" s="1">
        <v>44221</v>
      </c>
      <c r="E441" t="str">
        <f>"017121769"</f>
        <v>017121769</v>
      </c>
      <c r="F441" t="str">
        <f>"INV 017121769/017407986"</f>
        <v>INV 017121769/017407986</v>
      </c>
      <c r="G441" s="4">
        <v>340.5</v>
      </c>
      <c r="H441" t="str">
        <f>"INV 017121769"</f>
        <v>INV 017121769</v>
      </c>
    </row>
    <row r="442" spans="1:8" x14ac:dyDescent="0.25">
      <c r="E442" t="str">
        <f>""</f>
        <v/>
      </c>
      <c r="F442" t="str">
        <f>""</f>
        <v/>
      </c>
      <c r="H442" t="str">
        <f>"INV 017407986"</f>
        <v>INV 017407986</v>
      </c>
    </row>
    <row r="443" spans="1:8" x14ac:dyDescent="0.25">
      <c r="E443" t="str">
        <f>"017341560"</f>
        <v>017341560</v>
      </c>
      <c r="F443" t="str">
        <f>"INV 017341560"</f>
        <v>INV 017341560</v>
      </c>
      <c r="G443" s="4">
        <v>339.6</v>
      </c>
      <c r="H443" t="str">
        <f>"INV 017341560"</f>
        <v>INV 017341560</v>
      </c>
    </row>
    <row r="444" spans="1:8" x14ac:dyDescent="0.25">
      <c r="E444" t="str">
        <f>"017341571"</f>
        <v>017341571</v>
      </c>
      <c r="F444" t="str">
        <f>"INV 017341571"</f>
        <v>INV 017341571</v>
      </c>
      <c r="G444" s="4">
        <v>332</v>
      </c>
      <c r="H444" t="str">
        <f>"INV 017341571"</f>
        <v>INV 017341571</v>
      </c>
    </row>
    <row r="445" spans="1:8" x14ac:dyDescent="0.25">
      <c r="E445" t="str">
        <f>"017352970"</f>
        <v>017352970</v>
      </c>
      <c r="F445" t="str">
        <f>"INV 017352970"</f>
        <v>INV 017352970</v>
      </c>
      <c r="G445" s="4">
        <v>332</v>
      </c>
      <c r="H445" t="str">
        <f>"INV 017352970"</f>
        <v>INV 017352970</v>
      </c>
    </row>
    <row r="446" spans="1:8" x14ac:dyDescent="0.25">
      <c r="E446" t="str">
        <f>"017408021"</f>
        <v>017408021</v>
      </c>
      <c r="F446" t="str">
        <f>"INV 017408021"</f>
        <v>INV 017408021</v>
      </c>
      <c r="G446" s="4">
        <v>46.99</v>
      </c>
      <c r="H446" t="str">
        <f>"INV 017408021"</f>
        <v>INV 017408021</v>
      </c>
    </row>
    <row r="447" spans="1:8" x14ac:dyDescent="0.25">
      <c r="A447" t="s">
        <v>120</v>
      </c>
      <c r="B447">
        <v>134426</v>
      </c>
      <c r="C447" s="4">
        <v>100</v>
      </c>
      <c r="D447" s="1">
        <v>44221</v>
      </c>
      <c r="E447" t="str">
        <f>"202101141213"</f>
        <v>202101141213</v>
      </c>
      <c r="F447" t="str">
        <f>"MEMBERSHIP -MARIDEL BORREGO"</f>
        <v>MEMBERSHIP -MARIDEL BORREGO</v>
      </c>
      <c r="G447" s="4">
        <v>50</v>
      </c>
      <c r="H447" t="str">
        <f>"MEMBERSHIP -MARIDEL BORREGO"</f>
        <v>MEMBERSHIP -MARIDEL BORREGO</v>
      </c>
    </row>
    <row r="448" spans="1:8" x14ac:dyDescent="0.25">
      <c r="E448" t="str">
        <f>"202101141214"</f>
        <v>202101141214</v>
      </c>
      <c r="F448" t="str">
        <f>"MEMBERSHIP- JACQUELINE SALAZAR"</f>
        <v>MEMBERSHIP- JACQUELINE SALAZAR</v>
      </c>
      <c r="G448" s="4">
        <v>50</v>
      </c>
      <c r="H448" t="str">
        <f>"MEMBERSHIP- JACQUELINE SALAZAR"</f>
        <v>MEMBERSHIP- JACQUELINE SALAZAR</v>
      </c>
    </row>
    <row r="449" spans="1:8" x14ac:dyDescent="0.25">
      <c r="A449" t="s">
        <v>121</v>
      </c>
      <c r="B449">
        <v>134427</v>
      </c>
      <c r="C449" s="4">
        <v>1075</v>
      </c>
      <c r="D449" s="1">
        <v>44221</v>
      </c>
      <c r="E449" t="str">
        <f>"1121"</f>
        <v>1121</v>
      </c>
      <c r="F449" t="str">
        <f>"TRANSPORT/J. POUNDS"</f>
        <v>TRANSPORT/J. POUNDS</v>
      </c>
      <c r="G449" s="4">
        <v>400</v>
      </c>
      <c r="H449" t="str">
        <f>"TRANSPORT/J. POUNDS"</f>
        <v>TRANSPORT/J. POUNDS</v>
      </c>
    </row>
    <row r="450" spans="1:8" x14ac:dyDescent="0.25">
      <c r="E450" t="str">
        <f>"202101201257"</f>
        <v>202101201257</v>
      </c>
      <c r="F450" t="str">
        <f>"TRANSPORT/A. DAVIS"</f>
        <v>TRANSPORT/A. DAVIS</v>
      </c>
      <c r="G450" s="4">
        <v>675</v>
      </c>
      <c r="H450" t="str">
        <f>"TRANSPORT/A. DAVIS"</f>
        <v>TRANSPORT/A. DAVIS</v>
      </c>
    </row>
    <row r="451" spans="1:8" x14ac:dyDescent="0.25">
      <c r="A451" t="s">
        <v>122</v>
      </c>
      <c r="B451">
        <v>134428</v>
      </c>
      <c r="C451" s="4">
        <v>5869.88</v>
      </c>
      <c r="D451" s="1">
        <v>44221</v>
      </c>
      <c r="E451" t="str">
        <f>"70312391"</f>
        <v>70312391</v>
      </c>
      <c r="F451" t="str">
        <f>"GOVCONNECTION INC"</f>
        <v>GOVCONNECTION INC</v>
      </c>
      <c r="G451" s="4">
        <v>5869.88</v>
      </c>
      <c r="H451" t="str">
        <f>"Expansion Pak"</f>
        <v>Expansion Pak</v>
      </c>
    </row>
    <row r="452" spans="1:8" x14ac:dyDescent="0.25">
      <c r="A452" t="s">
        <v>123</v>
      </c>
      <c r="B452">
        <v>134316</v>
      </c>
      <c r="C452" s="4">
        <v>35405</v>
      </c>
      <c r="D452" s="1">
        <v>44207</v>
      </c>
      <c r="E452" t="str">
        <f>"202101061044"</f>
        <v>202101061044</v>
      </c>
      <c r="F452" t="str">
        <f>"GRAPEVINE DODGE CHRYSLER JEEP"</f>
        <v>GRAPEVINE DODGE CHRYSLER JEEP</v>
      </c>
      <c r="G452" s="4">
        <v>12700</v>
      </c>
      <c r="H452" t="str">
        <f>"2019 Jeep Compass"</f>
        <v>2019 Jeep Compass</v>
      </c>
    </row>
    <row r="453" spans="1:8" x14ac:dyDescent="0.25">
      <c r="E453" t="str">
        <f>""</f>
        <v/>
      </c>
      <c r="F453" t="str">
        <f>""</f>
        <v/>
      </c>
      <c r="H453" t="str">
        <f>"HGAC Fee"</f>
        <v>HGAC Fee</v>
      </c>
    </row>
    <row r="454" spans="1:8" x14ac:dyDescent="0.25">
      <c r="E454" t="str">
        <f>""</f>
        <v/>
      </c>
      <c r="F454" t="str">
        <f>""</f>
        <v/>
      </c>
      <c r="H454" t="str">
        <f>"Trade In 08 Chev Van"</f>
        <v>Trade In 08 Chev Van</v>
      </c>
    </row>
    <row r="455" spans="1:8" x14ac:dyDescent="0.25">
      <c r="E455" t="str">
        <f>""</f>
        <v/>
      </c>
      <c r="F455" t="str">
        <f>""</f>
        <v/>
      </c>
      <c r="H455" t="str">
        <f>"Trade In 2010 F250"</f>
        <v>Trade In 2010 F250</v>
      </c>
    </row>
    <row r="456" spans="1:8" x14ac:dyDescent="0.25">
      <c r="E456" t="str">
        <f>""</f>
        <v/>
      </c>
      <c r="F456" t="str">
        <f>""</f>
        <v/>
      </c>
      <c r="H456" t="str">
        <f>"Trade In 2001 F150"</f>
        <v>Trade In 2001 F150</v>
      </c>
    </row>
    <row r="457" spans="1:8" x14ac:dyDescent="0.25">
      <c r="E457" t="str">
        <f>""</f>
        <v/>
      </c>
      <c r="F457" t="str">
        <f>""</f>
        <v/>
      </c>
      <c r="H457" t="str">
        <f>"Freight"</f>
        <v>Freight</v>
      </c>
    </row>
    <row r="458" spans="1:8" x14ac:dyDescent="0.25">
      <c r="E458" t="str">
        <f>"202101061045"</f>
        <v>202101061045</v>
      </c>
      <c r="F458" t="str">
        <f>"GRAPEVINE DODGE CHRYSLER JEEP"</f>
        <v>GRAPEVINE DODGE CHRYSLER JEEP</v>
      </c>
      <c r="G458" s="4">
        <v>22705</v>
      </c>
      <c r="H458" t="str">
        <f>"2019 Dodge 1500"</f>
        <v>2019 Dodge 1500</v>
      </c>
    </row>
    <row r="459" spans="1:8" x14ac:dyDescent="0.25">
      <c r="E459" t="str">
        <f>""</f>
        <v/>
      </c>
      <c r="F459" t="str">
        <f>""</f>
        <v/>
      </c>
      <c r="H459" t="str">
        <f>"Buyboard Fee"</f>
        <v>Buyboard Fee</v>
      </c>
    </row>
    <row r="460" spans="1:8" x14ac:dyDescent="0.25">
      <c r="A460" t="s">
        <v>124</v>
      </c>
      <c r="B460">
        <v>134429</v>
      </c>
      <c r="C460" s="4">
        <v>364.4</v>
      </c>
      <c r="D460" s="1">
        <v>44221</v>
      </c>
      <c r="E460" t="str">
        <f>"202101201333"</f>
        <v>202101201333</v>
      </c>
      <c r="F460" t="str">
        <f>"INTERPRETER"</f>
        <v>INTERPRETER</v>
      </c>
      <c r="G460" s="4">
        <v>364.4</v>
      </c>
      <c r="H460" t="str">
        <f>"INTERPRETER"</f>
        <v>INTERPRETER</v>
      </c>
    </row>
    <row r="461" spans="1:8" x14ac:dyDescent="0.25">
      <c r="A461" t="s">
        <v>125</v>
      </c>
      <c r="B461">
        <v>3876</v>
      </c>
      <c r="C461" s="4">
        <v>3289.39</v>
      </c>
      <c r="D461" s="1">
        <v>44222</v>
      </c>
      <c r="E461" t="str">
        <f>"1985401"</f>
        <v>1985401</v>
      </c>
      <c r="F461" t="str">
        <f>"Invoice"</f>
        <v>Invoice</v>
      </c>
      <c r="G461" s="4">
        <v>698</v>
      </c>
      <c r="H461" t="str">
        <f>"N105FXL"</f>
        <v>N105FXL</v>
      </c>
    </row>
    <row r="462" spans="1:8" x14ac:dyDescent="0.25">
      <c r="E462" t="str">
        <f>"1985406"</f>
        <v>1985406</v>
      </c>
      <c r="F462" t="str">
        <f>"Invoice"</f>
        <v>Invoice</v>
      </c>
      <c r="G462" s="4">
        <v>651.29999999999995</v>
      </c>
      <c r="H462" t="str">
        <f>"32ROUNDC"</f>
        <v>32ROUNDC</v>
      </c>
    </row>
    <row r="463" spans="1:8" x14ac:dyDescent="0.25">
      <c r="E463" t="str">
        <f>""</f>
        <v/>
      </c>
      <c r="F463" t="str">
        <f>""</f>
        <v/>
      </c>
      <c r="H463" t="str">
        <f>"13TOFFC"</f>
        <v>13TOFFC</v>
      </c>
    </row>
    <row r="464" spans="1:8" x14ac:dyDescent="0.25">
      <c r="E464" t="str">
        <f>"1985407"</f>
        <v>1985407</v>
      </c>
      <c r="F464" t="str">
        <f>"Invoice"</f>
        <v>Invoice</v>
      </c>
      <c r="G464" s="4">
        <v>54.38</v>
      </c>
      <c r="H464" t="str">
        <f>"CREWBOWLCLN"</f>
        <v>CREWBOWLCLN</v>
      </c>
    </row>
    <row r="465" spans="1:8" x14ac:dyDescent="0.25">
      <c r="E465" t="str">
        <f>"19888982"</f>
        <v>19888982</v>
      </c>
      <c r="F465" t="str">
        <f>"Invoice"</f>
        <v>Invoice</v>
      </c>
      <c r="G465" s="4">
        <v>428.31</v>
      </c>
      <c r="H465" t="str">
        <f>"9T75"</f>
        <v>9T75</v>
      </c>
    </row>
    <row r="466" spans="1:8" x14ac:dyDescent="0.25">
      <c r="E466" t="str">
        <f>"1988984"</f>
        <v>1988984</v>
      </c>
      <c r="F466" t="str">
        <f>"INV 1988984"</f>
        <v>INV 1988984</v>
      </c>
      <c r="G466" s="4">
        <v>1274.0999999999999</v>
      </c>
      <c r="H466" t="str">
        <f>"INV 1988984"</f>
        <v>INV 1988984</v>
      </c>
    </row>
    <row r="467" spans="1:8" x14ac:dyDescent="0.25">
      <c r="E467" t="str">
        <f>"1988985"</f>
        <v>1988985</v>
      </c>
      <c r="F467" t="str">
        <f>"INV 1988985"</f>
        <v>INV 1988985</v>
      </c>
      <c r="G467" s="4">
        <v>183.3</v>
      </c>
      <c r="H467" t="str">
        <f>"INV 1988985"</f>
        <v>INV 1988985</v>
      </c>
    </row>
    <row r="468" spans="1:8" x14ac:dyDescent="0.25">
      <c r="A468" t="s">
        <v>126</v>
      </c>
      <c r="B468">
        <v>134430</v>
      </c>
      <c r="C468" s="4">
        <v>1005</v>
      </c>
      <c r="D468" s="1">
        <v>44221</v>
      </c>
      <c r="E468" t="str">
        <f>"1033682"</f>
        <v>1033682</v>
      </c>
      <c r="F468" t="str">
        <f>"ACCT#60128 PCT#4"</f>
        <v>ACCT#60128 PCT#4</v>
      </c>
      <c r="G468" s="4">
        <v>225</v>
      </c>
      <c r="H468" t="str">
        <f>"ACCT#60128 PCT#4"</f>
        <v>ACCT#60128 PCT#4</v>
      </c>
    </row>
    <row r="469" spans="1:8" x14ac:dyDescent="0.25">
      <c r="E469" t="str">
        <f>"1050431"</f>
        <v>1050431</v>
      </c>
      <c r="F469" t="str">
        <f>"ACCT#60128 PCT#4"</f>
        <v>ACCT#60128 PCT#4</v>
      </c>
      <c r="G469" s="4">
        <v>360</v>
      </c>
      <c r="H469" t="str">
        <f>"ACCT#60128 PCT#4"</f>
        <v>ACCT#60128 PCT#4</v>
      </c>
    </row>
    <row r="470" spans="1:8" x14ac:dyDescent="0.25">
      <c r="E470" t="str">
        <f>"1057247"</f>
        <v>1057247</v>
      </c>
      <c r="F470" t="str">
        <f>"ACCT:60128 PCT#4"</f>
        <v>ACCT:60128 PCT#4</v>
      </c>
      <c r="G470" s="4">
        <v>195</v>
      </c>
      <c r="H470" t="str">
        <f>"ACCT:60128 PCT#4"</f>
        <v>ACCT:60128 PCT#4</v>
      </c>
    </row>
    <row r="471" spans="1:8" x14ac:dyDescent="0.25">
      <c r="E471" t="str">
        <f>"1068884"</f>
        <v>1068884</v>
      </c>
      <c r="F471" t="str">
        <f>"ACCT#60128 PCT#4"</f>
        <v>ACCT#60128 PCT#4</v>
      </c>
      <c r="G471" s="4">
        <v>225</v>
      </c>
      <c r="H471" t="str">
        <f>"ACCT#60128 PCT#4"</f>
        <v>ACCT#60128 PCT#4</v>
      </c>
    </row>
    <row r="472" spans="1:8" x14ac:dyDescent="0.25">
      <c r="A472" t="s">
        <v>127</v>
      </c>
      <c r="B472">
        <v>3874</v>
      </c>
      <c r="C472" s="4">
        <v>24971.9</v>
      </c>
      <c r="D472" s="1">
        <v>44222</v>
      </c>
      <c r="E472" t="str">
        <f>"10047081"</f>
        <v>10047081</v>
      </c>
      <c r="F472" t="str">
        <f>"PROJECT#035837.001/FLOOD STUDY"</f>
        <v>PROJECT#035837.001/FLOOD STUDY</v>
      </c>
      <c r="G472" s="4">
        <v>24971.9</v>
      </c>
      <c r="H472" t="str">
        <f>"PROJECT#035837.001/FLOOD STUDY"</f>
        <v>PROJECT#035837.001/FLOOD STUDY</v>
      </c>
    </row>
    <row r="473" spans="1:8" x14ac:dyDescent="0.25">
      <c r="A473" t="s">
        <v>128</v>
      </c>
      <c r="B473">
        <v>134431</v>
      </c>
      <c r="C473" s="4">
        <v>75</v>
      </c>
      <c r="D473" s="1">
        <v>44221</v>
      </c>
      <c r="E473" t="str">
        <f>"13011"</f>
        <v>13011</v>
      </c>
      <c r="F473" t="str">
        <f>"SERVICE"</f>
        <v>SERVICE</v>
      </c>
      <c r="G473" s="4">
        <v>75</v>
      </c>
      <c r="H473" t="str">
        <f>"SERVICE"</f>
        <v>SERVICE</v>
      </c>
    </row>
    <row r="474" spans="1:8" x14ac:dyDescent="0.25">
      <c r="A474" t="s">
        <v>129</v>
      </c>
      <c r="B474">
        <v>3852</v>
      </c>
      <c r="C474" s="4">
        <v>730.25</v>
      </c>
      <c r="D474" s="1">
        <v>44222</v>
      </c>
      <c r="E474" t="str">
        <f>"12012100"</f>
        <v>12012100</v>
      </c>
      <c r="F474" t="str">
        <f>"19-19849"</f>
        <v>19-19849</v>
      </c>
      <c r="G474" s="4">
        <v>730.25</v>
      </c>
      <c r="H474" t="str">
        <f>"19-19849"</f>
        <v>19-19849</v>
      </c>
    </row>
    <row r="475" spans="1:8" x14ac:dyDescent="0.25">
      <c r="A475" t="s">
        <v>130</v>
      </c>
      <c r="B475">
        <v>134317</v>
      </c>
      <c r="C475" s="4">
        <v>549.82000000000005</v>
      </c>
      <c r="D475" s="1">
        <v>44207</v>
      </c>
      <c r="E475" t="str">
        <f>"S102211333.001"</f>
        <v>S102211333.001</v>
      </c>
      <c r="F475" t="str">
        <f>"INV S102211333.001"</f>
        <v>INV S102211333.001</v>
      </c>
      <c r="G475" s="4">
        <v>549.82000000000005</v>
      </c>
      <c r="H475" t="str">
        <f>"INV S102211333.001"</f>
        <v>INV S102211333.001</v>
      </c>
    </row>
    <row r="476" spans="1:8" x14ac:dyDescent="0.25">
      <c r="A476" t="s">
        <v>131</v>
      </c>
      <c r="B476">
        <v>3866</v>
      </c>
      <c r="C476" s="4">
        <v>650</v>
      </c>
      <c r="D476" s="1">
        <v>44222</v>
      </c>
      <c r="E476" t="str">
        <f>"202101201251"</f>
        <v>202101201251</v>
      </c>
      <c r="F476" t="str">
        <f>"BASCOM L HODGES JR"</f>
        <v>BASCOM L HODGES JR</v>
      </c>
      <c r="G476" s="4">
        <v>650</v>
      </c>
      <c r="H476" t="str">
        <f>""</f>
        <v/>
      </c>
    </row>
    <row r="477" spans="1:8" x14ac:dyDescent="0.25">
      <c r="A477" t="s">
        <v>132</v>
      </c>
      <c r="B477">
        <v>134318</v>
      </c>
      <c r="C477" s="4">
        <v>75</v>
      </c>
      <c r="D477" s="1">
        <v>44207</v>
      </c>
      <c r="E477" t="str">
        <f>"202101040960"</f>
        <v>202101040960</v>
      </c>
      <c r="F477" t="str">
        <f>"19-19540"</f>
        <v>19-19540</v>
      </c>
      <c r="G477" s="4">
        <v>75</v>
      </c>
      <c r="H477" t="str">
        <f>"19-19540"</f>
        <v>19-19540</v>
      </c>
    </row>
    <row r="478" spans="1:8" x14ac:dyDescent="0.25">
      <c r="A478" t="s">
        <v>132</v>
      </c>
      <c r="B478">
        <v>134432</v>
      </c>
      <c r="C478" s="4">
        <v>1800</v>
      </c>
      <c r="D478" s="1">
        <v>44221</v>
      </c>
      <c r="E478" t="str">
        <f>"202101121179"</f>
        <v>202101121179</v>
      </c>
      <c r="F478" t="str">
        <f>"423-3804"</f>
        <v>423-3804</v>
      </c>
      <c r="G478" s="4">
        <v>175</v>
      </c>
      <c r="H478" t="str">
        <f>"423-3804"</f>
        <v>423-3804</v>
      </c>
    </row>
    <row r="479" spans="1:8" x14ac:dyDescent="0.25">
      <c r="E479" t="str">
        <f>"202101121180"</f>
        <v>202101121180</v>
      </c>
      <c r="F479" t="str">
        <f>"423-4129"</f>
        <v>423-4129</v>
      </c>
      <c r="G479" s="4">
        <v>100</v>
      </c>
      <c r="H479" t="str">
        <f>"423-4129"</f>
        <v>423-4129</v>
      </c>
    </row>
    <row r="480" spans="1:8" x14ac:dyDescent="0.25">
      <c r="E480" t="str">
        <f>"202101201276"</f>
        <v>202101201276</v>
      </c>
      <c r="F480" t="str">
        <f>"19-19849"</f>
        <v>19-19849</v>
      </c>
      <c r="G480" s="4">
        <v>1275</v>
      </c>
      <c r="H480" t="str">
        <f>"19-19849"</f>
        <v>19-19849</v>
      </c>
    </row>
    <row r="481" spans="1:8" x14ac:dyDescent="0.25">
      <c r="E481" t="str">
        <f>"202101201277"</f>
        <v>202101201277</v>
      </c>
      <c r="F481" t="str">
        <f>"57-184"</f>
        <v>57-184</v>
      </c>
      <c r="G481" s="4">
        <v>250</v>
      </c>
      <c r="H481" t="str">
        <f>"57-184"</f>
        <v>57-184</v>
      </c>
    </row>
    <row r="482" spans="1:8" x14ac:dyDescent="0.25">
      <c r="A482" t="s">
        <v>133</v>
      </c>
      <c r="B482">
        <v>3798</v>
      </c>
      <c r="C482" s="4">
        <v>810.37</v>
      </c>
      <c r="D482" s="1">
        <v>44208</v>
      </c>
      <c r="E482" t="str">
        <f>"PIMA0346041"</f>
        <v>PIMA0346041</v>
      </c>
      <c r="F482" t="str">
        <f>"CUST#0129150/PCT#3"</f>
        <v>CUST#0129150/PCT#3</v>
      </c>
      <c r="G482" s="4">
        <v>192.37</v>
      </c>
      <c r="H482" t="str">
        <f>"CUST#0129150/PCT#3"</f>
        <v>CUST#0129150/PCT#3</v>
      </c>
    </row>
    <row r="483" spans="1:8" x14ac:dyDescent="0.25">
      <c r="E483" t="str">
        <f>"PIMA0346440"</f>
        <v>PIMA0346440</v>
      </c>
      <c r="F483" t="str">
        <f>"CUST#0129150/PCT#3"</f>
        <v>CUST#0129150/PCT#3</v>
      </c>
      <c r="G483" s="4">
        <v>505.32</v>
      </c>
      <c r="H483" t="str">
        <f>"CUST#0129150/PCT#3"</f>
        <v>CUST#0129150/PCT#3</v>
      </c>
    </row>
    <row r="484" spans="1:8" x14ac:dyDescent="0.25">
      <c r="E484" t="str">
        <f>"PIMA0346551"</f>
        <v>PIMA0346551</v>
      </c>
      <c r="F484" t="str">
        <f>"CUST#0129150/PCT#3"</f>
        <v>CUST#0129150/PCT#3</v>
      </c>
      <c r="G484" s="4">
        <v>54.2</v>
      </c>
      <c r="H484" t="str">
        <f>"CUST#0129150/PCT#3"</f>
        <v>CUST#0129150/PCT#3</v>
      </c>
    </row>
    <row r="485" spans="1:8" x14ac:dyDescent="0.25">
      <c r="E485" t="str">
        <f>"PIMA0346552"</f>
        <v>PIMA0346552</v>
      </c>
      <c r="F485" t="str">
        <f>"CUST#0129150/PCT#3"</f>
        <v>CUST#0129150/PCT#3</v>
      </c>
      <c r="G485" s="4">
        <v>58.48</v>
      </c>
      <c r="H485" t="str">
        <f>"CUST#0129150/PCT#3"</f>
        <v>CUST#0129150/PCT#3</v>
      </c>
    </row>
    <row r="486" spans="1:8" x14ac:dyDescent="0.25">
      <c r="A486" t="s">
        <v>133</v>
      </c>
      <c r="B486">
        <v>3865</v>
      </c>
      <c r="C486" s="4">
        <v>1472.37</v>
      </c>
      <c r="D486" s="1">
        <v>44222</v>
      </c>
      <c r="E486" t="str">
        <f>"PIM60035221"</f>
        <v>PIM60035221</v>
      </c>
      <c r="F486" t="str">
        <f>"CUST#0129050 PCT#1"</f>
        <v>CUST#0129050 PCT#1</v>
      </c>
      <c r="G486" s="4">
        <v>41.8</v>
      </c>
      <c r="H486" t="str">
        <f>"CUST#0129050 PCT#1"</f>
        <v>CUST#0129050 PCT#1</v>
      </c>
    </row>
    <row r="487" spans="1:8" x14ac:dyDescent="0.25">
      <c r="E487" t="str">
        <f>"PIM60045377"</f>
        <v>PIM60045377</v>
      </c>
      <c r="F487" t="str">
        <f>"CUST#0129050 PCT #1"</f>
        <v>CUST#0129050 PCT #1</v>
      </c>
      <c r="G487" s="4">
        <v>441.29</v>
      </c>
      <c r="H487" t="str">
        <f>"CUST#0129050 PCT #1"</f>
        <v>CUST#0129050 PCT #1</v>
      </c>
    </row>
    <row r="488" spans="1:8" x14ac:dyDescent="0.25">
      <c r="E488" t="str">
        <f>"PIMA0346865"</f>
        <v>PIMA0346865</v>
      </c>
      <c r="F488" t="str">
        <f>"CUST#0129150 PCT#3"</f>
        <v>CUST#0129150 PCT#3</v>
      </c>
      <c r="G488" s="4">
        <v>59.16</v>
      </c>
      <c r="H488" t="str">
        <f>"CUST#0129150 PCT#3"</f>
        <v>CUST#0129150 PCT#3</v>
      </c>
    </row>
    <row r="489" spans="1:8" x14ac:dyDescent="0.25">
      <c r="E489" t="str">
        <f>"PIMA0346955"</f>
        <v>PIMA0346955</v>
      </c>
      <c r="F489" t="str">
        <f>"CUST# 0129150"</f>
        <v>CUST# 0129150</v>
      </c>
      <c r="G489" s="4">
        <v>227.92</v>
      </c>
      <c r="H489" t="str">
        <f>"CUST# 0129150"</f>
        <v>CUST# 0129150</v>
      </c>
    </row>
    <row r="490" spans="1:8" x14ac:dyDescent="0.25">
      <c r="E490" t="str">
        <f>"PIMA036778"</f>
        <v>PIMA036778</v>
      </c>
      <c r="F490" t="str">
        <f>"PARTS TOOTH /PCT#4"</f>
        <v>PARTS TOOTH /PCT#4</v>
      </c>
      <c r="G490" s="4">
        <v>702.2</v>
      </c>
      <c r="H490" t="str">
        <f>"PARTS TOOTH /PCT#4"</f>
        <v>PARTS TOOTH /PCT#4</v>
      </c>
    </row>
    <row r="491" spans="1:8" x14ac:dyDescent="0.25">
      <c r="A491" t="s">
        <v>134</v>
      </c>
      <c r="B491">
        <v>134433</v>
      </c>
      <c r="C491" s="4">
        <v>3033.34</v>
      </c>
      <c r="D491" s="1">
        <v>44221</v>
      </c>
      <c r="E491" t="str">
        <f>"202101131188"</f>
        <v>202101131188</v>
      </c>
      <c r="F491" t="str">
        <f>"Statement"</f>
        <v>Statement</v>
      </c>
      <c r="G491" s="4">
        <v>3033.34</v>
      </c>
      <c r="H491" t="str">
        <f>"506682"</f>
        <v>506682</v>
      </c>
    </row>
    <row r="492" spans="1:8" x14ac:dyDescent="0.25">
      <c r="E492" t="str">
        <f>""</f>
        <v/>
      </c>
      <c r="F492" t="str">
        <f>""</f>
        <v/>
      </c>
      <c r="H492" t="str">
        <f>"7920259"</f>
        <v>7920259</v>
      </c>
    </row>
    <row r="493" spans="1:8" x14ac:dyDescent="0.25">
      <c r="E493" t="str">
        <f>""</f>
        <v/>
      </c>
      <c r="F493" t="str">
        <f>""</f>
        <v/>
      </c>
      <c r="H493" t="str">
        <f>"5140925"</f>
        <v>5140925</v>
      </c>
    </row>
    <row r="494" spans="1:8" x14ac:dyDescent="0.25">
      <c r="E494" t="str">
        <f>""</f>
        <v/>
      </c>
      <c r="F494" t="str">
        <f>""</f>
        <v/>
      </c>
      <c r="H494" t="str">
        <f>"6011346"</f>
        <v>6011346</v>
      </c>
    </row>
    <row r="495" spans="1:8" x14ac:dyDescent="0.25">
      <c r="E495" t="str">
        <f>""</f>
        <v/>
      </c>
      <c r="F495" t="str">
        <f>""</f>
        <v/>
      </c>
      <c r="H495" t="str">
        <f>"3514065"</f>
        <v>3514065</v>
      </c>
    </row>
    <row r="496" spans="1:8" x14ac:dyDescent="0.25">
      <c r="E496" t="str">
        <f>""</f>
        <v/>
      </c>
      <c r="F496" t="str">
        <f>""</f>
        <v/>
      </c>
      <c r="H496" t="str">
        <f>"1021525"</f>
        <v>1021525</v>
      </c>
    </row>
    <row r="497" spans="5:8" x14ac:dyDescent="0.25">
      <c r="E497" t="str">
        <f>""</f>
        <v/>
      </c>
      <c r="F497" t="str">
        <f>""</f>
        <v/>
      </c>
      <c r="H497" t="str">
        <f>"4543261"</f>
        <v>4543261</v>
      </c>
    </row>
    <row r="498" spans="5:8" x14ac:dyDescent="0.25">
      <c r="E498" t="str">
        <f>""</f>
        <v/>
      </c>
      <c r="F498" t="str">
        <f>""</f>
        <v/>
      </c>
      <c r="H498" t="str">
        <f>"9530086"</f>
        <v>9530086</v>
      </c>
    </row>
    <row r="499" spans="5:8" x14ac:dyDescent="0.25">
      <c r="E499" t="str">
        <f>""</f>
        <v/>
      </c>
      <c r="F499" t="str">
        <f>""</f>
        <v/>
      </c>
      <c r="H499" t="str">
        <f>"6012321"</f>
        <v>6012321</v>
      </c>
    </row>
    <row r="500" spans="5:8" x14ac:dyDescent="0.25">
      <c r="E500" t="str">
        <f>""</f>
        <v/>
      </c>
      <c r="F500" t="str">
        <f>""</f>
        <v/>
      </c>
      <c r="H500" t="str">
        <f>"5121873"</f>
        <v>5121873</v>
      </c>
    </row>
    <row r="501" spans="5:8" x14ac:dyDescent="0.25">
      <c r="E501" t="str">
        <f>""</f>
        <v/>
      </c>
      <c r="F501" t="str">
        <f>""</f>
        <v/>
      </c>
      <c r="H501" t="str">
        <f>"4050292"</f>
        <v>4050292</v>
      </c>
    </row>
    <row r="502" spans="5:8" x14ac:dyDescent="0.25">
      <c r="E502" t="str">
        <f>""</f>
        <v/>
      </c>
      <c r="F502" t="str">
        <f>""</f>
        <v/>
      </c>
      <c r="H502" t="str">
        <f>"2023108"</f>
        <v>2023108</v>
      </c>
    </row>
    <row r="503" spans="5:8" x14ac:dyDescent="0.25">
      <c r="E503" t="str">
        <f>""</f>
        <v/>
      </c>
      <c r="F503" t="str">
        <f>""</f>
        <v/>
      </c>
      <c r="H503" t="str">
        <f>"5010558"</f>
        <v>5010558</v>
      </c>
    </row>
    <row r="504" spans="5:8" x14ac:dyDescent="0.25">
      <c r="E504" t="str">
        <f>""</f>
        <v/>
      </c>
      <c r="F504" t="str">
        <f>""</f>
        <v/>
      </c>
      <c r="H504" t="str">
        <f>"4023913"</f>
        <v>4023913</v>
      </c>
    </row>
    <row r="505" spans="5:8" x14ac:dyDescent="0.25">
      <c r="E505" t="str">
        <f>""</f>
        <v/>
      </c>
      <c r="F505" t="str">
        <f>""</f>
        <v/>
      </c>
      <c r="H505" t="str">
        <f>"7011281"</f>
        <v>7011281</v>
      </c>
    </row>
    <row r="506" spans="5:8" x14ac:dyDescent="0.25">
      <c r="E506" t="str">
        <f>""</f>
        <v/>
      </c>
      <c r="F506" t="str">
        <f>""</f>
        <v/>
      </c>
      <c r="H506" t="str">
        <f>"23350"</f>
        <v>23350</v>
      </c>
    </row>
    <row r="507" spans="5:8" x14ac:dyDescent="0.25">
      <c r="E507" t="str">
        <f>""</f>
        <v/>
      </c>
      <c r="F507" t="str">
        <f>""</f>
        <v/>
      </c>
      <c r="H507" t="str">
        <f>"6510808"</f>
        <v>6510808</v>
      </c>
    </row>
    <row r="508" spans="5:8" x14ac:dyDescent="0.25">
      <c r="E508" t="str">
        <f>""</f>
        <v/>
      </c>
      <c r="F508" t="str">
        <f>""</f>
        <v/>
      </c>
      <c r="H508" t="str">
        <f>"6530906"</f>
        <v>6530906</v>
      </c>
    </row>
    <row r="509" spans="5:8" x14ac:dyDescent="0.25">
      <c r="E509" t="str">
        <f>""</f>
        <v/>
      </c>
      <c r="F509" t="str">
        <f>""</f>
        <v/>
      </c>
      <c r="H509" t="str">
        <f>"2511813"</f>
        <v>2511813</v>
      </c>
    </row>
    <row r="510" spans="5:8" x14ac:dyDescent="0.25">
      <c r="E510" t="str">
        <f>""</f>
        <v/>
      </c>
      <c r="F510" t="str">
        <f>""</f>
        <v/>
      </c>
      <c r="H510" t="str">
        <f>"4140876"</f>
        <v>4140876</v>
      </c>
    </row>
    <row r="511" spans="5:8" x14ac:dyDescent="0.25">
      <c r="E511" t="str">
        <f>""</f>
        <v/>
      </c>
      <c r="F511" t="str">
        <f>""</f>
        <v/>
      </c>
      <c r="H511" t="str">
        <f>"4140876"</f>
        <v>4140876</v>
      </c>
    </row>
    <row r="512" spans="5:8" x14ac:dyDescent="0.25">
      <c r="E512" t="str">
        <f>""</f>
        <v/>
      </c>
      <c r="F512" t="str">
        <f>""</f>
        <v/>
      </c>
      <c r="H512" t="str">
        <f>"8903030"</f>
        <v>8903030</v>
      </c>
    </row>
    <row r="513" spans="1:8" x14ac:dyDescent="0.25">
      <c r="E513" t="str">
        <f>""</f>
        <v/>
      </c>
      <c r="F513" t="str">
        <f>""</f>
        <v/>
      </c>
      <c r="H513" t="str">
        <f>"9970206"</f>
        <v>9970206</v>
      </c>
    </row>
    <row r="514" spans="1:8" x14ac:dyDescent="0.25">
      <c r="E514" t="str">
        <f>""</f>
        <v/>
      </c>
      <c r="F514" t="str">
        <f>""</f>
        <v/>
      </c>
      <c r="H514" t="str">
        <f>"3094462"</f>
        <v>3094462</v>
      </c>
    </row>
    <row r="515" spans="1:8" x14ac:dyDescent="0.25">
      <c r="E515" t="str">
        <f>""</f>
        <v/>
      </c>
      <c r="F515" t="str">
        <f>""</f>
        <v/>
      </c>
      <c r="H515" t="str">
        <f>"8095142"</f>
        <v>8095142</v>
      </c>
    </row>
    <row r="516" spans="1:8" x14ac:dyDescent="0.25">
      <c r="E516" t="str">
        <f>""</f>
        <v/>
      </c>
      <c r="F516" t="str">
        <f>""</f>
        <v/>
      </c>
      <c r="H516" t="str">
        <f>"5540337"</f>
        <v>5540337</v>
      </c>
    </row>
    <row r="517" spans="1:8" x14ac:dyDescent="0.25">
      <c r="E517" t="str">
        <f>""</f>
        <v/>
      </c>
      <c r="F517" t="str">
        <f>""</f>
        <v/>
      </c>
      <c r="H517" t="str">
        <f>"7513752"</f>
        <v>7513752</v>
      </c>
    </row>
    <row r="518" spans="1:8" x14ac:dyDescent="0.25">
      <c r="E518" t="str">
        <f>""</f>
        <v/>
      </c>
      <c r="F518" t="str">
        <f>""</f>
        <v/>
      </c>
      <c r="H518" t="str">
        <f>"102366"</f>
        <v>102366</v>
      </c>
    </row>
    <row r="519" spans="1:8" x14ac:dyDescent="0.25">
      <c r="E519" t="str">
        <f>""</f>
        <v/>
      </c>
      <c r="F519" t="str">
        <f>""</f>
        <v/>
      </c>
      <c r="H519" t="str">
        <f>"14556"</f>
        <v>14556</v>
      </c>
    </row>
    <row r="520" spans="1:8" x14ac:dyDescent="0.25">
      <c r="E520" t="str">
        <f>""</f>
        <v/>
      </c>
      <c r="F520" t="str">
        <f>""</f>
        <v/>
      </c>
      <c r="H520" t="str">
        <f>"14569"</f>
        <v>14569</v>
      </c>
    </row>
    <row r="521" spans="1:8" x14ac:dyDescent="0.25">
      <c r="E521" t="str">
        <f>""</f>
        <v/>
      </c>
      <c r="F521" t="str">
        <f>""</f>
        <v/>
      </c>
      <c r="H521" t="str">
        <f>"20734"</f>
        <v>20734</v>
      </c>
    </row>
    <row r="522" spans="1:8" x14ac:dyDescent="0.25">
      <c r="E522" t="str">
        <f>""</f>
        <v/>
      </c>
      <c r="F522" t="str">
        <f>""</f>
        <v/>
      </c>
      <c r="H522" t="str">
        <f>"9012863"</f>
        <v>9012863</v>
      </c>
    </row>
    <row r="523" spans="1:8" x14ac:dyDescent="0.25">
      <c r="E523" t="str">
        <f>""</f>
        <v/>
      </c>
      <c r="F523" t="str">
        <f>""</f>
        <v/>
      </c>
      <c r="H523" t="str">
        <f>"1021510"</f>
        <v>1021510</v>
      </c>
    </row>
    <row r="524" spans="1:8" x14ac:dyDescent="0.25">
      <c r="A524" t="s">
        <v>135</v>
      </c>
      <c r="B524">
        <v>3853</v>
      </c>
      <c r="C524" s="4">
        <v>90</v>
      </c>
      <c r="D524" s="1">
        <v>44222</v>
      </c>
      <c r="E524" t="str">
        <f>"0551894880"</f>
        <v>0551894880</v>
      </c>
      <c r="F524" t="str">
        <f>"CUST#212645 COOL WATER"</f>
        <v>CUST#212645 COOL WATER</v>
      </c>
      <c r="G524" s="4">
        <v>90</v>
      </c>
      <c r="H524" t="str">
        <f>"CUST#212645 COOL WATER"</f>
        <v>CUST#212645 COOL WATER</v>
      </c>
    </row>
    <row r="525" spans="1:8" x14ac:dyDescent="0.25">
      <c r="A525" t="s">
        <v>136</v>
      </c>
      <c r="B525">
        <v>134434</v>
      </c>
      <c r="C525" s="4">
        <v>6901.25</v>
      </c>
      <c r="D525" s="1">
        <v>44221</v>
      </c>
      <c r="E525" t="str">
        <f>"1021"</f>
        <v>1021</v>
      </c>
      <c r="F525" t="str">
        <f>"NOBIVAC/ANIMAL SHELTER"</f>
        <v>NOBIVAC/ANIMAL SHELTER</v>
      </c>
      <c r="G525" s="4">
        <v>2701.25</v>
      </c>
      <c r="H525" t="str">
        <f>"NOBIVAC/ANIMAL SHELTER"</f>
        <v>NOBIVAC/ANIMAL SHELTER</v>
      </c>
    </row>
    <row r="526" spans="1:8" x14ac:dyDescent="0.25">
      <c r="E526" t="str">
        <f>"1022"</f>
        <v>1022</v>
      </c>
      <c r="F526" t="str">
        <f>"MINI MICROCHIPS/ANIMAL SHELTER"</f>
        <v>MINI MICROCHIPS/ANIMAL SHELTER</v>
      </c>
      <c r="G526" s="4">
        <v>4200</v>
      </c>
      <c r="H526" t="str">
        <f>"MINI MICROCHIPS/ANIMAL SHELTER"</f>
        <v>MINI MICROCHIPS/ANIMAL SHELTER</v>
      </c>
    </row>
    <row r="527" spans="1:8" x14ac:dyDescent="0.25">
      <c r="A527" t="s">
        <v>137</v>
      </c>
      <c r="B527">
        <v>3883</v>
      </c>
      <c r="C527" s="4">
        <v>234.05</v>
      </c>
      <c r="D527" s="1">
        <v>44222</v>
      </c>
      <c r="E527" t="str">
        <f>"109661"</f>
        <v>109661</v>
      </c>
      <c r="F527" t="str">
        <f>"ACCT#BASTROP2/PCT#2"</f>
        <v>ACCT#BASTROP2/PCT#2</v>
      </c>
      <c r="G527" s="4">
        <v>234.05</v>
      </c>
      <c r="H527" t="str">
        <f>"ACCT#BASTROP2/PCT#2"</f>
        <v>ACCT#BASTROP2/PCT#2</v>
      </c>
    </row>
    <row r="528" spans="1:8" x14ac:dyDescent="0.25">
      <c r="A528" t="s">
        <v>138</v>
      </c>
      <c r="B528">
        <v>3851</v>
      </c>
      <c r="C528" s="4">
        <v>657.5</v>
      </c>
      <c r="D528" s="1">
        <v>44222</v>
      </c>
      <c r="E528" t="str">
        <f>"SL2020-12_00354"</f>
        <v>SL2020-12_00354</v>
      </c>
      <c r="F528" t="str">
        <f>"SHELTERLUV SOFTWARE"</f>
        <v>SHELTERLUV SOFTWARE</v>
      </c>
      <c r="G528" s="4">
        <v>657.5</v>
      </c>
      <c r="H528" t="str">
        <f>"SHELTERLUV SOFTWARE"</f>
        <v>SHELTERLUV SOFTWARE</v>
      </c>
    </row>
    <row r="529" spans="1:8" x14ac:dyDescent="0.25">
      <c r="A529" t="s">
        <v>139</v>
      </c>
      <c r="B529">
        <v>3776</v>
      </c>
      <c r="C529" s="4">
        <v>242.63</v>
      </c>
      <c r="D529" s="1">
        <v>44208</v>
      </c>
      <c r="E529" t="str">
        <f>"205624"</f>
        <v>205624</v>
      </c>
      <c r="F529" t="str">
        <f>"HYD CYLINDER REPAIR/PCT#3"</f>
        <v>HYD CYLINDER REPAIR/PCT#3</v>
      </c>
      <c r="G529" s="4">
        <v>242.63</v>
      </c>
      <c r="H529" t="str">
        <f>"HYD CYLINDER REPAIR/PCT#3"</f>
        <v>HYD CYLINDER REPAIR/PCT#3</v>
      </c>
    </row>
    <row r="530" spans="1:8" x14ac:dyDescent="0.25">
      <c r="A530" t="s">
        <v>139</v>
      </c>
      <c r="B530">
        <v>3834</v>
      </c>
      <c r="C530" s="4">
        <v>1093.33</v>
      </c>
      <c r="D530" s="1">
        <v>44222</v>
      </c>
      <c r="E530" t="str">
        <f>"205694"</f>
        <v>205694</v>
      </c>
      <c r="F530" t="str">
        <f>"HYDRAULIC CYL REPAIR PCT#3"</f>
        <v>HYDRAULIC CYL REPAIR PCT#3</v>
      </c>
      <c r="G530" s="4">
        <v>1093.33</v>
      </c>
      <c r="H530" t="str">
        <f>"HYDRAULIC CYL REPAIR PCT#3"</f>
        <v>HYDRAULIC CYL REPAIR PCT#3</v>
      </c>
    </row>
    <row r="531" spans="1:8" x14ac:dyDescent="0.25">
      <c r="A531" t="s">
        <v>140</v>
      </c>
      <c r="B531">
        <v>134435</v>
      </c>
      <c r="C531" s="4">
        <v>683</v>
      </c>
      <c r="D531" s="1">
        <v>44221</v>
      </c>
      <c r="E531" t="str">
        <f>"3076365524"</f>
        <v>3076365524</v>
      </c>
      <c r="F531" t="str">
        <f>"ACCT#187947/ANIMAL CONTROL"</f>
        <v>ACCT#187947/ANIMAL CONTROL</v>
      </c>
      <c r="G531" s="4">
        <v>343</v>
      </c>
      <c r="H531" t="str">
        <f>"ACCT#187947/ANIMAL CONTROL"</f>
        <v>ACCT#187947/ANIMAL CONTROL</v>
      </c>
    </row>
    <row r="532" spans="1:8" x14ac:dyDescent="0.25">
      <c r="E532" t="str">
        <f>"3077222403"</f>
        <v>3077222403</v>
      </c>
      <c r="F532" t="str">
        <f>"ACCT#187947/ANIMAL CONTROL"</f>
        <v>ACCT#187947/ANIMAL CONTROL</v>
      </c>
      <c r="G532" s="4">
        <v>340</v>
      </c>
      <c r="H532" t="str">
        <f>"ACCT#187947/ANIMAL CONTROL"</f>
        <v>ACCT#187947/ANIMAL CONTROL</v>
      </c>
    </row>
    <row r="533" spans="1:8" x14ac:dyDescent="0.25">
      <c r="A533" t="s">
        <v>141</v>
      </c>
      <c r="B533">
        <v>3870</v>
      </c>
      <c r="C533" s="4">
        <v>2430</v>
      </c>
      <c r="D533" s="1">
        <v>44222</v>
      </c>
      <c r="E533" t="str">
        <f>"71019"</f>
        <v>71019</v>
      </c>
      <c r="F533" t="str">
        <f>"PROF SVCS FEBRUARY 2021"</f>
        <v>PROF SVCS FEBRUARY 2021</v>
      </c>
      <c r="G533" s="4">
        <v>2430</v>
      </c>
      <c r="H533" t="str">
        <f>"PROF SVCS FEBRUARY 2021"</f>
        <v>PROF SVCS FEBRUARY 2021</v>
      </c>
    </row>
    <row r="534" spans="1:8" x14ac:dyDescent="0.25">
      <c r="E534" t="str">
        <f>""</f>
        <v/>
      </c>
      <c r="F534" t="str">
        <f>""</f>
        <v/>
      </c>
      <c r="H534" t="str">
        <f>"PROF SVCS FEBRUARY 2021"</f>
        <v>PROF SVCS FEBRUARY 2021</v>
      </c>
    </row>
    <row r="535" spans="1:8" x14ac:dyDescent="0.25">
      <c r="A535" t="s">
        <v>142</v>
      </c>
      <c r="B535">
        <v>134319</v>
      </c>
      <c r="C535" s="4">
        <v>1900</v>
      </c>
      <c r="D535" s="1">
        <v>44207</v>
      </c>
      <c r="E535" t="str">
        <f>"202101061038"</f>
        <v>202101061038</v>
      </c>
      <c r="F535" t="str">
        <f>"INV 21-001"</f>
        <v>INV 21-001</v>
      </c>
      <c r="G535" s="4">
        <v>1900</v>
      </c>
      <c r="H535" t="str">
        <f>"INV 21-001"</f>
        <v>INV 21-001</v>
      </c>
    </row>
    <row r="536" spans="1:8" x14ac:dyDescent="0.25">
      <c r="A536" t="s">
        <v>143</v>
      </c>
      <c r="B536">
        <v>134320</v>
      </c>
      <c r="C536" s="4">
        <v>171.04</v>
      </c>
      <c r="D536" s="1">
        <v>44207</v>
      </c>
      <c r="E536" t="str">
        <f>"DGDT840"</f>
        <v>DGDT840</v>
      </c>
      <c r="F536" t="str">
        <f>"CUST ID:AX773/COUNTY CLERK"</f>
        <v>CUST ID:AX773/COUNTY CLERK</v>
      </c>
      <c r="G536" s="4">
        <v>171.04</v>
      </c>
      <c r="H536" t="str">
        <f>"CUST ID:AX773/COUNTY CLERK"</f>
        <v>CUST ID:AX773/COUNTY CLERK</v>
      </c>
    </row>
    <row r="537" spans="1:8" x14ac:dyDescent="0.25">
      <c r="A537" t="s">
        <v>144</v>
      </c>
      <c r="B537">
        <v>134436</v>
      </c>
      <c r="C537" s="4">
        <v>579.53</v>
      </c>
      <c r="D537" s="1">
        <v>44221</v>
      </c>
      <c r="E537" t="str">
        <f>"0514817"</f>
        <v>0514817</v>
      </c>
      <c r="F537" t="str">
        <f>"INV 0514817"</f>
        <v>INV 0514817</v>
      </c>
      <c r="G537" s="4">
        <v>579.53</v>
      </c>
      <c r="H537" t="str">
        <f>"INV 0514817"</f>
        <v>INV 0514817</v>
      </c>
    </row>
    <row r="538" spans="1:8" x14ac:dyDescent="0.25">
      <c r="A538" t="s">
        <v>145</v>
      </c>
      <c r="B538">
        <v>3882</v>
      </c>
      <c r="C538" s="4">
        <v>250</v>
      </c>
      <c r="D538" s="1">
        <v>44222</v>
      </c>
      <c r="E538" t="str">
        <f>"202101201308"</f>
        <v>202101201308</v>
      </c>
      <c r="F538" t="str">
        <f>"56893"</f>
        <v>56893</v>
      </c>
      <c r="G538" s="4">
        <v>250</v>
      </c>
      <c r="H538" t="str">
        <f>"56893"</f>
        <v>56893</v>
      </c>
    </row>
    <row r="539" spans="1:8" x14ac:dyDescent="0.25">
      <c r="A539" t="s">
        <v>146</v>
      </c>
      <c r="B539">
        <v>134321</v>
      </c>
      <c r="C539" s="4">
        <v>198.95</v>
      </c>
      <c r="D539" s="1">
        <v>44207</v>
      </c>
      <c r="E539" t="str">
        <f>"202012300942"</f>
        <v>202012300942</v>
      </c>
      <c r="F539" t="str">
        <f>"MILEAGE REIMBURSEMENT"</f>
        <v>MILEAGE REIMBURSEMENT</v>
      </c>
      <c r="G539" s="4">
        <v>198.95</v>
      </c>
      <c r="H539" t="str">
        <f>"MILEAGE REIMBURSEMENT"</f>
        <v>MILEAGE REIMBURSEMENT</v>
      </c>
    </row>
    <row r="540" spans="1:8" x14ac:dyDescent="0.25">
      <c r="A540" t="s">
        <v>147</v>
      </c>
      <c r="B540">
        <v>134437</v>
      </c>
      <c r="C540" s="4">
        <v>3500</v>
      </c>
      <c r="D540" s="1">
        <v>44221</v>
      </c>
      <c r="E540" t="str">
        <f>"202101201314"</f>
        <v>202101201314</v>
      </c>
      <c r="F540" t="str">
        <f>"19-19967"</f>
        <v>19-19967</v>
      </c>
      <c r="G540" s="4">
        <v>450</v>
      </c>
      <c r="H540" t="str">
        <f>"19-19967"</f>
        <v>19-19967</v>
      </c>
    </row>
    <row r="541" spans="1:8" x14ac:dyDescent="0.25">
      <c r="E541" t="str">
        <f>"202101201315"</f>
        <v>202101201315</v>
      </c>
      <c r="F541" t="str">
        <f>"19-19862"</f>
        <v>19-19862</v>
      </c>
      <c r="G541" s="4">
        <v>550</v>
      </c>
      <c r="H541" t="str">
        <f>"19-19862"</f>
        <v>19-19862</v>
      </c>
    </row>
    <row r="542" spans="1:8" x14ac:dyDescent="0.25">
      <c r="E542" t="str">
        <f>"202101201316"</f>
        <v>202101201316</v>
      </c>
      <c r="F542" t="str">
        <f>"20-20291"</f>
        <v>20-20291</v>
      </c>
      <c r="G542" s="4">
        <v>300</v>
      </c>
      <c r="H542" t="str">
        <f>"20-20291"</f>
        <v>20-20291</v>
      </c>
    </row>
    <row r="543" spans="1:8" x14ac:dyDescent="0.25">
      <c r="E543" t="str">
        <f>"202101201317"</f>
        <v>202101201317</v>
      </c>
      <c r="F543" t="str">
        <f>"20-20215"</f>
        <v>20-20215</v>
      </c>
      <c r="G543" s="4">
        <v>525</v>
      </c>
      <c r="H543" t="str">
        <f>"20-20215"</f>
        <v>20-20215</v>
      </c>
    </row>
    <row r="544" spans="1:8" x14ac:dyDescent="0.25">
      <c r="E544" t="str">
        <f>"202101201318"</f>
        <v>202101201318</v>
      </c>
      <c r="F544" t="str">
        <f>"20-20403"</f>
        <v>20-20403</v>
      </c>
      <c r="G544" s="4">
        <v>450</v>
      </c>
      <c r="H544" t="str">
        <f>"20-20403"</f>
        <v>20-20403</v>
      </c>
    </row>
    <row r="545" spans="1:8" x14ac:dyDescent="0.25">
      <c r="E545" t="str">
        <f>"202101201319"</f>
        <v>202101201319</v>
      </c>
      <c r="F545" t="str">
        <f>"19-19864"</f>
        <v>19-19864</v>
      </c>
      <c r="G545" s="4">
        <v>225</v>
      </c>
      <c r="H545" t="str">
        <f>"19-19864"</f>
        <v>19-19864</v>
      </c>
    </row>
    <row r="546" spans="1:8" x14ac:dyDescent="0.25">
      <c r="E546" t="str">
        <f>"202101201320"</f>
        <v>202101201320</v>
      </c>
      <c r="F546" t="str">
        <f>"20-20110"</f>
        <v>20-20110</v>
      </c>
      <c r="G546" s="4">
        <v>225</v>
      </c>
      <c r="H546" t="str">
        <f>"20-20110"</f>
        <v>20-20110</v>
      </c>
    </row>
    <row r="547" spans="1:8" x14ac:dyDescent="0.25">
      <c r="E547" t="str">
        <f>"202101201321"</f>
        <v>202101201321</v>
      </c>
      <c r="F547" t="str">
        <f>"20-20514"</f>
        <v>20-20514</v>
      </c>
      <c r="G547" s="4">
        <v>325</v>
      </c>
      <c r="H547" t="str">
        <f>"20-20514"</f>
        <v>20-20514</v>
      </c>
    </row>
    <row r="548" spans="1:8" x14ac:dyDescent="0.25">
      <c r="E548" t="str">
        <f>"202101201322"</f>
        <v>202101201322</v>
      </c>
      <c r="F548" t="str">
        <f>"19-19889"</f>
        <v>19-19889</v>
      </c>
      <c r="G548" s="4">
        <v>450</v>
      </c>
      <c r="H548" t="str">
        <f>"19-19889"</f>
        <v>19-19889</v>
      </c>
    </row>
    <row r="549" spans="1:8" x14ac:dyDescent="0.25">
      <c r="A549" t="s">
        <v>148</v>
      </c>
      <c r="B549">
        <v>134438</v>
      </c>
      <c r="C549" s="4">
        <v>97</v>
      </c>
      <c r="D549" s="1">
        <v>44221</v>
      </c>
      <c r="E549" t="str">
        <f>"202101121184"</f>
        <v>202101121184</v>
      </c>
      <c r="F549" t="str">
        <f>"CDL RENEWAL"</f>
        <v>CDL RENEWAL</v>
      </c>
      <c r="G549" s="4">
        <v>97</v>
      </c>
      <c r="H549" t="str">
        <f>"CDL RENEWAL"</f>
        <v>CDL RENEWAL</v>
      </c>
    </row>
    <row r="550" spans="1:8" x14ac:dyDescent="0.25">
      <c r="A550" t="s">
        <v>149</v>
      </c>
      <c r="B550">
        <v>3875</v>
      </c>
      <c r="C550" s="4">
        <v>4025</v>
      </c>
      <c r="D550" s="1">
        <v>44222</v>
      </c>
      <c r="E550" t="str">
        <f>"202101121164"</f>
        <v>202101121164</v>
      </c>
      <c r="F550" t="str">
        <f>"423-7582"</f>
        <v>423-7582</v>
      </c>
      <c r="G550" s="4">
        <v>100</v>
      </c>
      <c r="H550" t="str">
        <f>"423-7582"</f>
        <v>423-7582</v>
      </c>
    </row>
    <row r="551" spans="1:8" x14ac:dyDescent="0.25">
      <c r="E551" t="str">
        <f>"202101121165"</f>
        <v>202101121165</v>
      </c>
      <c r="F551" t="str">
        <f>"423-7082"</f>
        <v>423-7082</v>
      </c>
      <c r="G551" s="4">
        <v>500</v>
      </c>
      <c r="H551" t="str">
        <f>"423-7082"</f>
        <v>423-7082</v>
      </c>
    </row>
    <row r="552" spans="1:8" x14ac:dyDescent="0.25">
      <c r="E552" t="str">
        <f>"202101121166"</f>
        <v>202101121166</v>
      </c>
      <c r="F552" t="str">
        <f>"12056"</f>
        <v>12056</v>
      </c>
      <c r="G552" s="4">
        <v>1875</v>
      </c>
      <c r="H552" t="str">
        <f>"12056"</f>
        <v>12056</v>
      </c>
    </row>
    <row r="553" spans="1:8" x14ac:dyDescent="0.25">
      <c r="E553" t="str">
        <f>"202101121167"</f>
        <v>202101121167</v>
      </c>
      <c r="F553" t="str">
        <f>"16937"</f>
        <v>16937</v>
      </c>
      <c r="G553" s="4">
        <v>700</v>
      </c>
      <c r="H553" t="str">
        <f>"16937"</f>
        <v>16937</v>
      </c>
    </row>
    <row r="554" spans="1:8" x14ac:dyDescent="0.25">
      <c r="E554" t="str">
        <f>"202101121181"</f>
        <v>202101121181</v>
      </c>
      <c r="F554" t="str">
        <f>"4042420-1  4042420-2"</f>
        <v>4042420-1  4042420-2</v>
      </c>
      <c r="G554" s="4">
        <v>600</v>
      </c>
      <c r="H554" t="str">
        <f>"4042420-1  4042420-2"</f>
        <v>4042420-1  4042420-2</v>
      </c>
    </row>
    <row r="555" spans="1:8" x14ac:dyDescent="0.25">
      <c r="E555" t="str">
        <f>"202101201301"</f>
        <v>202101201301</v>
      </c>
      <c r="F555" t="str">
        <f>"57404"</f>
        <v>57404</v>
      </c>
      <c r="G555" s="4">
        <v>250</v>
      </c>
      <c r="H555" t="str">
        <f>"57404"</f>
        <v>57404</v>
      </c>
    </row>
    <row r="556" spans="1:8" x14ac:dyDescent="0.25">
      <c r="A556" t="s">
        <v>150</v>
      </c>
      <c r="B556">
        <v>134322</v>
      </c>
      <c r="C556" s="4">
        <v>25</v>
      </c>
      <c r="D556" s="1">
        <v>44207</v>
      </c>
      <c r="E556" t="s">
        <v>151</v>
      </c>
      <c r="F556" s="4" t="str">
        <f>"RESTITUTION - J. HOFFMAN"</f>
        <v>RESTITUTION - J. HOFFMAN</v>
      </c>
      <c r="G556">
        <v>25</v>
      </c>
      <c r="H556" s="4" t="str">
        <f>"RESTITUTION - J. HOFFMAN"</f>
        <v>RESTITUTION - J. HOFFMAN</v>
      </c>
    </row>
    <row r="557" spans="1:8" x14ac:dyDescent="0.25">
      <c r="A557" t="s">
        <v>152</v>
      </c>
      <c r="B557">
        <v>134323</v>
      </c>
      <c r="C557" s="4">
        <v>1448.8</v>
      </c>
      <c r="D557" s="1">
        <v>44207</v>
      </c>
      <c r="E557" t="str">
        <f>"202101040951"</f>
        <v>202101040951</v>
      </c>
      <c r="F557" t="str">
        <f>"423-2327"</f>
        <v>423-2327</v>
      </c>
      <c r="G557" s="4">
        <v>226.5</v>
      </c>
      <c r="H557" t="str">
        <f>"423-2327"</f>
        <v>423-2327</v>
      </c>
    </row>
    <row r="558" spans="1:8" x14ac:dyDescent="0.25">
      <c r="E558" t="str">
        <f>"202101040967"</f>
        <v>202101040967</v>
      </c>
      <c r="F558" t="str">
        <f>"19-19967"</f>
        <v>19-19967</v>
      </c>
      <c r="G558" s="4">
        <v>191.25</v>
      </c>
      <c r="H558" t="str">
        <f>"19-19967"</f>
        <v>19-19967</v>
      </c>
    </row>
    <row r="559" spans="1:8" x14ac:dyDescent="0.25">
      <c r="E559" t="str">
        <f>"202101040968"</f>
        <v>202101040968</v>
      </c>
      <c r="F559" t="str">
        <f>"20-20227"</f>
        <v>20-20227</v>
      </c>
      <c r="G559" s="4">
        <v>179.25</v>
      </c>
      <c r="H559" t="str">
        <f>"20-20227"</f>
        <v>20-20227</v>
      </c>
    </row>
    <row r="560" spans="1:8" x14ac:dyDescent="0.25">
      <c r="E560" t="str">
        <f>"202101040969"</f>
        <v>202101040969</v>
      </c>
      <c r="F560" t="str">
        <f>"20-20454"</f>
        <v>20-20454</v>
      </c>
      <c r="G560" s="4">
        <v>450.55</v>
      </c>
      <c r="H560" t="str">
        <f>"20-20454"</f>
        <v>20-20454</v>
      </c>
    </row>
    <row r="561" spans="1:8" x14ac:dyDescent="0.25">
      <c r="E561" t="str">
        <f>"202101040970"</f>
        <v>202101040970</v>
      </c>
      <c r="F561" t="str">
        <f>"19-20022"</f>
        <v>19-20022</v>
      </c>
      <c r="G561" s="4">
        <v>401.25</v>
      </c>
      <c r="H561" t="str">
        <f>"19-20022"</f>
        <v>19-20022</v>
      </c>
    </row>
    <row r="562" spans="1:8" x14ac:dyDescent="0.25">
      <c r="A562" t="s">
        <v>153</v>
      </c>
      <c r="B562">
        <v>134439</v>
      </c>
      <c r="C562" s="4">
        <v>403.83</v>
      </c>
      <c r="D562" s="1">
        <v>44221</v>
      </c>
      <c r="E562" t="str">
        <f>"133783"</f>
        <v>133783</v>
      </c>
      <c r="F562" t="str">
        <f>"ACCT#1520-BA2437/GENERAL SVCS"</f>
        <v>ACCT#1520-BA2437/GENERAL SVCS</v>
      </c>
      <c r="G562" s="4">
        <v>403.83</v>
      </c>
      <c r="H562" t="str">
        <f>"ACCT#1520-BA2437/GENERAL SVCS"</f>
        <v>ACCT#1520-BA2437/GENERAL SVCS</v>
      </c>
    </row>
    <row r="563" spans="1:8" x14ac:dyDescent="0.25">
      <c r="A563" t="s">
        <v>154</v>
      </c>
      <c r="B563">
        <v>134440</v>
      </c>
      <c r="C563" s="4">
        <v>435</v>
      </c>
      <c r="D563" s="1">
        <v>44221</v>
      </c>
      <c r="E563" t="str">
        <f>"868428"</f>
        <v>868428</v>
      </c>
      <c r="F563" t="str">
        <f>"TRASH REMOVAL/PCT#1"</f>
        <v>TRASH REMOVAL/PCT#1</v>
      </c>
      <c r="G563" s="4">
        <v>285</v>
      </c>
      <c r="H563" t="str">
        <f>"TRASH REMOVAL/PCT#1"</f>
        <v>TRASH REMOVAL/PCT#1</v>
      </c>
    </row>
    <row r="564" spans="1:8" x14ac:dyDescent="0.25">
      <c r="E564" t="str">
        <f>"868433"</f>
        <v>868433</v>
      </c>
      <c r="F564" t="str">
        <f>"TRASH REMOVAL/PCT#1"</f>
        <v>TRASH REMOVAL/PCT#1</v>
      </c>
      <c r="G564" s="4">
        <v>150</v>
      </c>
      <c r="H564" t="str">
        <f>"TRASH REMOVAL/PCT#1"</f>
        <v>TRASH REMOVAL/PCT#1</v>
      </c>
    </row>
    <row r="565" spans="1:8" x14ac:dyDescent="0.25">
      <c r="A565" t="s">
        <v>155</v>
      </c>
      <c r="B565">
        <v>3799</v>
      </c>
      <c r="C565" s="4">
        <v>2717</v>
      </c>
      <c r="D565" s="1">
        <v>44208</v>
      </c>
      <c r="E565" t="str">
        <f>"392"</f>
        <v>392</v>
      </c>
      <c r="F565" t="str">
        <f>"TOWER RENT"</f>
        <v>TOWER RENT</v>
      </c>
      <c r="G565" s="4">
        <v>2717</v>
      </c>
      <c r="H565" t="str">
        <f>"TOWER RENT"</f>
        <v>TOWER RENT</v>
      </c>
    </row>
    <row r="566" spans="1:8" x14ac:dyDescent="0.25">
      <c r="A566" t="s">
        <v>156</v>
      </c>
      <c r="B566">
        <v>134324</v>
      </c>
      <c r="C566" s="4">
        <v>1260</v>
      </c>
      <c r="D566" s="1">
        <v>44207</v>
      </c>
      <c r="E566" t="str">
        <f>"3290"</f>
        <v>3290</v>
      </c>
      <c r="F566" t="str">
        <f t="shared" ref="F566:F571" si="7">"CONSTRUCTION UNIT RENTAL"</f>
        <v>CONSTRUCTION UNIT RENTAL</v>
      </c>
      <c r="G566" s="4">
        <v>210</v>
      </c>
      <c r="H566" t="str">
        <f t="shared" ref="H566:H571" si="8">"CONSTRUCTION UNIT RENTAL"</f>
        <v>CONSTRUCTION UNIT RENTAL</v>
      </c>
    </row>
    <row r="567" spans="1:8" x14ac:dyDescent="0.25">
      <c r="E567" t="str">
        <f>"3730"</f>
        <v>3730</v>
      </c>
      <c r="F567" t="str">
        <f t="shared" si="7"/>
        <v>CONSTRUCTION UNIT RENTAL</v>
      </c>
      <c r="G567" s="4">
        <v>210</v>
      </c>
      <c r="H567" t="str">
        <f t="shared" si="8"/>
        <v>CONSTRUCTION UNIT RENTAL</v>
      </c>
    </row>
    <row r="568" spans="1:8" x14ac:dyDescent="0.25">
      <c r="E568" t="str">
        <f>"3963"</f>
        <v>3963</v>
      </c>
      <c r="F568" t="str">
        <f t="shared" si="7"/>
        <v>CONSTRUCTION UNIT RENTAL</v>
      </c>
      <c r="G568" s="4">
        <v>210</v>
      </c>
      <c r="H568" t="str">
        <f t="shared" si="8"/>
        <v>CONSTRUCTION UNIT RENTAL</v>
      </c>
    </row>
    <row r="569" spans="1:8" x14ac:dyDescent="0.25">
      <c r="E569" t="str">
        <f>"4197"</f>
        <v>4197</v>
      </c>
      <c r="F569" t="str">
        <f t="shared" si="7"/>
        <v>CONSTRUCTION UNIT RENTAL</v>
      </c>
      <c r="G569" s="4">
        <v>210</v>
      </c>
      <c r="H569" t="str">
        <f t="shared" si="8"/>
        <v>CONSTRUCTION UNIT RENTAL</v>
      </c>
    </row>
    <row r="570" spans="1:8" x14ac:dyDescent="0.25">
      <c r="E570" t="str">
        <f>"4440"</f>
        <v>4440</v>
      </c>
      <c r="F570" t="str">
        <f t="shared" si="7"/>
        <v>CONSTRUCTION UNIT RENTAL</v>
      </c>
      <c r="G570" s="4">
        <v>210</v>
      </c>
      <c r="H570" t="str">
        <f t="shared" si="8"/>
        <v>CONSTRUCTION UNIT RENTAL</v>
      </c>
    </row>
    <row r="571" spans="1:8" x14ac:dyDescent="0.25">
      <c r="E571" t="str">
        <f>"4685"</f>
        <v>4685</v>
      </c>
      <c r="F571" t="str">
        <f t="shared" si="7"/>
        <v>CONSTRUCTION UNIT RENTAL</v>
      </c>
      <c r="G571" s="4">
        <v>210</v>
      </c>
      <c r="H571" t="str">
        <f t="shared" si="8"/>
        <v>CONSTRUCTION UNIT RENTAL</v>
      </c>
    </row>
    <row r="572" spans="1:8" x14ac:dyDescent="0.25">
      <c r="A572" t="s">
        <v>157</v>
      </c>
      <c r="B572">
        <v>134325</v>
      </c>
      <c r="C572" s="4">
        <v>8.9600000000000009</v>
      </c>
      <c r="D572" s="1">
        <v>44207</v>
      </c>
      <c r="E572" t="str">
        <f>"270460"</f>
        <v>270460</v>
      </c>
      <c r="F572" t="str">
        <f>"ACCT#BASCO1/PCT#1"</f>
        <v>ACCT#BASCO1/PCT#1</v>
      </c>
      <c r="G572" s="4">
        <v>8.9600000000000009</v>
      </c>
      <c r="H572" t="str">
        <f>"ACCT#BASCO1/PCT#1"</f>
        <v>ACCT#BASCO1/PCT#1</v>
      </c>
    </row>
    <row r="573" spans="1:8" x14ac:dyDescent="0.25">
      <c r="A573" t="s">
        <v>158</v>
      </c>
      <c r="B573">
        <v>3778</v>
      </c>
      <c r="C573" s="4">
        <v>99</v>
      </c>
      <c r="D573" s="1">
        <v>44208</v>
      </c>
      <c r="E573" t="str">
        <f>"278735"</f>
        <v>278735</v>
      </c>
      <c r="F573" t="str">
        <f>"QTRLY FIRE PROT/JAN-MARCH 2021"</f>
        <v>QTRLY FIRE PROT/JAN-MARCH 2021</v>
      </c>
      <c r="G573" s="4">
        <v>99</v>
      </c>
      <c r="H573" t="str">
        <f>"QTRLY FIRE PROT/JAN-MARCH 2021"</f>
        <v>QTRLY FIRE PROT/JAN-MARCH 2021</v>
      </c>
    </row>
    <row r="574" spans="1:8" x14ac:dyDescent="0.25">
      <c r="A574" t="s">
        <v>158</v>
      </c>
      <c r="B574">
        <v>3836</v>
      </c>
      <c r="C574" s="4">
        <v>220</v>
      </c>
      <c r="D574" s="1">
        <v>44222</v>
      </c>
      <c r="E574" t="str">
        <f>"278911"</f>
        <v>278911</v>
      </c>
      <c r="F574" t="str">
        <f>"INSPECTION OF PANEL/911 CENTER"</f>
        <v>INSPECTION OF PANEL/911 CENTER</v>
      </c>
      <c r="G574" s="4">
        <v>220</v>
      </c>
      <c r="H574" t="str">
        <f>"INSPECTION OF PANEL/911 CENTER"</f>
        <v>INSPECTION OF PANEL/911 CENTER</v>
      </c>
    </row>
    <row r="575" spans="1:8" x14ac:dyDescent="0.25">
      <c r="A575" t="s">
        <v>159</v>
      </c>
      <c r="B575">
        <v>134326</v>
      </c>
      <c r="C575" s="4">
        <v>3836.58</v>
      </c>
      <c r="D575" s="1">
        <v>44207</v>
      </c>
      <c r="E575" t="str">
        <f>"R301013911:01"</f>
        <v>R301013911:01</v>
      </c>
      <c r="F575" t="str">
        <f>"ACCT#104992/PCT#1"</f>
        <v>ACCT#104992/PCT#1</v>
      </c>
      <c r="G575" s="4">
        <v>1778.06</v>
      </c>
      <c r="H575" t="str">
        <f>"ACCT#104992/PCT#1"</f>
        <v>ACCT#104992/PCT#1</v>
      </c>
    </row>
    <row r="576" spans="1:8" x14ac:dyDescent="0.25">
      <c r="E576" t="str">
        <f>"R301013925:01"</f>
        <v>R301013925:01</v>
      </c>
      <c r="F576" t="str">
        <f>"ACCT#104992/PCT#1"</f>
        <v>ACCT#104992/PCT#1</v>
      </c>
      <c r="G576" s="4">
        <v>1546.92</v>
      </c>
      <c r="H576" t="str">
        <f>"ACCT#104992/PCT#1"</f>
        <v>ACCT#104992/PCT#1</v>
      </c>
    </row>
    <row r="577" spans="1:8" x14ac:dyDescent="0.25">
      <c r="E577" t="str">
        <f>"R301013975:01"</f>
        <v>R301013975:01</v>
      </c>
      <c r="F577" t="str">
        <f>"ACCT#104992/PCT#1"</f>
        <v>ACCT#104992/PCT#1</v>
      </c>
      <c r="G577" s="4">
        <v>511.6</v>
      </c>
      <c r="H577" t="str">
        <f>"ACCT#104992/PCT#1"</f>
        <v>ACCT#104992/PCT#1</v>
      </c>
    </row>
    <row r="578" spans="1:8" x14ac:dyDescent="0.25">
      <c r="A578" t="s">
        <v>159</v>
      </c>
      <c r="B578">
        <v>134441</v>
      </c>
      <c r="C578" s="4">
        <v>562.61</v>
      </c>
      <c r="D578" s="1">
        <v>44221</v>
      </c>
      <c r="E578" t="str">
        <f>"202101131207"</f>
        <v>202101131207</v>
      </c>
      <c r="F578" t="str">
        <f>"INV: R301013925 SHORT PAID P#1"</f>
        <v>INV: R301013925 SHORT PAID P#1</v>
      </c>
      <c r="G578" s="4">
        <v>113.4</v>
      </c>
      <c r="H578" t="str">
        <f>"INV: R301013925 SHORT PAID P#1"</f>
        <v>INV: R301013925 SHORT PAID P#1</v>
      </c>
    </row>
    <row r="579" spans="1:8" x14ac:dyDescent="0.25">
      <c r="E579" t="str">
        <f>"57226AP"</f>
        <v>57226AP</v>
      </c>
      <c r="F579" t="str">
        <f>"PARTS PCT#3"</f>
        <v>PARTS PCT#3</v>
      </c>
      <c r="G579" s="4">
        <v>21.71</v>
      </c>
      <c r="H579" t="str">
        <f>"PARTS PCT#3"</f>
        <v>PARTS PCT#3</v>
      </c>
    </row>
    <row r="580" spans="1:8" x14ac:dyDescent="0.25">
      <c r="E580" t="str">
        <f>"R301013904:01"</f>
        <v>R301013904:01</v>
      </c>
      <c r="F580" t="str">
        <f>"JOB#1 12-00/PCT#1"</f>
        <v>JOB#1 12-00/PCT#1</v>
      </c>
      <c r="G580" s="4">
        <v>427.5</v>
      </c>
      <c r="H580" t="str">
        <f>"JOB#1 12-00/PCT#1"</f>
        <v>JOB#1 12-00/PCT#1</v>
      </c>
    </row>
    <row r="581" spans="1:8" x14ac:dyDescent="0.25">
      <c r="A581" t="s">
        <v>160</v>
      </c>
      <c r="B581">
        <v>134327</v>
      </c>
      <c r="C581" s="4">
        <v>1605.24</v>
      </c>
      <c r="D581" s="1">
        <v>44207</v>
      </c>
      <c r="E581" t="str">
        <f>"202101051014"</f>
        <v>202101051014</v>
      </c>
      <c r="F581" t="str">
        <f>"ACCT#1750/PCT#3"</f>
        <v>ACCT#1750/PCT#3</v>
      </c>
      <c r="G581" s="4">
        <v>420.94</v>
      </c>
      <c r="H581" t="str">
        <f>"ACCT#1750/PCT#3"</f>
        <v>ACCT#1750/PCT#3</v>
      </c>
    </row>
    <row r="582" spans="1:8" x14ac:dyDescent="0.25">
      <c r="E582" t="str">
        <f>"202101051015"</f>
        <v>202101051015</v>
      </c>
      <c r="F582" t="str">
        <f>"ACCT#1800/PCT#4"</f>
        <v>ACCT#1800/PCT#4</v>
      </c>
      <c r="G582" s="4">
        <v>658.32</v>
      </c>
      <c r="H582" t="str">
        <f>"ACCT#1800/PCT#4"</f>
        <v>ACCT#1800/PCT#4</v>
      </c>
    </row>
    <row r="583" spans="1:8" x14ac:dyDescent="0.25">
      <c r="E583" t="str">
        <f>"202101061026"</f>
        <v>202101061026</v>
      </c>
      <c r="F583" t="str">
        <f>"CUST#1650/PCT#1"</f>
        <v>CUST#1650/PCT#1</v>
      </c>
      <c r="G583" s="4">
        <v>114.82</v>
      </c>
      <c r="H583" t="str">
        <f>"CUST#1650/PCT#1"</f>
        <v>CUST#1650/PCT#1</v>
      </c>
    </row>
    <row r="584" spans="1:8" x14ac:dyDescent="0.25">
      <c r="E584" t="str">
        <f>"202101061031"</f>
        <v>202101061031</v>
      </c>
      <c r="F584" t="str">
        <f>"ACCT#1645/WILDFIRE MITIGATION"</f>
        <v>ACCT#1645/WILDFIRE MITIGATION</v>
      </c>
      <c r="G584" s="4">
        <v>359.17</v>
      </c>
      <c r="H584" t="str">
        <f>"ACCT#1645/WILDFIRE MITIGATION"</f>
        <v>ACCT#1645/WILDFIRE MITIGATION</v>
      </c>
    </row>
    <row r="585" spans="1:8" x14ac:dyDescent="0.25">
      <c r="E585" t="str">
        <f>"202101061032"</f>
        <v>202101061032</v>
      </c>
      <c r="F585" t="str">
        <f>"CUST#1650/GEN SVCS"</f>
        <v>CUST#1650/GEN SVCS</v>
      </c>
      <c r="G585" s="4">
        <v>51.99</v>
      </c>
      <c r="H585" t="str">
        <f>"CUST#1650/GEN SVCS"</f>
        <v>CUST#1650/GEN SVCS</v>
      </c>
    </row>
    <row r="586" spans="1:8" x14ac:dyDescent="0.25">
      <c r="A586" t="s">
        <v>161</v>
      </c>
      <c r="B586">
        <v>3767</v>
      </c>
      <c r="C586" s="4">
        <v>1771.77</v>
      </c>
      <c r="D586" s="1">
        <v>44208</v>
      </c>
      <c r="E586" t="str">
        <f>"12226174 12294874"</f>
        <v>12226174 12294874</v>
      </c>
      <c r="F586" t="str">
        <f>"INV 12226174"</f>
        <v>INV 12226174</v>
      </c>
      <c r="G586" s="4">
        <v>1771.77</v>
      </c>
      <c r="H586" t="str">
        <f>"INV 12226174"</f>
        <v>INV 12226174</v>
      </c>
    </row>
    <row r="587" spans="1:8" x14ac:dyDescent="0.25">
      <c r="E587" t="str">
        <f>""</f>
        <v/>
      </c>
      <c r="F587" t="str">
        <f>""</f>
        <v/>
      </c>
      <c r="H587" t="str">
        <f>"INV 12294874"</f>
        <v>INV 12294874</v>
      </c>
    </row>
    <row r="588" spans="1:8" x14ac:dyDescent="0.25">
      <c r="A588" t="s">
        <v>161</v>
      </c>
      <c r="B588">
        <v>3823</v>
      </c>
      <c r="C588" s="4">
        <v>1960.88</v>
      </c>
      <c r="D588" s="1">
        <v>44222</v>
      </c>
      <c r="E588" t="str">
        <f>"01062566"</f>
        <v>01062566</v>
      </c>
      <c r="F588" t="str">
        <f>"INV 01062566"</f>
        <v>INV 01062566</v>
      </c>
      <c r="G588" s="4">
        <v>1960.88</v>
      </c>
      <c r="H588" t="str">
        <f>"INV 01062566"</f>
        <v>INV 01062566</v>
      </c>
    </row>
    <row r="589" spans="1:8" x14ac:dyDescent="0.25">
      <c r="E589" t="str">
        <f>""</f>
        <v/>
      </c>
      <c r="F589" t="str">
        <f>""</f>
        <v/>
      </c>
      <c r="H589" t="str">
        <f>"INV 01131403"</f>
        <v>INV 01131403</v>
      </c>
    </row>
    <row r="590" spans="1:8" x14ac:dyDescent="0.25">
      <c r="A590" t="s">
        <v>162</v>
      </c>
      <c r="B590">
        <v>3790</v>
      </c>
      <c r="C590" s="4">
        <v>150</v>
      </c>
      <c r="D590" s="1">
        <v>44208</v>
      </c>
      <c r="E590" t="str">
        <f>"156907"</f>
        <v>156907</v>
      </c>
      <c r="F590" t="str">
        <f>"CLEANING SVC/PCT#2"</f>
        <v>CLEANING SVC/PCT#2</v>
      </c>
      <c r="G590" s="4">
        <v>150</v>
      </c>
      <c r="H590" t="str">
        <f>"CLEANING SVC/PCT#2"</f>
        <v>CLEANING SVC/PCT#2</v>
      </c>
    </row>
    <row r="591" spans="1:8" x14ac:dyDescent="0.25">
      <c r="A591" t="s">
        <v>163</v>
      </c>
      <c r="B591">
        <v>134328</v>
      </c>
      <c r="C591" s="4">
        <v>5890</v>
      </c>
      <c r="D591" s="1">
        <v>44207</v>
      </c>
      <c r="E591" t="str">
        <f>"258843"</f>
        <v>258843</v>
      </c>
      <c r="F591" t="str">
        <f>"LEADSONLINE  LLC"</f>
        <v>LEADSONLINE  LLC</v>
      </c>
      <c r="G591" s="4">
        <v>5890</v>
      </c>
      <c r="H591" t="str">
        <f>"LeadsOnline"</f>
        <v>LeadsOnline</v>
      </c>
    </row>
    <row r="592" spans="1:8" x14ac:dyDescent="0.25">
      <c r="A592" t="s">
        <v>164</v>
      </c>
      <c r="B592">
        <v>134442</v>
      </c>
      <c r="C592" s="4">
        <v>304</v>
      </c>
      <c r="D592" s="1">
        <v>44221</v>
      </c>
      <c r="E592" t="str">
        <f>"202101191222"</f>
        <v>202101191222</v>
      </c>
      <c r="F592" t="str">
        <f>"TIRE SVCS /PCT#4"</f>
        <v>TIRE SVCS /PCT#4</v>
      </c>
      <c r="G592" s="4">
        <v>304</v>
      </c>
      <c r="H592" t="str">
        <f>"TIRE SVCS /PCT#4"</f>
        <v>TIRE SVCS /PCT#4</v>
      </c>
    </row>
    <row r="593" spans="1:8" x14ac:dyDescent="0.25">
      <c r="A593" t="s">
        <v>165</v>
      </c>
      <c r="B593">
        <v>134443</v>
      </c>
      <c r="C593" s="4">
        <v>75</v>
      </c>
      <c r="D593" s="1">
        <v>44221</v>
      </c>
      <c r="E593" t="str">
        <f>"13011"</f>
        <v>13011</v>
      </c>
      <c r="F593" t="str">
        <f>"SERVICE"</f>
        <v>SERVICE</v>
      </c>
      <c r="G593" s="4">
        <v>75</v>
      </c>
      <c r="H593" t="str">
        <f>"SERVICE"</f>
        <v>SERVICE</v>
      </c>
    </row>
    <row r="594" spans="1:8" x14ac:dyDescent="0.25">
      <c r="A594" t="s">
        <v>166</v>
      </c>
      <c r="B594">
        <v>134242</v>
      </c>
      <c r="C594" s="4">
        <v>50.25</v>
      </c>
      <c r="D594" s="1">
        <v>44203</v>
      </c>
      <c r="E594" t="str">
        <f>"202101061067"</f>
        <v>202101061067</v>
      </c>
      <c r="F594" t="str">
        <f>"ACCT#1-09-00072-02 / 12222020"</f>
        <v>ACCT#1-09-00072-02 / 12222020</v>
      </c>
      <c r="G594" s="4">
        <v>50.25</v>
      </c>
      <c r="H594" t="str">
        <f>"LEE COUNTY WATER SUPPLY CORP"</f>
        <v>LEE COUNTY WATER SUPPLY CORP</v>
      </c>
    </row>
    <row r="595" spans="1:8" x14ac:dyDescent="0.25">
      <c r="A595" t="s">
        <v>167</v>
      </c>
      <c r="B595">
        <v>134329</v>
      </c>
      <c r="C595" s="4">
        <v>364.1</v>
      </c>
      <c r="D595" s="1">
        <v>44207</v>
      </c>
      <c r="E595" t="str">
        <f>"1420944-20201231"</f>
        <v>1420944-20201231</v>
      </c>
      <c r="F595" t="str">
        <f>"BILL ID:1420944/SHERIFF'S OFF"</f>
        <v>BILL ID:1420944/SHERIFF'S OFF</v>
      </c>
      <c r="G595" s="4">
        <v>364.1</v>
      </c>
      <c r="H595" t="str">
        <f>"BILL ID:1420944/SHERIFF'S OFF"</f>
        <v>BILL ID:1420944/SHERIFF'S OFF</v>
      </c>
    </row>
    <row r="596" spans="1:8" x14ac:dyDescent="0.25">
      <c r="A596" t="s">
        <v>167</v>
      </c>
      <c r="B596">
        <v>134444</v>
      </c>
      <c r="C596" s="4">
        <v>359.25</v>
      </c>
      <c r="D596" s="1">
        <v>44221</v>
      </c>
      <c r="E596" t="str">
        <f>"1211621-20201231"</f>
        <v>1211621-20201231</v>
      </c>
      <c r="F596" t="str">
        <f>"BILL ID:1211621 HEALTH SVCS"</f>
        <v>BILL ID:1211621 HEALTH SVCS</v>
      </c>
      <c r="G596" s="4">
        <v>109.25</v>
      </c>
      <c r="H596" t="str">
        <f>"BILL ID:1211621 HEALTH SVCS"</f>
        <v>BILL ID:1211621 HEALTH SVCS</v>
      </c>
    </row>
    <row r="597" spans="1:8" x14ac:dyDescent="0.25">
      <c r="E597" t="str">
        <f>"1361725-20201231"</f>
        <v>1361725-20201231</v>
      </c>
      <c r="F597" t="str">
        <f>"BILLING ID:1361725/HEALTH SVCS"</f>
        <v>BILLING ID:1361725/HEALTH SVCS</v>
      </c>
      <c r="G597" s="4">
        <v>150</v>
      </c>
      <c r="H597" t="str">
        <f>"BILLING ID:1361725/HEALTH SVCS"</f>
        <v>BILLING ID:1361725/HEALTH SVCS</v>
      </c>
    </row>
    <row r="598" spans="1:8" x14ac:dyDescent="0.25">
      <c r="E598" t="str">
        <f>"1394645-20201231"</f>
        <v>1394645-20201231</v>
      </c>
      <c r="F598" t="str">
        <f>"BILL ID: 1394645/COUNTY CLERK"</f>
        <v>BILL ID: 1394645/COUNTY CLERK</v>
      </c>
      <c r="G598" s="4">
        <v>50</v>
      </c>
      <c r="H598" t="str">
        <f>"BILL ID: 1394645/COUNTY CLERK"</f>
        <v>BILL ID: 1394645/COUNTY CLERK</v>
      </c>
    </row>
    <row r="599" spans="1:8" x14ac:dyDescent="0.25">
      <c r="E599" t="str">
        <f>"1489870-20201231"</f>
        <v>1489870-20201231</v>
      </c>
      <c r="F599" t="str">
        <f>"BILLING ID:1489870"</f>
        <v>BILLING ID:1489870</v>
      </c>
      <c r="G599" s="4">
        <v>50</v>
      </c>
      <c r="H599" t="str">
        <f>"BILLING ID:1489870"</f>
        <v>BILLING ID:1489870</v>
      </c>
    </row>
    <row r="600" spans="1:8" x14ac:dyDescent="0.25">
      <c r="A600" t="s">
        <v>168</v>
      </c>
      <c r="B600">
        <v>134445</v>
      </c>
      <c r="C600" s="4">
        <v>2028.02</v>
      </c>
      <c r="D600" s="1">
        <v>44221</v>
      </c>
      <c r="E600" t="str">
        <f>"1965410"</f>
        <v>1965410</v>
      </c>
      <c r="F600" t="str">
        <f>"ACCT#15717 PCT#4"</f>
        <v>ACCT#15717 PCT#4</v>
      </c>
      <c r="G600" s="4">
        <v>2028.02</v>
      </c>
      <c r="H600" t="str">
        <f>"ACCT#15717 PCT#4"</f>
        <v>ACCT#15717 PCT#4</v>
      </c>
    </row>
    <row r="601" spans="1:8" x14ac:dyDescent="0.25">
      <c r="A601" t="s">
        <v>169</v>
      </c>
      <c r="B601">
        <v>3842</v>
      </c>
      <c r="C601" s="4">
        <v>22669.91</v>
      </c>
      <c r="D601" s="1">
        <v>44222</v>
      </c>
      <c r="E601" t="str">
        <f>"202101141217"</f>
        <v>202101141217</v>
      </c>
      <c r="F601" t="str">
        <f>"LONE STAR CIRCLE OF CARE HOME"</f>
        <v>LONE STAR CIRCLE OF CARE HOME</v>
      </c>
      <c r="G601" s="4">
        <v>22539.85</v>
      </c>
      <c r="H601" t="str">
        <f>"LONE STAR CIRCLE OF CARE HOME"</f>
        <v>LONE STAR CIRCLE OF CARE HOME</v>
      </c>
    </row>
    <row r="602" spans="1:8" x14ac:dyDescent="0.25">
      <c r="E602" t="str">
        <f>"202101191234"</f>
        <v>202101191234</v>
      </c>
      <c r="F602" t="str">
        <f>"INDIGENT HEALTH"</f>
        <v>INDIGENT HEALTH</v>
      </c>
      <c r="G602" s="4">
        <v>130.06</v>
      </c>
      <c r="H602" t="str">
        <f>"INDIGENT HEALTH"</f>
        <v>INDIGENT HEALTH</v>
      </c>
    </row>
    <row r="603" spans="1:8" x14ac:dyDescent="0.25">
      <c r="A603" t="s">
        <v>170</v>
      </c>
      <c r="B603">
        <v>3782</v>
      </c>
      <c r="C603" s="4">
        <v>450</v>
      </c>
      <c r="D603" s="1">
        <v>44208</v>
      </c>
      <c r="E603" t="str">
        <f>"LS-209ESCAPE-BCSO"</f>
        <v>LS-209ESCAPE-BCSO</v>
      </c>
      <c r="F603" t="str">
        <f>"INV LS-209ESCAPE-BCSO"</f>
        <v>INV LS-209ESCAPE-BCSO</v>
      </c>
      <c r="G603" s="4">
        <v>450</v>
      </c>
      <c r="H603" t="str">
        <f>"INV LS-209ESCAPE-BCSO"</f>
        <v>INV LS-209ESCAPE-BCSO</v>
      </c>
    </row>
    <row r="604" spans="1:8" x14ac:dyDescent="0.25">
      <c r="A604" t="s">
        <v>171</v>
      </c>
      <c r="B604">
        <v>3788</v>
      </c>
      <c r="C604" s="4">
        <v>455</v>
      </c>
      <c r="D604" s="1">
        <v>44208</v>
      </c>
      <c r="E604" t="str">
        <f>"202101051017"</f>
        <v>202101051017</v>
      </c>
      <c r="F604" t="str">
        <f>"TRASH REMOVAL 01/04-01/08"</f>
        <v>TRASH REMOVAL 01/04-01/08</v>
      </c>
      <c r="G604" s="4">
        <v>455</v>
      </c>
      <c r="H604" t="str">
        <f>"TRASH REMOVAL 01/04-01/08"</f>
        <v>TRASH REMOVAL 01/04-01/08</v>
      </c>
    </row>
    <row r="605" spans="1:8" x14ac:dyDescent="0.25">
      <c r="A605" t="s">
        <v>171</v>
      </c>
      <c r="B605">
        <v>3847</v>
      </c>
      <c r="C605" s="4">
        <v>559</v>
      </c>
      <c r="D605" s="1">
        <v>44222</v>
      </c>
      <c r="E605" t="str">
        <f>"202101191224"</f>
        <v>202101191224</v>
      </c>
      <c r="F605" t="str">
        <f>"TRASH REMOVAL PCT#4"</f>
        <v>TRASH REMOVAL PCT#4</v>
      </c>
      <c r="G605" s="4">
        <v>559</v>
      </c>
      <c r="H605" t="str">
        <f>"TRASH REMOVAL PCT#4"</f>
        <v>TRASH REMOVAL PCT#4</v>
      </c>
    </row>
    <row r="606" spans="1:8" x14ac:dyDescent="0.25">
      <c r="A606" t="s">
        <v>172</v>
      </c>
      <c r="B606">
        <v>3806</v>
      </c>
      <c r="C606" s="4">
        <v>80</v>
      </c>
      <c r="D606" s="1">
        <v>44208</v>
      </c>
      <c r="E606" t="str">
        <f>"10-0108405 10-0109"</f>
        <v>10-0108405 10-0109</v>
      </c>
      <c r="F606" t="str">
        <f>"INV 10-0108405/10-0109032"</f>
        <v>INV 10-0108405/10-0109032</v>
      </c>
      <c r="G606" s="4">
        <v>80</v>
      </c>
      <c r="H606" t="str">
        <f>"INV 10-0108405"</f>
        <v>INV 10-0108405</v>
      </c>
    </row>
    <row r="607" spans="1:8" x14ac:dyDescent="0.25">
      <c r="E607" t="str">
        <f>""</f>
        <v/>
      </c>
      <c r="F607" t="str">
        <f>""</f>
        <v/>
      </c>
      <c r="H607" t="str">
        <f>"INV 10-0109032"</f>
        <v>INV 10-0109032</v>
      </c>
    </row>
    <row r="608" spans="1:8" x14ac:dyDescent="0.25">
      <c r="A608" t="s">
        <v>173</v>
      </c>
      <c r="B608">
        <v>134446</v>
      </c>
      <c r="C608" s="4">
        <v>530</v>
      </c>
      <c r="D608" s="1">
        <v>44221</v>
      </c>
      <c r="E608" t="str">
        <f>"2090"</f>
        <v>2090</v>
      </c>
      <c r="F608" t="str">
        <f>"CARPET CLEANING COURTHOUSE"</f>
        <v>CARPET CLEANING COURTHOUSE</v>
      </c>
      <c r="G608" s="4">
        <v>89</v>
      </c>
      <c r="H608" t="str">
        <f>"CARPET CLEANING COURTHOUSE"</f>
        <v>CARPET CLEANING COURTHOUSE</v>
      </c>
    </row>
    <row r="609" spans="1:8" x14ac:dyDescent="0.25">
      <c r="E609" t="str">
        <f>"2091"</f>
        <v>2091</v>
      </c>
      <c r="F609" t="str">
        <f>"CARPET CLEAN CH AFTER HOURS"</f>
        <v>CARPET CLEAN CH AFTER HOURS</v>
      </c>
      <c r="G609" s="4">
        <v>441</v>
      </c>
      <c r="H609" t="str">
        <f>"CARPET CLEAN CH AFTER HOURS"</f>
        <v>CARPET CLEAN CH AFTER HOURS</v>
      </c>
    </row>
    <row r="610" spans="1:8" x14ac:dyDescent="0.25">
      <c r="A610" t="s">
        <v>174</v>
      </c>
      <c r="B610">
        <v>134447</v>
      </c>
      <c r="C610" s="4">
        <v>280</v>
      </c>
      <c r="D610" s="1">
        <v>44221</v>
      </c>
      <c r="E610" t="str">
        <f>"XT0000000271"</f>
        <v>XT0000000271</v>
      </c>
      <c r="F610" t="str">
        <f>"LABELS/SHIPPING"</f>
        <v>LABELS/SHIPPING</v>
      </c>
      <c r="G610" s="4">
        <v>280</v>
      </c>
      <c r="H610" t="str">
        <f>"LABELS/SHIPPING"</f>
        <v>LABELS/SHIPPING</v>
      </c>
    </row>
    <row r="611" spans="1:8" x14ac:dyDescent="0.25">
      <c r="A611" t="s">
        <v>175</v>
      </c>
      <c r="B611">
        <v>134448</v>
      </c>
      <c r="C611" s="4">
        <v>30.61</v>
      </c>
      <c r="D611" s="1">
        <v>44221</v>
      </c>
      <c r="E611" t="str">
        <f>"202101191235"</f>
        <v>202101191235</v>
      </c>
      <c r="F611" t="str">
        <f>"INDIGENT HEALTH"</f>
        <v>INDIGENT HEALTH</v>
      </c>
      <c r="G611" s="4">
        <v>30.61</v>
      </c>
      <c r="H611" t="str">
        <f>"INDIGENT HEALTH"</f>
        <v>INDIGENT HEALTH</v>
      </c>
    </row>
    <row r="612" spans="1:8" x14ac:dyDescent="0.25">
      <c r="A612" t="s">
        <v>176</v>
      </c>
      <c r="B612">
        <v>134330</v>
      </c>
      <c r="C612" s="4">
        <v>553.58000000000004</v>
      </c>
      <c r="D612" s="1">
        <v>44207</v>
      </c>
      <c r="E612" t="str">
        <f>"INV001946996"</f>
        <v>INV001946996</v>
      </c>
      <c r="F612" t="str">
        <f>"INV001946996"</f>
        <v>INV001946996</v>
      </c>
      <c r="G612" s="4">
        <v>553.58000000000004</v>
      </c>
      <c r="H612" t="str">
        <f>"INV001946996"</f>
        <v>INV001946996</v>
      </c>
    </row>
    <row r="613" spans="1:8" x14ac:dyDescent="0.25">
      <c r="A613" t="s">
        <v>177</v>
      </c>
      <c r="B613">
        <v>3780</v>
      </c>
      <c r="C613" s="4">
        <v>1956</v>
      </c>
      <c r="D613" s="1">
        <v>44208</v>
      </c>
      <c r="E613" t="str">
        <f>"202101040984"</f>
        <v>202101040984</v>
      </c>
      <c r="F613" t="str">
        <f>"19-19849"</f>
        <v>19-19849</v>
      </c>
      <c r="G613" s="4">
        <v>787.5</v>
      </c>
      <c r="H613" t="str">
        <f>"19-19849"</f>
        <v>19-19849</v>
      </c>
    </row>
    <row r="614" spans="1:8" x14ac:dyDescent="0.25">
      <c r="E614" t="str">
        <f>"202101040985"</f>
        <v>202101040985</v>
      </c>
      <c r="F614" t="str">
        <f>"20-20454"</f>
        <v>20-20454</v>
      </c>
      <c r="G614" s="4">
        <v>525</v>
      </c>
      <c r="H614" t="str">
        <f>"20-20454"</f>
        <v>20-20454</v>
      </c>
    </row>
    <row r="615" spans="1:8" x14ac:dyDescent="0.25">
      <c r="E615" t="str">
        <f>"202101040986"</f>
        <v>202101040986</v>
      </c>
      <c r="F615" t="str">
        <f>"02-0802-5"</f>
        <v>02-0802-5</v>
      </c>
      <c r="G615" s="4">
        <v>125</v>
      </c>
      <c r="H615" t="str">
        <f>"02-0802-5"</f>
        <v>02-0802-5</v>
      </c>
    </row>
    <row r="616" spans="1:8" x14ac:dyDescent="0.25">
      <c r="E616" t="str">
        <f>"202101040987"</f>
        <v>202101040987</v>
      </c>
      <c r="F616" t="str">
        <f>"20-20207"</f>
        <v>20-20207</v>
      </c>
      <c r="G616" s="4">
        <v>393.5</v>
      </c>
      <c r="H616" t="str">
        <f>"20-20207"</f>
        <v>20-20207</v>
      </c>
    </row>
    <row r="617" spans="1:8" x14ac:dyDescent="0.25">
      <c r="E617" t="str">
        <f>"202101040988"</f>
        <v>202101040988</v>
      </c>
      <c r="F617" t="str">
        <f>"0M 2020053OA 925-357-3619A001"</f>
        <v>0M 2020053OA 925-357-3619A001</v>
      </c>
      <c r="G617" s="4">
        <v>125</v>
      </c>
      <c r="H617" t="str">
        <f>"0M 2020053OA 925-357-3619A001"</f>
        <v>0M 2020053OA 925-357-3619A001</v>
      </c>
    </row>
    <row r="618" spans="1:8" x14ac:dyDescent="0.25">
      <c r="A618" t="s">
        <v>177</v>
      </c>
      <c r="B618">
        <v>3839</v>
      </c>
      <c r="C618" s="4">
        <v>2450</v>
      </c>
      <c r="D618" s="1">
        <v>44222</v>
      </c>
      <c r="E618" t="str">
        <f>"202101201279"</f>
        <v>202101201279</v>
      </c>
      <c r="F618" t="str">
        <f>"17-18433"</f>
        <v>17-18433</v>
      </c>
      <c r="G618" s="4">
        <v>100</v>
      </c>
      <c r="H618" t="str">
        <f>"17-18433"</f>
        <v>17-18433</v>
      </c>
    </row>
    <row r="619" spans="1:8" x14ac:dyDescent="0.25">
      <c r="E619" t="str">
        <f>"202101201280"</f>
        <v>202101201280</v>
      </c>
      <c r="F619" t="str">
        <f>"20-20482"</f>
        <v>20-20482</v>
      </c>
      <c r="G619" s="4">
        <v>100</v>
      </c>
      <c r="H619" t="str">
        <f>"20-20482"</f>
        <v>20-20482</v>
      </c>
    </row>
    <row r="620" spans="1:8" x14ac:dyDescent="0.25">
      <c r="E620" t="str">
        <f>"202101201281"</f>
        <v>202101201281</v>
      </c>
      <c r="F620" t="str">
        <f>"20-20482"</f>
        <v>20-20482</v>
      </c>
      <c r="G620" s="4">
        <v>100</v>
      </c>
      <c r="H620" t="str">
        <f>"20-20482"</f>
        <v>20-20482</v>
      </c>
    </row>
    <row r="621" spans="1:8" x14ac:dyDescent="0.25">
      <c r="E621" t="str">
        <f>"202101201282"</f>
        <v>202101201282</v>
      </c>
      <c r="F621" t="str">
        <f>"19-19849"</f>
        <v>19-19849</v>
      </c>
      <c r="G621" s="4">
        <v>100</v>
      </c>
      <c r="H621" t="str">
        <f>"19-19849"</f>
        <v>19-19849</v>
      </c>
    </row>
    <row r="622" spans="1:8" x14ac:dyDescent="0.25">
      <c r="E622" t="str">
        <f>"202101201283"</f>
        <v>202101201283</v>
      </c>
      <c r="F622" t="str">
        <f>"19-19857"</f>
        <v>19-19857</v>
      </c>
      <c r="G622" s="4">
        <v>100</v>
      </c>
      <c r="H622" t="str">
        <f>"19-19857"</f>
        <v>19-19857</v>
      </c>
    </row>
    <row r="623" spans="1:8" x14ac:dyDescent="0.25">
      <c r="E623" t="str">
        <f>"202101201284"</f>
        <v>202101201284</v>
      </c>
      <c r="F623" t="str">
        <f>"J-3232"</f>
        <v>J-3232</v>
      </c>
      <c r="G623" s="4">
        <v>250</v>
      </c>
      <c r="H623" t="str">
        <f>"J-3232"</f>
        <v>J-3232</v>
      </c>
    </row>
    <row r="624" spans="1:8" x14ac:dyDescent="0.25">
      <c r="E624" t="str">
        <f>"202101201285"</f>
        <v>202101201285</v>
      </c>
      <c r="F624" t="str">
        <f>"DETENTION HEARING"</f>
        <v>DETENTION HEARING</v>
      </c>
      <c r="G624" s="4">
        <v>100</v>
      </c>
      <c r="H624" t="str">
        <f>"DETENTION HEARING"</f>
        <v>DETENTION HEARING</v>
      </c>
    </row>
    <row r="625" spans="1:8" x14ac:dyDescent="0.25">
      <c r="E625" t="str">
        <f>"202101201286"</f>
        <v>202101201286</v>
      </c>
      <c r="F625" t="str">
        <f>"20-20454"</f>
        <v>20-20454</v>
      </c>
      <c r="G625" s="4">
        <v>637.5</v>
      </c>
      <c r="H625" t="str">
        <f>"20-20454"</f>
        <v>20-20454</v>
      </c>
    </row>
    <row r="626" spans="1:8" x14ac:dyDescent="0.25">
      <c r="E626" t="str">
        <f>"202101201287"</f>
        <v>202101201287</v>
      </c>
      <c r="F626" t="str">
        <f>"20-20056"</f>
        <v>20-20056</v>
      </c>
      <c r="G626" s="4">
        <v>862.5</v>
      </c>
      <c r="H626" t="str">
        <f>"20-20056"</f>
        <v>20-20056</v>
      </c>
    </row>
    <row r="627" spans="1:8" x14ac:dyDescent="0.25">
      <c r="E627" t="str">
        <f>"202101201342"</f>
        <v>202101201342</v>
      </c>
      <c r="F627" t="str">
        <f>"19-19849"</f>
        <v>19-19849</v>
      </c>
      <c r="G627" s="4">
        <v>100</v>
      </c>
      <c r="H627" t="str">
        <f>"19-19849"</f>
        <v>19-19849</v>
      </c>
    </row>
    <row r="628" spans="1:8" x14ac:dyDescent="0.25">
      <c r="A628" t="s">
        <v>178</v>
      </c>
      <c r="B628">
        <v>134449</v>
      </c>
      <c r="C628" s="4">
        <v>329.08</v>
      </c>
      <c r="D628" s="1">
        <v>44221</v>
      </c>
      <c r="E628" t="str">
        <f>"22843206"</f>
        <v>22843206</v>
      </c>
      <c r="F628" t="str">
        <f>"ACCT#41472 PCT#1"</f>
        <v>ACCT#41472 PCT#1</v>
      </c>
      <c r="G628" s="4">
        <v>29.73</v>
      </c>
      <c r="H628" t="str">
        <f>"ACCT#41472 PCT#1"</f>
        <v>ACCT#41472 PCT#1</v>
      </c>
    </row>
    <row r="629" spans="1:8" x14ac:dyDescent="0.25">
      <c r="E629" t="str">
        <f>"22843276"</f>
        <v>22843276</v>
      </c>
      <c r="F629" t="str">
        <f>"ACCT#45057 PCT#4"</f>
        <v>ACCT#45057 PCT#4</v>
      </c>
      <c r="G629" s="4">
        <v>54.73</v>
      </c>
      <c r="H629" t="str">
        <f>"ACCT#45057 PCT#4"</f>
        <v>ACCT#45057 PCT#4</v>
      </c>
    </row>
    <row r="630" spans="1:8" x14ac:dyDescent="0.25">
      <c r="E630" t="str">
        <f>"22843325"</f>
        <v>22843325</v>
      </c>
      <c r="F630" t="str">
        <f>"INV 22843325"</f>
        <v>INV 22843325</v>
      </c>
      <c r="G630" s="4">
        <v>64.62</v>
      </c>
      <c r="H630" t="str">
        <f>"INV 22843325"</f>
        <v>INV 22843325</v>
      </c>
    </row>
    <row r="631" spans="1:8" x14ac:dyDescent="0.25">
      <c r="E631" t="str">
        <f>"22850591"</f>
        <v>22850591</v>
      </c>
      <c r="F631" t="str">
        <f>"ACCT# S9549 PCT#1"</f>
        <v>ACCT# S9549 PCT#1</v>
      </c>
      <c r="G631" s="4">
        <v>180</v>
      </c>
      <c r="H631" t="str">
        <f>"ACCT# S9549 PCT#1"</f>
        <v>ACCT# S9549 PCT#1</v>
      </c>
    </row>
    <row r="632" spans="1:8" x14ac:dyDescent="0.25">
      <c r="A632" t="s">
        <v>179</v>
      </c>
      <c r="B632">
        <v>134331</v>
      </c>
      <c r="C632" s="4">
        <v>15701.17</v>
      </c>
      <c r="D632" s="1">
        <v>44207</v>
      </c>
      <c r="E632" t="str">
        <f>"202101061027"</f>
        <v>202101061027</v>
      </c>
      <c r="F632" t="str">
        <f>"DELINQUENT TAX COLLECTION-DEC"</f>
        <v>DELINQUENT TAX COLLECTION-DEC</v>
      </c>
      <c r="G632" s="4">
        <v>15701.17</v>
      </c>
      <c r="H632" t="str">
        <f>"DELINQUENT TAX COLLECTION-DEC"</f>
        <v>DELINQUENT TAX COLLECTION-DEC</v>
      </c>
    </row>
    <row r="633" spans="1:8" x14ac:dyDescent="0.25">
      <c r="A633" t="s">
        <v>179</v>
      </c>
      <c r="B633">
        <v>134450</v>
      </c>
      <c r="C633" s="4">
        <v>820</v>
      </c>
      <c r="D633" s="1">
        <v>44221</v>
      </c>
      <c r="E633" t="str">
        <f>"11311"</f>
        <v>11311</v>
      </c>
      <c r="F633" t="str">
        <f>"SERVICE&amp; ABST FEE"</f>
        <v>SERVICE&amp; ABST FEE</v>
      </c>
      <c r="G633" s="4">
        <v>370</v>
      </c>
      <c r="H633" t="str">
        <f>"SERVICE&amp; ABST FEE"</f>
        <v>SERVICE&amp; ABST FEE</v>
      </c>
    </row>
    <row r="634" spans="1:8" x14ac:dyDescent="0.25">
      <c r="E634" t="str">
        <f>"13011"</f>
        <v>13011</v>
      </c>
      <c r="F634" t="str">
        <f>"ABST FEE"</f>
        <v>ABST FEE</v>
      </c>
      <c r="G634" s="4">
        <v>225</v>
      </c>
      <c r="H634" t="str">
        <f>"ABST FEE"</f>
        <v>ABST FEE</v>
      </c>
    </row>
    <row r="635" spans="1:8" x14ac:dyDescent="0.25">
      <c r="E635" t="str">
        <f>"13377"</f>
        <v>13377</v>
      </c>
      <c r="F635" t="str">
        <f>"ABST FEE"</f>
        <v>ABST FEE</v>
      </c>
      <c r="G635" s="4">
        <v>225</v>
      </c>
      <c r="H635" t="str">
        <f>"ABST FEE"</f>
        <v>ABST FEE</v>
      </c>
    </row>
    <row r="636" spans="1:8" x14ac:dyDescent="0.25">
      <c r="A636" t="s">
        <v>180</v>
      </c>
      <c r="B636">
        <v>134451</v>
      </c>
      <c r="C636" s="4">
        <v>1022.34</v>
      </c>
      <c r="D636" s="1">
        <v>44221</v>
      </c>
      <c r="E636" t="str">
        <f>"17095812"</f>
        <v>17095812</v>
      </c>
      <c r="F636" t="str">
        <f>"INV 17095812"</f>
        <v>INV 17095812</v>
      </c>
      <c r="G636" s="4">
        <v>1022.34</v>
      </c>
      <c r="H636" t="str">
        <f>"INV 17095812"</f>
        <v>INV 17095812</v>
      </c>
    </row>
    <row r="637" spans="1:8" x14ac:dyDescent="0.25">
      <c r="E637" t="str">
        <f>""</f>
        <v/>
      </c>
      <c r="F637" t="str">
        <f>""</f>
        <v/>
      </c>
      <c r="H637" t="str">
        <f>"INV 17096504"</f>
        <v>INV 17096504</v>
      </c>
    </row>
    <row r="638" spans="1:8" x14ac:dyDescent="0.25">
      <c r="E638" t="str">
        <f>""</f>
        <v/>
      </c>
      <c r="F638" t="str">
        <f>""</f>
        <v/>
      </c>
      <c r="H638" t="str">
        <f>"INV 17105657"</f>
        <v>INV 17105657</v>
      </c>
    </row>
    <row r="639" spans="1:8" x14ac:dyDescent="0.25">
      <c r="E639" t="str">
        <f>""</f>
        <v/>
      </c>
      <c r="F639" t="str">
        <f>""</f>
        <v/>
      </c>
      <c r="H639" t="str">
        <f>"INV 17121612"</f>
        <v>INV 17121612</v>
      </c>
    </row>
    <row r="640" spans="1:8" x14ac:dyDescent="0.25">
      <c r="A640" t="s">
        <v>181</v>
      </c>
      <c r="B640">
        <v>134452</v>
      </c>
      <c r="C640" s="4">
        <v>1712.66</v>
      </c>
      <c r="D640" s="1">
        <v>44221</v>
      </c>
      <c r="E640" t="str">
        <f>"202101191227"</f>
        <v>202101191227</v>
      </c>
      <c r="F640" t="str">
        <f>"INDIGENT HEALTH"</f>
        <v>INDIGENT HEALTH</v>
      </c>
      <c r="G640" s="4">
        <v>1712.66</v>
      </c>
      <c r="H640" t="str">
        <f>"INDIGENT HEALTH"</f>
        <v>INDIGENT HEALTH</v>
      </c>
    </row>
    <row r="641" spans="1:8" x14ac:dyDescent="0.25">
      <c r="A641" t="s">
        <v>182</v>
      </c>
      <c r="B641">
        <v>134453</v>
      </c>
      <c r="C641" s="4">
        <v>74.62</v>
      </c>
      <c r="D641" s="1">
        <v>44221</v>
      </c>
      <c r="E641" t="str">
        <f>"202101201250"</f>
        <v>202101201250</v>
      </c>
      <c r="F641" t="str">
        <f>"REIMBURSE - TRACTOR SUP"</f>
        <v>REIMBURSE - TRACTOR SUP</v>
      </c>
      <c r="G641" s="4">
        <v>74.62</v>
      </c>
      <c r="H641" t="str">
        <f>"REIMBURSEMENT"</f>
        <v>REIMBURSEMENT</v>
      </c>
    </row>
    <row r="642" spans="1:8" x14ac:dyDescent="0.25">
      <c r="A642" t="s">
        <v>183</v>
      </c>
      <c r="B642">
        <v>3772</v>
      </c>
      <c r="C642" s="4">
        <v>11850.8</v>
      </c>
      <c r="D642" s="1">
        <v>44208</v>
      </c>
      <c r="E642" t="str">
        <f>"23695"</f>
        <v>23695</v>
      </c>
      <c r="F642" t="str">
        <f>"FREIGHT SALES/PCT#2"</f>
        <v>FREIGHT SALES/PCT#2</v>
      </c>
      <c r="G642" s="4">
        <v>2952.35</v>
      </c>
      <c r="H642" t="str">
        <f>"FREIGHT SALES/PCT#2"</f>
        <v>FREIGHT SALES/PCT#2</v>
      </c>
    </row>
    <row r="643" spans="1:8" x14ac:dyDescent="0.25">
      <c r="E643" t="str">
        <f>"23747"</f>
        <v>23747</v>
      </c>
      <c r="F643" t="str">
        <f>"FREIGHT SALES/PCT#2"</f>
        <v>FREIGHT SALES/PCT#2</v>
      </c>
      <c r="G643" s="4">
        <v>4220.1499999999996</v>
      </c>
      <c r="H643" t="str">
        <f>"FREIGHT SALES/PCT#2"</f>
        <v>FREIGHT SALES/PCT#2</v>
      </c>
    </row>
    <row r="644" spans="1:8" x14ac:dyDescent="0.25">
      <c r="E644" t="str">
        <f>"23795"</f>
        <v>23795</v>
      </c>
      <c r="F644" t="str">
        <f>"FREIGHT SALES/PCT#2"</f>
        <v>FREIGHT SALES/PCT#2</v>
      </c>
      <c r="G644" s="4">
        <v>4678.3</v>
      </c>
      <c r="H644" t="str">
        <f>"FREIGHT SALES/PCT#2"</f>
        <v>FREIGHT SALES/PCT#2</v>
      </c>
    </row>
    <row r="645" spans="1:8" x14ac:dyDescent="0.25">
      <c r="A645" t="s">
        <v>183</v>
      </c>
      <c r="B645">
        <v>3828</v>
      </c>
      <c r="C645" s="4">
        <v>2788.5</v>
      </c>
      <c r="D645" s="1">
        <v>44222</v>
      </c>
      <c r="E645" t="str">
        <f>"23839"</f>
        <v>23839</v>
      </c>
      <c r="F645" t="str">
        <f>"FREIGHT SALES PCT#2"</f>
        <v>FREIGHT SALES PCT#2</v>
      </c>
      <c r="G645" s="4">
        <v>2788.5</v>
      </c>
      <c r="H645" t="str">
        <f>"FREIGHT SALES PCT#2"</f>
        <v>FREIGHT SALES PCT#2</v>
      </c>
    </row>
    <row r="646" spans="1:8" x14ac:dyDescent="0.25">
      <c r="A646" t="s">
        <v>184</v>
      </c>
      <c r="B646">
        <v>134245</v>
      </c>
      <c r="C646" s="4">
        <v>20</v>
      </c>
      <c r="D646" s="1">
        <v>44203</v>
      </c>
      <c r="E646" t="str">
        <f>"202101071130"</f>
        <v>202101071130</v>
      </c>
      <c r="F646" t="str">
        <f>"Miscel"</f>
        <v>Miscel</v>
      </c>
      <c r="G646" s="4">
        <v>20</v>
      </c>
      <c r="H646" t="str">
        <f>"GREGORY N BICKWERMERT"</f>
        <v>GREGORY N BICKWERMERT</v>
      </c>
    </row>
    <row r="647" spans="1:8" x14ac:dyDescent="0.25">
      <c r="A647" t="s">
        <v>185</v>
      </c>
      <c r="B647">
        <v>134246</v>
      </c>
      <c r="C647" s="4">
        <v>20</v>
      </c>
      <c r="D647" s="1">
        <v>44203</v>
      </c>
      <c r="E647" t="str">
        <f>"202101071131"</f>
        <v>202101071131</v>
      </c>
      <c r="F647" t="str">
        <f>"Miscell"</f>
        <v>Miscell</v>
      </c>
      <c r="G647" s="4">
        <v>20</v>
      </c>
      <c r="H647" t="str">
        <f>"ZACHARY TAYLOR THARP"</f>
        <v>ZACHARY TAYLOR THARP</v>
      </c>
    </row>
    <row r="648" spans="1:8" x14ac:dyDescent="0.25">
      <c r="A648" t="s">
        <v>186</v>
      </c>
      <c r="B648">
        <v>134247</v>
      </c>
      <c r="C648" s="4">
        <v>20</v>
      </c>
      <c r="D648" s="1">
        <v>44203</v>
      </c>
      <c r="E648" t="str">
        <f>"202101071132"</f>
        <v>202101071132</v>
      </c>
      <c r="F648" t="str">
        <f>"Miscel"</f>
        <v>Miscel</v>
      </c>
      <c r="G648" s="4">
        <v>20</v>
      </c>
      <c r="H648" t="str">
        <f>"RONA MICHELLE SHEERAN"</f>
        <v>RONA MICHELLE SHEERAN</v>
      </c>
    </row>
    <row r="649" spans="1:8" x14ac:dyDescent="0.25">
      <c r="A649" t="s">
        <v>187</v>
      </c>
      <c r="B649">
        <v>134248</v>
      </c>
      <c r="C649" s="4">
        <v>20</v>
      </c>
      <c r="D649" s="1">
        <v>44203</v>
      </c>
      <c r="E649" t="str">
        <f>"202101071133"</f>
        <v>202101071133</v>
      </c>
      <c r="F649" t="str">
        <f>"Miscellane"</f>
        <v>Miscellane</v>
      </c>
      <c r="G649" s="4">
        <v>20</v>
      </c>
      <c r="H649" t="str">
        <f>"ANNE ELISE ROGERS"</f>
        <v>ANNE ELISE ROGERS</v>
      </c>
    </row>
    <row r="650" spans="1:8" x14ac:dyDescent="0.25">
      <c r="A650" t="s">
        <v>188</v>
      </c>
      <c r="B650">
        <v>134249</v>
      </c>
      <c r="C650" s="4">
        <v>20</v>
      </c>
      <c r="D650" s="1">
        <v>44203</v>
      </c>
      <c r="E650" t="str">
        <f>"202101071134"</f>
        <v>202101071134</v>
      </c>
      <c r="F650" t="str">
        <f>"Miscellan"</f>
        <v>Miscellan</v>
      </c>
      <c r="G650" s="4">
        <v>20</v>
      </c>
      <c r="H650" t="str">
        <f>"JOHN DANIEL ROBLES"</f>
        <v>JOHN DANIEL ROBLES</v>
      </c>
    </row>
    <row r="651" spans="1:8" x14ac:dyDescent="0.25">
      <c r="A651" t="s">
        <v>189</v>
      </c>
      <c r="B651">
        <v>134250</v>
      </c>
      <c r="C651" s="4">
        <v>20</v>
      </c>
      <c r="D651" s="1">
        <v>44203</v>
      </c>
      <c r="E651" t="str">
        <f>"202101071135"</f>
        <v>202101071135</v>
      </c>
      <c r="F651" t="str">
        <f>"Miscel"</f>
        <v>Miscel</v>
      </c>
      <c r="G651" s="4">
        <v>20</v>
      </c>
      <c r="H651" t="str">
        <f>"JEANNIE MARIE RICHTER"</f>
        <v>JEANNIE MARIE RICHTER</v>
      </c>
    </row>
    <row r="652" spans="1:8" x14ac:dyDescent="0.25">
      <c r="A652" t="s">
        <v>190</v>
      </c>
      <c r="B652">
        <v>134251</v>
      </c>
      <c r="C652" s="4">
        <v>20</v>
      </c>
      <c r="D652" s="1">
        <v>44203</v>
      </c>
      <c r="E652" t="str">
        <f>"202101071136"</f>
        <v>202101071136</v>
      </c>
      <c r="F652" t="str">
        <f>"M"</f>
        <v>M</v>
      </c>
      <c r="G652" s="4">
        <v>20</v>
      </c>
      <c r="H652" t="str">
        <f>"MARCOS ANTONIO PEREZ-AYALA"</f>
        <v>MARCOS ANTONIO PEREZ-AYALA</v>
      </c>
    </row>
    <row r="653" spans="1:8" x14ac:dyDescent="0.25">
      <c r="A653" t="s">
        <v>191</v>
      </c>
      <c r="B653">
        <v>134252</v>
      </c>
      <c r="C653" s="4">
        <v>20</v>
      </c>
      <c r="D653" s="1">
        <v>44203</v>
      </c>
      <c r="E653" t="str">
        <f>"202101071137"</f>
        <v>202101071137</v>
      </c>
      <c r="F653" t="str">
        <f>"Miscell"</f>
        <v>Miscell</v>
      </c>
      <c r="G653" s="4">
        <v>20</v>
      </c>
      <c r="H653" t="str">
        <f>"GAIL BELLAH MCDONALD"</f>
        <v>GAIL BELLAH MCDONALD</v>
      </c>
    </row>
    <row r="654" spans="1:8" x14ac:dyDescent="0.25">
      <c r="A654" t="s">
        <v>192</v>
      </c>
      <c r="B654">
        <v>134253</v>
      </c>
      <c r="C654" s="4">
        <v>20</v>
      </c>
      <c r="D654" s="1">
        <v>44203</v>
      </c>
      <c r="E654" t="str">
        <f>"202101071138"</f>
        <v>202101071138</v>
      </c>
      <c r="F654" t="str">
        <f>""</f>
        <v/>
      </c>
      <c r="G654" s="4">
        <v>20</v>
      </c>
      <c r="H654" t="str">
        <f>"EDBALDO GUADALUPE LOPEZ-MARTIN"</f>
        <v>EDBALDO GUADALUPE LOPEZ-MARTIN</v>
      </c>
    </row>
    <row r="655" spans="1:8" x14ac:dyDescent="0.25">
      <c r="A655" t="s">
        <v>193</v>
      </c>
      <c r="B655">
        <v>134254</v>
      </c>
      <c r="C655" s="4">
        <v>20</v>
      </c>
      <c r="D655" s="1">
        <v>44203</v>
      </c>
      <c r="E655" t="str">
        <f>"202101071139"</f>
        <v>202101071139</v>
      </c>
      <c r="F655" t="str">
        <f>"Miscella"</f>
        <v>Miscella</v>
      </c>
      <c r="G655" s="4">
        <v>20</v>
      </c>
      <c r="H655" t="str">
        <f>"CHARLES BRYAN HAZEL"</f>
        <v>CHARLES BRYAN HAZEL</v>
      </c>
    </row>
    <row r="656" spans="1:8" x14ac:dyDescent="0.25">
      <c r="A656" t="s">
        <v>194</v>
      </c>
      <c r="B656">
        <v>134255</v>
      </c>
      <c r="C656" s="4">
        <v>20</v>
      </c>
      <c r="D656" s="1">
        <v>44203</v>
      </c>
      <c r="E656" t="str">
        <f>"202101071140"</f>
        <v>202101071140</v>
      </c>
      <c r="F656" t="str">
        <f>"Miscel"</f>
        <v>Miscel</v>
      </c>
      <c r="G656" s="4">
        <v>20</v>
      </c>
      <c r="H656" t="str">
        <f>"BRYSON EARL HARDEE JR"</f>
        <v>BRYSON EARL HARDEE JR</v>
      </c>
    </row>
    <row r="657" spans="1:8" x14ac:dyDescent="0.25">
      <c r="A657" t="s">
        <v>195</v>
      </c>
      <c r="B657">
        <v>134256</v>
      </c>
      <c r="C657" s="4">
        <v>20</v>
      </c>
      <c r="D657" s="1">
        <v>44203</v>
      </c>
      <c r="E657" t="str">
        <f>"202101071141"</f>
        <v>202101071141</v>
      </c>
      <c r="F657" t="str">
        <f>"Miscel"</f>
        <v>Miscel</v>
      </c>
      <c r="G657" s="4">
        <v>20</v>
      </c>
      <c r="H657" t="str">
        <f>"PHILIP MICHAEL GOERTZ"</f>
        <v>PHILIP MICHAEL GOERTZ</v>
      </c>
    </row>
    <row r="658" spans="1:8" x14ac:dyDescent="0.25">
      <c r="A658" t="s">
        <v>196</v>
      </c>
      <c r="B658">
        <v>134257</v>
      </c>
      <c r="C658" s="4">
        <v>20</v>
      </c>
      <c r="D658" s="1">
        <v>44203</v>
      </c>
      <c r="E658" t="str">
        <f>"202101071142"</f>
        <v>202101071142</v>
      </c>
      <c r="F658" t="str">
        <f>"Miscella"</f>
        <v>Miscella</v>
      </c>
      <c r="G658" s="4">
        <v>20</v>
      </c>
      <c r="H658" t="str">
        <f>"JESSE LAMAR CROWELL"</f>
        <v>JESSE LAMAR CROWELL</v>
      </c>
    </row>
    <row r="659" spans="1:8" x14ac:dyDescent="0.25">
      <c r="A659" t="s">
        <v>197</v>
      </c>
      <c r="B659">
        <v>134258</v>
      </c>
      <c r="C659" s="4">
        <v>20</v>
      </c>
      <c r="D659" s="1">
        <v>44203</v>
      </c>
      <c r="E659" t="str">
        <f>"202101071143"</f>
        <v>202101071143</v>
      </c>
      <c r="F659" t="str">
        <f>"Mi"</f>
        <v>Mi</v>
      </c>
      <c r="G659" s="4">
        <v>20</v>
      </c>
      <c r="H659" t="str">
        <f>"KENNITH DWAYNE CLOPTON II"</f>
        <v>KENNITH DWAYNE CLOPTON II</v>
      </c>
    </row>
    <row r="660" spans="1:8" x14ac:dyDescent="0.25">
      <c r="A660" t="s">
        <v>198</v>
      </c>
      <c r="B660">
        <v>134259</v>
      </c>
      <c r="C660" s="4">
        <v>20</v>
      </c>
      <c r="D660" s="1">
        <v>44203</v>
      </c>
      <c r="E660" t="str">
        <f>"202101071144"</f>
        <v>202101071144</v>
      </c>
      <c r="F660" t="str">
        <f>"Miscel"</f>
        <v>Miscel</v>
      </c>
      <c r="G660" s="4">
        <v>20</v>
      </c>
      <c r="H660" t="str">
        <f>"STEVE RAY CHAMBERLAIN"</f>
        <v>STEVE RAY CHAMBERLAIN</v>
      </c>
    </row>
    <row r="661" spans="1:8" x14ac:dyDescent="0.25">
      <c r="A661" t="s">
        <v>199</v>
      </c>
      <c r="B661">
        <v>134260</v>
      </c>
      <c r="C661" s="4">
        <v>20</v>
      </c>
      <c r="D661" s="1">
        <v>44203</v>
      </c>
      <c r="E661" t="str">
        <f>"202101071145"</f>
        <v>202101071145</v>
      </c>
      <c r="F661" t="str">
        <f>"Miscel"</f>
        <v>Miscel</v>
      </c>
      <c r="G661" s="4">
        <v>20</v>
      </c>
      <c r="H661" t="str">
        <f>"RONALD DALE BLACKMORE"</f>
        <v>RONALD DALE BLACKMORE</v>
      </c>
    </row>
    <row r="662" spans="1:8" x14ac:dyDescent="0.25">
      <c r="A662" t="s">
        <v>200</v>
      </c>
      <c r="B662">
        <v>134261</v>
      </c>
      <c r="C662" s="4">
        <v>20</v>
      </c>
      <c r="D662" s="1">
        <v>44203</v>
      </c>
      <c r="E662" t="str">
        <f>"202101071146"</f>
        <v>202101071146</v>
      </c>
      <c r="F662" t="str">
        <f>"Miscella"</f>
        <v>Miscella</v>
      </c>
      <c r="G662" s="4">
        <v>20</v>
      </c>
      <c r="H662" t="str">
        <f>"THOMAS EDWARD WHITE"</f>
        <v>THOMAS EDWARD WHITE</v>
      </c>
    </row>
    <row r="663" spans="1:8" x14ac:dyDescent="0.25">
      <c r="A663" t="s">
        <v>201</v>
      </c>
      <c r="B663">
        <v>134262</v>
      </c>
      <c r="C663" s="4">
        <v>20</v>
      </c>
      <c r="D663" s="1">
        <v>44203</v>
      </c>
      <c r="E663" t="str">
        <f>"202101071147"</f>
        <v>202101071147</v>
      </c>
      <c r="F663" t="str">
        <f>"Mi"</f>
        <v>Mi</v>
      </c>
      <c r="G663" s="4">
        <v>20</v>
      </c>
      <c r="H663" t="str">
        <f>"SAMELLA THOMPSON WILLIAMS"</f>
        <v>SAMELLA THOMPSON WILLIAMS</v>
      </c>
    </row>
    <row r="664" spans="1:8" x14ac:dyDescent="0.25">
      <c r="A664" t="s">
        <v>202</v>
      </c>
      <c r="B664">
        <v>134263</v>
      </c>
      <c r="C664" s="4">
        <v>20</v>
      </c>
      <c r="D664" s="1">
        <v>44203</v>
      </c>
      <c r="E664" t="str">
        <f>"202101071148"</f>
        <v>202101071148</v>
      </c>
      <c r="F664" t="str">
        <f>"Miscel"</f>
        <v>Miscel</v>
      </c>
      <c r="G664" s="4">
        <v>20</v>
      </c>
      <c r="H664" t="str">
        <f>"ALFRED CHARLES CARTER"</f>
        <v>ALFRED CHARLES CARTER</v>
      </c>
    </row>
    <row r="665" spans="1:8" x14ac:dyDescent="0.25">
      <c r="A665" t="s">
        <v>203</v>
      </c>
      <c r="B665">
        <v>134264</v>
      </c>
      <c r="C665" s="4">
        <v>20</v>
      </c>
      <c r="D665" s="1">
        <v>44203</v>
      </c>
      <c r="E665" t="str">
        <f>"202101071149"</f>
        <v>202101071149</v>
      </c>
      <c r="F665" t="str">
        <f>"Miscellane"</f>
        <v>Miscellane</v>
      </c>
      <c r="G665" s="4">
        <v>20</v>
      </c>
      <c r="H665" t="str">
        <f>"CINDY LEE VASQUEZ"</f>
        <v>CINDY LEE VASQUEZ</v>
      </c>
    </row>
    <row r="666" spans="1:8" x14ac:dyDescent="0.25">
      <c r="A666" t="s">
        <v>204</v>
      </c>
      <c r="B666">
        <v>134265</v>
      </c>
      <c r="C666" s="4">
        <v>20</v>
      </c>
      <c r="D666" s="1">
        <v>44203</v>
      </c>
      <c r="E666" t="str">
        <f>"202101071150"</f>
        <v>202101071150</v>
      </c>
      <c r="F666" t="str">
        <f>"Miscell"</f>
        <v>Miscell</v>
      </c>
      <c r="G666" s="4">
        <v>20</v>
      </c>
      <c r="H666" t="str">
        <f>"BRAD MARTIN LINDGREN"</f>
        <v>BRAD MARTIN LINDGREN</v>
      </c>
    </row>
    <row r="667" spans="1:8" x14ac:dyDescent="0.25">
      <c r="A667" t="s">
        <v>205</v>
      </c>
      <c r="B667">
        <v>134266</v>
      </c>
      <c r="C667" s="4">
        <v>20</v>
      </c>
      <c r="D667" s="1">
        <v>44203</v>
      </c>
      <c r="E667" t="str">
        <f>"202101071151"</f>
        <v>202101071151</v>
      </c>
      <c r="F667" t="str">
        <f>"Miscellaneous"</f>
        <v>Miscellaneous</v>
      </c>
      <c r="G667" s="4">
        <v>20</v>
      </c>
      <c r="H667" t="str">
        <f>"SUSIE MARTINEZ"</f>
        <v>SUSIE MARTINEZ</v>
      </c>
    </row>
    <row r="668" spans="1:8" x14ac:dyDescent="0.25">
      <c r="A668" t="s">
        <v>206</v>
      </c>
      <c r="B668">
        <v>134267</v>
      </c>
      <c r="C668" s="4">
        <v>20</v>
      </c>
      <c r="D668" s="1">
        <v>44203</v>
      </c>
      <c r="E668" t="str">
        <f>"202101071152"</f>
        <v>202101071152</v>
      </c>
      <c r="F668" t="str">
        <f>"Miscella"</f>
        <v>Miscella</v>
      </c>
      <c r="G668" s="4">
        <v>20</v>
      </c>
      <c r="H668" t="str">
        <f>"KENNETH PAUL CANELL"</f>
        <v>KENNETH PAUL CANELL</v>
      </c>
    </row>
    <row r="669" spans="1:8" x14ac:dyDescent="0.25">
      <c r="A669" t="s">
        <v>207</v>
      </c>
      <c r="B669">
        <v>134268</v>
      </c>
      <c r="C669" s="4">
        <v>20</v>
      </c>
      <c r="D669" s="1">
        <v>44203</v>
      </c>
      <c r="E669" t="str">
        <f>"202101071153"</f>
        <v>202101071153</v>
      </c>
      <c r="F669" t="str">
        <f>"Miscellane"</f>
        <v>Miscellane</v>
      </c>
      <c r="G669" s="4">
        <v>20</v>
      </c>
      <c r="H669" t="str">
        <f>"JOANNA VILLARREAL"</f>
        <v>JOANNA VILLARREAL</v>
      </c>
    </row>
    <row r="670" spans="1:8" x14ac:dyDescent="0.25">
      <c r="A670" t="s">
        <v>208</v>
      </c>
      <c r="B670">
        <v>134269</v>
      </c>
      <c r="C670" s="4">
        <v>20</v>
      </c>
      <c r="D670" s="1">
        <v>44203</v>
      </c>
      <c r="E670" t="str">
        <f>"202101071154"</f>
        <v>202101071154</v>
      </c>
      <c r="F670" t="str">
        <f>"Miscella"</f>
        <v>Miscella</v>
      </c>
      <c r="G670" s="4">
        <v>20</v>
      </c>
      <c r="H670" t="str">
        <f>"BRUCE LEROY GAITHER"</f>
        <v>BRUCE LEROY GAITHER</v>
      </c>
    </row>
    <row r="671" spans="1:8" x14ac:dyDescent="0.25">
      <c r="A671" t="s">
        <v>209</v>
      </c>
      <c r="B671">
        <v>134270</v>
      </c>
      <c r="C671" s="4">
        <v>20</v>
      </c>
      <c r="D671" s="1">
        <v>44203</v>
      </c>
      <c r="E671" t="str">
        <f>"202101071155"</f>
        <v>202101071155</v>
      </c>
      <c r="F671" t="str">
        <f>"Miscellan"</f>
        <v>Miscellan</v>
      </c>
      <c r="G671" s="4">
        <v>20</v>
      </c>
      <c r="H671" t="str">
        <f>"KIMBERLY ANN PENCE"</f>
        <v>KIMBERLY ANN PENCE</v>
      </c>
    </row>
    <row r="672" spans="1:8" x14ac:dyDescent="0.25">
      <c r="A672" t="s">
        <v>210</v>
      </c>
      <c r="B672">
        <v>134271</v>
      </c>
      <c r="C672" s="4">
        <v>20</v>
      </c>
      <c r="D672" s="1">
        <v>44203</v>
      </c>
      <c r="E672" t="str">
        <f>"202101071156"</f>
        <v>202101071156</v>
      </c>
      <c r="F672" t="str">
        <f>"Miscellan"</f>
        <v>Miscellan</v>
      </c>
      <c r="G672" s="4">
        <v>20</v>
      </c>
      <c r="H672" t="str">
        <f>"SHAUNA LEIGH GLASS"</f>
        <v>SHAUNA LEIGH GLASS</v>
      </c>
    </row>
    <row r="673" spans="1:8" x14ac:dyDescent="0.25">
      <c r="A673" t="s">
        <v>211</v>
      </c>
      <c r="B673">
        <v>134272</v>
      </c>
      <c r="C673" s="4">
        <v>20</v>
      </c>
      <c r="D673" s="1">
        <v>44203</v>
      </c>
      <c r="E673" t="str">
        <f>"202101071157"</f>
        <v>202101071157</v>
      </c>
      <c r="F673" t="str">
        <f>"Mi"</f>
        <v>Mi</v>
      </c>
      <c r="G673" s="4">
        <v>20</v>
      </c>
      <c r="H673" t="str">
        <f>"MIRIAM ELIZABETH GONZALEZ"</f>
        <v>MIRIAM ELIZABETH GONZALEZ</v>
      </c>
    </row>
    <row r="674" spans="1:8" x14ac:dyDescent="0.25">
      <c r="A674" t="s">
        <v>212</v>
      </c>
      <c r="B674">
        <v>134273</v>
      </c>
      <c r="C674" s="4">
        <v>20</v>
      </c>
      <c r="D674" s="1">
        <v>44203</v>
      </c>
      <c r="E674" t="str">
        <f>"202101071158"</f>
        <v>202101071158</v>
      </c>
      <c r="F674" t="str">
        <f>"Miscellane"</f>
        <v>Miscellane</v>
      </c>
      <c r="G674" s="4">
        <v>20</v>
      </c>
      <c r="H674" t="str">
        <f>"LYANNE MARIE FEBO"</f>
        <v>LYANNE MARIE FEBO</v>
      </c>
    </row>
    <row r="675" spans="1:8" x14ac:dyDescent="0.25">
      <c r="A675" t="s">
        <v>213</v>
      </c>
      <c r="B675">
        <v>134274</v>
      </c>
      <c r="C675" s="4">
        <v>20</v>
      </c>
      <c r="D675" s="1">
        <v>44203</v>
      </c>
      <c r="E675" t="str">
        <f>"202101071159"</f>
        <v>202101071159</v>
      </c>
      <c r="F675" t="str">
        <f>"Miscel"</f>
        <v>Miscel</v>
      </c>
      <c r="G675" s="4">
        <v>20</v>
      </c>
      <c r="H675" t="str">
        <f>"RONALD DWAYNE DANIELS"</f>
        <v>RONALD DWAYNE DANIELS</v>
      </c>
    </row>
    <row r="676" spans="1:8" x14ac:dyDescent="0.25">
      <c r="A676" t="s">
        <v>214</v>
      </c>
      <c r="B676">
        <v>134275</v>
      </c>
      <c r="C676" s="4">
        <v>20</v>
      </c>
      <c r="D676" s="1">
        <v>44203</v>
      </c>
      <c r="E676" t="str">
        <f>"202101071160"</f>
        <v>202101071160</v>
      </c>
      <c r="F676" t="str">
        <f>"Miscellan"</f>
        <v>Miscellan</v>
      </c>
      <c r="G676" s="4">
        <v>20</v>
      </c>
      <c r="H676" t="str">
        <f>"ANDREW PAUL GILDER"</f>
        <v>ANDREW PAUL GILDER</v>
      </c>
    </row>
    <row r="677" spans="1:8" x14ac:dyDescent="0.25">
      <c r="A677" t="s">
        <v>215</v>
      </c>
      <c r="B677">
        <v>134276</v>
      </c>
      <c r="C677" s="4">
        <v>20</v>
      </c>
      <c r="D677" s="1">
        <v>44203</v>
      </c>
      <c r="E677" t="str">
        <f>"202101071161"</f>
        <v>202101071161</v>
      </c>
      <c r="F677" t="str">
        <f>"Miscella"</f>
        <v>Miscella</v>
      </c>
      <c r="G677" s="4">
        <v>20</v>
      </c>
      <c r="H677" t="str">
        <f>"ADAM HAROLD STAGMAN"</f>
        <v>ADAM HAROLD STAGMAN</v>
      </c>
    </row>
    <row r="678" spans="1:8" x14ac:dyDescent="0.25">
      <c r="A678" t="s">
        <v>216</v>
      </c>
      <c r="B678">
        <v>134524</v>
      </c>
      <c r="C678" s="4">
        <v>75</v>
      </c>
      <c r="D678" s="1">
        <v>44226</v>
      </c>
      <c r="E678" t="str">
        <f>"13349 Reissue"</f>
        <v>13349 Reissue</v>
      </c>
      <c r="F678" t="str">
        <f>"SERVICE - CAUSE #13349"</f>
        <v>SERVICE - CAUSE #13349</v>
      </c>
      <c r="G678" s="4">
        <v>75</v>
      </c>
      <c r="H678" t="str">
        <f>"SERVICE - CAUSE #13349"</f>
        <v>SERVICE - CAUSE #13349</v>
      </c>
    </row>
    <row r="679" spans="1:8" x14ac:dyDescent="0.25">
      <c r="A679" t="s">
        <v>217</v>
      </c>
      <c r="B679">
        <v>134332</v>
      </c>
      <c r="C679" s="4">
        <v>102.95</v>
      </c>
      <c r="D679" s="1">
        <v>44207</v>
      </c>
      <c r="E679" t="str">
        <f>"16132036"</f>
        <v>16132036</v>
      </c>
      <c r="F679" t="str">
        <f>"MOTOROLA"</f>
        <v>MOTOROLA</v>
      </c>
      <c r="G679" s="4">
        <v>102.95</v>
      </c>
      <c r="H679" t="str">
        <f>"Antennas"</f>
        <v>Antennas</v>
      </c>
    </row>
    <row r="680" spans="1:8" x14ac:dyDescent="0.25">
      <c r="A680" t="s">
        <v>218</v>
      </c>
      <c r="B680">
        <v>134333</v>
      </c>
      <c r="C680" s="4">
        <v>20769.310000000001</v>
      </c>
      <c r="D680" s="1">
        <v>44207</v>
      </c>
      <c r="E680" t="str">
        <f>"8230307566"</f>
        <v>8230307566</v>
      </c>
      <c r="F680" t="str">
        <f>"ACCT#1036215277/RADIO SVC AGMT"</f>
        <v>ACCT#1036215277/RADIO SVC AGMT</v>
      </c>
      <c r="G680" s="4">
        <v>20769.310000000001</v>
      </c>
      <c r="H680" t="str">
        <f>"ACCT#1036215277/RADIO SVC AGMT"</f>
        <v>ACCT#1036215277/RADIO SVC AGMT</v>
      </c>
    </row>
    <row r="681" spans="1:8" x14ac:dyDescent="0.25">
      <c r="A681" t="s">
        <v>218</v>
      </c>
      <c r="B681">
        <v>134454</v>
      </c>
      <c r="C681" s="4">
        <v>17235</v>
      </c>
      <c r="D681" s="1">
        <v>44221</v>
      </c>
      <c r="E681" t="str">
        <f>"16132912"</f>
        <v>16132912</v>
      </c>
      <c r="F681" t="str">
        <f>"Radios"</f>
        <v>Radios</v>
      </c>
      <c r="G681" s="4">
        <v>17235</v>
      </c>
      <c r="H681" t="str">
        <f>"jlw100920a"</f>
        <v>jlw100920a</v>
      </c>
    </row>
    <row r="682" spans="1:8" x14ac:dyDescent="0.25">
      <c r="A682" t="s">
        <v>219</v>
      </c>
      <c r="B682">
        <v>134334</v>
      </c>
      <c r="C682" s="4">
        <v>957.12</v>
      </c>
      <c r="D682" s="1">
        <v>44207</v>
      </c>
      <c r="E682" t="str">
        <f>"86961663"</f>
        <v>86961663</v>
      </c>
      <c r="F682" t="str">
        <f>"ACCT# 150344157 / WTR TRMT SVC"</f>
        <v>ACCT# 150344157 / WTR TRMT SVC</v>
      </c>
      <c r="G682" s="4">
        <v>957.12</v>
      </c>
      <c r="H682" t="str">
        <f>"ACCT# 150344157 / WTR TRMT SVC"</f>
        <v>ACCT# 150344157 / WTR TRMT SVC</v>
      </c>
    </row>
    <row r="683" spans="1:8" x14ac:dyDescent="0.25">
      <c r="A683" t="s">
        <v>220</v>
      </c>
      <c r="B683">
        <v>134335</v>
      </c>
      <c r="C683" s="4">
        <v>467.5</v>
      </c>
      <c r="D683" s="1">
        <v>44207</v>
      </c>
      <c r="E683" t="str">
        <f>"202101061037"</f>
        <v>202101061037</v>
      </c>
      <c r="F683" t="str">
        <f>"JOB 12-16-20-1"</f>
        <v>JOB 12-16-20-1</v>
      </c>
      <c r="G683" s="4">
        <v>467.5</v>
      </c>
      <c r="H683" t="str">
        <f>"JOB 12-16-20-1"</f>
        <v>JOB 12-16-20-1</v>
      </c>
    </row>
    <row r="684" spans="1:8" x14ac:dyDescent="0.25">
      <c r="A684" t="s">
        <v>221</v>
      </c>
      <c r="B684">
        <v>3765</v>
      </c>
      <c r="C684" s="4">
        <v>8225.2800000000007</v>
      </c>
      <c r="D684" s="1">
        <v>44208</v>
      </c>
      <c r="E684" t="str">
        <f>"IN0851953"</f>
        <v>IN0851953</v>
      </c>
      <c r="F684" t="str">
        <f>"INV IN0851953"</f>
        <v>INV IN0851953</v>
      </c>
      <c r="G684" s="4">
        <v>4445.28</v>
      </c>
      <c r="H684" t="str">
        <f>"INV IN0851953"</f>
        <v>INV IN0851953</v>
      </c>
    </row>
    <row r="685" spans="1:8" x14ac:dyDescent="0.25">
      <c r="E685" t="str">
        <f>"IN0852162"</f>
        <v>IN0852162</v>
      </c>
      <c r="F685" t="str">
        <f>"INV IN0852162"</f>
        <v>INV IN0852162</v>
      </c>
      <c r="G685" s="4">
        <v>3780</v>
      </c>
      <c r="H685" t="str">
        <f>"INV IN0852162"</f>
        <v>INV IN0852162</v>
      </c>
    </row>
    <row r="686" spans="1:8" x14ac:dyDescent="0.25">
      <c r="A686" t="s">
        <v>221</v>
      </c>
      <c r="B686">
        <v>3818</v>
      </c>
      <c r="C686" s="4">
        <v>6866.26</v>
      </c>
      <c r="D686" s="1">
        <v>44222</v>
      </c>
      <c r="E686" t="str">
        <f>"0852154"</f>
        <v>0852154</v>
      </c>
      <c r="F686" t="str">
        <f>"INV IN0852154"</f>
        <v>INV IN0852154</v>
      </c>
      <c r="G686" s="4">
        <v>1979.26</v>
      </c>
      <c r="H686" t="str">
        <f>"INV IN0852154"</f>
        <v>INV IN0852154</v>
      </c>
    </row>
    <row r="687" spans="1:8" x14ac:dyDescent="0.25">
      <c r="E687" t="str">
        <f>"0852729"</f>
        <v>0852729</v>
      </c>
      <c r="F687" t="str">
        <f>"INV IN0852729"</f>
        <v>INV IN0852729</v>
      </c>
      <c r="G687" s="4">
        <v>4887</v>
      </c>
      <c r="H687" t="str">
        <f>"INV IN0852729"</f>
        <v>INV IN0852729</v>
      </c>
    </row>
    <row r="688" spans="1:8" x14ac:dyDescent="0.25">
      <c r="A688" t="s">
        <v>222</v>
      </c>
      <c r="B688">
        <v>3879</v>
      </c>
      <c r="C688" s="4">
        <v>119.7</v>
      </c>
      <c r="D688" s="1">
        <v>44222</v>
      </c>
      <c r="E688" t="str">
        <f>"0581-236071"</f>
        <v>0581-236071</v>
      </c>
      <c r="F688" t="str">
        <f>"INV# 0581-236071"</f>
        <v>INV# 0581-236071</v>
      </c>
      <c r="G688" s="4">
        <v>-66.400000000000006</v>
      </c>
      <c r="H688" t="str">
        <f>"INV# 0581-236071"</f>
        <v>INV# 0581-236071</v>
      </c>
    </row>
    <row r="689" spans="1:8" x14ac:dyDescent="0.25">
      <c r="E689" t="str">
        <f>"0581-236070"</f>
        <v>0581-236070</v>
      </c>
      <c r="F689" t="str">
        <f>"INV# 0581-236070"</f>
        <v>INV# 0581-236070</v>
      </c>
      <c r="G689" s="4">
        <v>101.16</v>
      </c>
      <c r="H689" t="str">
        <f>"INV# 0581-236070"</f>
        <v>INV# 0581-236070</v>
      </c>
    </row>
    <row r="690" spans="1:8" x14ac:dyDescent="0.25">
      <c r="E690" t="str">
        <f>"0581-245684"</f>
        <v>0581-245684</v>
      </c>
      <c r="F690" t="str">
        <f>"INV 0581-245684"</f>
        <v>INV 0581-245684</v>
      </c>
      <c r="G690" s="4">
        <v>47.44</v>
      </c>
      <c r="H690" t="str">
        <f>"INV 0581-245684"</f>
        <v>INV 0581-245684</v>
      </c>
    </row>
    <row r="691" spans="1:8" x14ac:dyDescent="0.25">
      <c r="E691" t="str">
        <f>"0581227326"</f>
        <v>0581227326</v>
      </c>
      <c r="F691" t="str">
        <f>"INV 0581227326/7660/7661"</f>
        <v>INV 0581227326/7660/7661</v>
      </c>
      <c r="G691" s="4">
        <v>37.5</v>
      </c>
      <c r="H691" t="str">
        <f>"INV 0581227326"</f>
        <v>INV 0581227326</v>
      </c>
    </row>
    <row r="692" spans="1:8" x14ac:dyDescent="0.25">
      <c r="E692" t="str">
        <f>""</f>
        <v/>
      </c>
      <c r="F692" t="str">
        <f>""</f>
        <v/>
      </c>
      <c r="H692" t="str">
        <f>"INV 0581227660"</f>
        <v>INV 0581227660</v>
      </c>
    </row>
    <row r="693" spans="1:8" x14ac:dyDescent="0.25">
      <c r="E693" t="str">
        <f>""</f>
        <v/>
      </c>
      <c r="F693" t="str">
        <f>""</f>
        <v/>
      </c>
      <c r="H693" t="str">
        <f>"INV 0581227661"</f>
        <v>INV 0581227661</v>
      </c>
    </row>
    <row r="694" spans="1:8" x14ac:dyDescent="0.25">
      <c r="A694" t="s">
        <v>223</v>
      </c>
      <c r="B694">
        <v>134336</v>
      </c>
      <c r="C694" s="4">
        <v>725.9</v>
      </c>
      <c r="D694" s="1">
        <v>44207</v>
      </c>
      <c r="E694" t="str">
        <f>"17037611"</f>
        <v>17037611</v>
      </c>
      <c r="F694" t="str">
        <f>"Office Depot 12/20-01/04"</f>
        <v>Office Depot 12/20-01/04</v>
      </c>
      <c r="G694" s="4">
        <v>725.9</v>
      </c>
      <c r="H694" t="str">
        <f>"142409612001"</f>
        <v>142409612001</v>
      </c>
    </row>
    <row r="695" spans="1:8" x14ac:dyDescent="0.25">
      <c r="E695" t="str">
        <f>""</f>
        <v/>
      </c>
      <c r="F695" t="str">
        <f>""</f>
        <v/>
      </c>
      <c r="H695" t="str">
        <f>"142413226001"</f>
        <v>142413226001</v>
      </c>
    </row>
    <row r="696" spans="1:8" x14ac:dyDescent="0.25">
      <c r="E696" t="str">
        <f>""</f>
        <v/>
      </c>
      <c r="F696" t="str">
        <f>""</f>
        <v/>
      </c>
      <c r="H696" t="str">
        <f>"143771023001"</f>
        <v>143771023001</v>
      </c>
    </row>
    <row r="697" spans="1:8" x14ac:dyDescent="0.25">
      <c r="E697" t="str">
        <f>""</f>
        <v/>
      </c>
      <c r="F697" t="str">
        <f>""</f>
        <v/>
      </c>
      <c r="H697" t="str">
        <f>"144316149001"</f>
        <v>144316149001</v>
      </c>
    </row>
    <row r="698" spans="1:8" x14ac:dyDescent="0.25">
      <c r="E698" t="str">
        <f>""</f>
        <v/>
      </c>
      <c r="F698" t="str">
        <f>""</f>
        <v/>
      </c>
      <c r="H698" t="str">
        <f>"144325617001"</f>
        <v>144325617001</v>
      </c>
    </row>
    <row r="699" spans="1:8" x14ac:dyDescent="0.25">
      <c r="E699" t="str">
        <f>""</f>
        <v/>
      </c>
      <c r="F699" t="str">
        <f>""</f>
        <v/>
      </c>
      <c r="H699" t="str">
        <f>"144325618001"</f>
        <v>144325618001</v>
      </c>
    </row>
    <row r="700" spans="1:8" x14ac:dyDescent="0.25">
      <c r="E700" t="str">
        <f>""</f>
        <v/>
      </c>
      <c r="F700" t="str">
        <f>""</f>
        <v/>
      </c>
      <c r="H700" t="str">
        <f>"146648606001"</f>
        <v>146648606001</v>
      </c>
    </row>
    <row r="701" spans="1:8" x14ac:dyDescent="0.25">
      <c r="A701" t="s">
        <v>223</v>
      </c>
      <c r="B701">
        <v>134455</v>
      </c>
      <c r="C701" s="4">
        <v>3874.13</v>
      </c>
      <c r="D701" s="1">
        <v>44221</v>
      </c>
      <c r="E701" t="str">
        <f>"202101131187"</f>
        <v>202101131187</v>
      </c>
      <c r="F701" t="str">
        <f>"Bill"</f>
        <v>Bill</v>
      </c>
      <c r="G701" s="4">
        <v>1663.09</v>
      </c>
      <c r="H701" t="str">
        <f>"134122674001"</f>
        <v>134122674001</v>
      </c>
    </row>
    <row r="702" spans="1:8" x14ac:dyDescent="0.25">
      <c r="E702" t="str">
        <f>""</f>
        <v/>
      </c>
      <c r="F702" t="str">
        <f>""</f>
        <v/>
      </c>
      <c r="H702" t="str">
        <f>"132211494001"</f>
        <v>132211494001</v>
      </c>
    </row>
    <row r="703" spans="1:8" x14ac:dyDescent="0.25">
      <c r="E703" t="str">
        <f>""</f>
        <v/>
      </c>
      <c r="F703" t="str">
        <f>""</f>
        <v/>
      </c>
      <c r="H703" t="str">
        <f>"134984236001"</f>
        <v>134984236001</v>
      </c>
    </row>
    <row r="704" spans="1:8" x14ac:dyDescent="0.25">
      <c r="E704" t="str">
        <f>""</f>
        <v/>
      </c>
      <c r="F704" t="str">
        <f>""</f>
        <v/>
      </c>
      <c r="H704" t="str">
        <f>"130208404001"</f>
        <v>130208404001</v>
      </c>
    </row>
    <row r="705" spans="5:8" x14ac:dyDescent="0.25">
      <c r="E705" t="str">
        <f>""</f>
        <v/>
      </c>
      <c r="F705" t="str">
        <f>""</f>
        <v/>
      </c>
      <c r="H705" t="str">
        <f>"130228622001"</f>
        <v>130228622001</v>
      </c>
    </row>
    <row r="706" spans="5:8" x14ac:dyDescent="0.25">
      <c r="E706" t="str">
        <f>""</f>
        <v/>
      </c>
      <c r="F706" t="str">
        <f>""</f>
        <v/>
      </c>
      <c r="H706" t="str">
        <f>"130228644001"</f>
        <v>130228644001</v>
      </c>
    </row>
    <row r="707" spans="5:8" x14ac:dyDescent="0.25">
      <c r="E707" t="str">
        <f>""</f>
        <v/>
      </c>
      <c r="F707" t="str">
        <f>""</f>
        <v/>
      </c>
      <c r="H707" t="str">
        <f>"130228696001"</f>
        <v>130228696001</v>
      </c>
    </row>
    <row r="708" spans="5:8" x14ac:dyDescent="0.25">
      <c r="E708" t="str">
        <f>""</f>
        <v/>
      </c>
      <c r="F708" t="str">
        <f>""</f>
        <v/>
      </c>
      <c r="H708" t="str">
        <f>"130228773001"</f>
        <v>130228773001</v>
      </c>
    </row>
    <row r="709" spans="5:8" x14ac:dyDescent="0.25">
      <c r="E709" t="str">
        <f>""</f>
        <v/>
      </c>
      <c r="F709" t="str">
        <f>""</f>
        <v/>
      </c>
      <c r="H709" t="str">
        <f>"132896617001"</f>
        <v>132896617001</v>
      </c>
    </row>
    <row r="710" spans="5:8" x14ac:dyDescent="0.25">
      <c r="E710" t="str">
        <f>""</f>
        <v/>
      </c>
      <c r="F710" t="str">
        <f>""</f>
        <v/>
      </c>
      <c r="H710" t="str">
        <f>"132908565001"</f>
        <v>132908565001</v>
      </c>
    </row>
    <row r="711" spans="5:8" x14ac:dyDescent="0.25">
      <c r="E711" t="str">
        <f>""</f>
        <v/>
      </c>
      <c r="F711" t="str">
        <f>""</f>
        <v/>
      </c>
      <c r="H711" t="str">
        <f>"130985371001"</f>
        <v>130985371001</v>
      </c>
    </row>
    <row r="712" spans="5:8" x14ac:dyDescent="0.25">
      <c r="E712" t="str">
        <f>""</f>
        <v/>
      </c>
      <c r="F712" t="str">
        <f>""</f>
        <v/>
      </c>
      <c r="H712" t="str">
        <f>"130985371002"</f>
        <v>130985371002</v>
      </c>
    </row>
    <row r="713" spans="5:8" x14ac:dyDescent="0.25">
      <c r="E713" t="str">
        <f>""</f>
        <v/>
      </c>
      <c r="F713" t="str">
        <f>""</f>
        <v/>
      </c>
      <c r="H713" t="str">
        <f>"131015534001"</f>
        <v>131015534001</v>
      </c>
    </row>
    <row r="714" spans="5:8" x14ac:dyDescent="0.25">
      <c r="E714" t="str">
        <f>""</f>
        <v/>
      </c>
      <c r="F714" t="str">
        <f>""</f>
        <v/>
      </c>
      <c r="H714" t="str">
        <f>"131015611001"</f>
        <v>131015611001</v>
      </c>
    </row>
    <row r="715" spans="5:8" x14ac:dyDescent="0.25">
      <c r="E715" t="str">
        <f>""</f>
        <v/>
      </c>
      <c r="F715" t="str">
        <f>""</f>
        <v/>
      </c>
      <c r="H715" t="str">
        <f>"131015618001"</f>
        <v>131015618001</v>
      </c>
    </row>
    <row r="716" spans="5:8" x14ac:dyDescent="0.25">
      <c r="E716" t="str">
        <f>""</f>
        <v/>
      </c>
      <c r="F716" t="str">
        <f>""</f>
        <v/>
      </c>
      <c r="H716" t="str">
        <f>"131837965001"</f>
        <v>131837965001</v>
      </c>
    </row>
    <row r="717" spans="5:8" x14ac:dyDescent="0.25">
      <c r="E717" t="str">
        <f>""</f>
        <v/>
      </c>
      <c r="F717" t="str">
        <f>""</f>
        <v/>
      </c>
      <c r="H717" t="str">
        <f>"131844904001"</f>
        <v>131844904001</v>
      </c>
    </row>
    <row r="718" spans="5:8" x14ac:dyDescent="0.25">
      <c r="E718" t="str">
        <f>""</f>
        <v/>
      </c>
      <c r="F718" t="str">
        <f>""</f>
        <v/>
      </c>
      <c r="H718" t="str">
        <f>"132047024001"</f>
        <v>132047024001</v>
      </c>
    </row>
    <row r="719" spans="5:8" x14ac:dyDescent="0.25">
      <c r="E719" t="str">
        <f>""</f>
        <v/>
      </c>
      <c r="F719" t="str">
        <f>""</f>
        <v/>
      </c>
      <c r="H719" t="str">
        <f>"132053708001"</f>
        <v>132053708001</v>
      </c>
    </row>
    <row r="720" spans="5:8" x14ac:dyDescent="0.25">
      <c r="E720" t="str">
        <f>""</f>
        <v/>
      </c>
      <c r="F720" t="str">
        <f>""</f>
        <v/>
      </c>
      <c r="H720" t="str">
        <f>"132053709001"</f>
        <v>132053709001</v>
      </c>
    </row>
    <row r="721" spans="5:8" x14ac:dyDescent="0.25">
      <c r="E721" t="str">
        <f>""</f>
        <v/>
      </c>
      <c r="F721" t="str">
        <f>""</f>
        <v/>
      </c>
      <c r="H721" t="str">
        <f>"132053710001"</f>
        <v>132053710001</v>
      </c>
    </row>
    <row r="722" spans="5:8" x14ac:dyDescent="0.25">
      <c r="E722" t="str">
        <f>""</f>
        <v/>
      </c>
      <c r="F722" t="str">
        <f>""</f>
        <v/>
      </c>
      <c r="H722" t="str">
        <f>"130864185002"</f>
        <v>130864185002</v>
      </c>
    </row>
    <row r="723" spans="5:8" x14ac:dyDescent="0.25">
      <c r="E723" t="str">
        <f>""</f>
        <v/>
      </c>
      <c r="F723" t="str">
        <f>""</f>
        <v/>
      </c>
      <c r="H723" t="str">
        <f>"134242674001"</f>
        <v>134242674001</v>
      </c>
    </row>
    <row r="724" spans="5:8" x14ac:dyDescent="0.25">
      <c r="E724" t="str">
        <f>"202101201249"</f>
        <v>202101201249</v>
      </c>
      <c r="F724" t="str">
        <f>"Bill"</f>
        <v>Bill</v>
      </c>
      <c r="G724" s="4">
        <v>2211.04</v>
      </c>
      <c r="H724" t="str">
        <f>"146715995001"</f>
        <v>146715995001</v>
      </c>
    </row>
    <row r="725" spans="5:8" x14ac:dyDescent="0.25">
      <c r="E725" t="str">
        <f>""</f>
        <v/>
      </c>
      <c r="F725" t="str">
        <f>""</f>
        <v/>
      </c>
      <c r="H725" t="str">
        <f>"146748613001"</f>
        <v>146748613001</v>
      </c>
    </row>
    <row r="726" spans="5:8" x14ac:dyDescent="0.25">
      <c r="E726" t="str">
        <f>""</f>
        <v/>
      </c>
      <c r="F726" t="str">
        <f>""</f>
        <v/>
      </c>
      <c r="H726" t="str">
        <f>"146748617001"</f>
        <v>146748617001</v>
      </c>
    </row>
    <row r="727" spans="5:8" x14ac:dyDescent="0.25">
      <c r="E727" t="str">
        <f>""</f>
        <v/>
      </c>
      <c r="F727" t="str">
        <f>""</f>
        <v/>
      </c>
      <c r="H727" t="str">
        <f>"148403742001"</f>
        <v>148403742001</v>
      </c>
    </row>
    <row r="728" spans="5:8" x14ac:dyDescent="0.25">
      <c r="E728" t="str">
        <f>""</f>
        <v/>
      </c>
      <c r="F728" t="str">
        <f>""</f>
        <v/>
      </c>
      <c r="H728" t="str">
        <f>"148595903001"</f>
        <v>148595903001</v>
      </c>
    </row>
    <row r="729" spans="5:8" x14ac:dyDescent="0.25">
      <c r="E729" t="str">
        <f>""</f>
        <v/>
      </c>
      <c r="F729" t="str">
        <f>""</f>
        <v/>
      </c>
      <c r="H729" t="str">
        <f>"148597213001"</f>
        <v>148597213001</v>
      </c>
    </row>
    <row r="730" spans="5:8" x14ac:dyDescent="0.25">
      <c r="E730" t="str">
        <f>""</f>
        <v/>
      </c>
      <c r="F730" t="str">
        <f>""</f>
        <v/>
      </c>
      <c r="H730" t="str">
        <f>"150603039001"</f>
        <v>150603039001</v>
      </c>
    </row>
    <row r="731" spans="5:8" x14ac:dyDescent="0.25">
      <c r="E731" t="str">
        <f>""</f>
        <v/>
      </c>
      <c r="F731" t="str">
        <f>""</f>
        <v/>
      </c>
      <c r="H731" t="str">
        <f>"150603039002"</f>
        <v>150603039002</v>
      </c>
    </row>
    <row r="732" spans="5:8" x14ac:dyDescent="0.25">
      <c r="E732" t="str">
        <f>""</f>
        <v/>
      </c>
      <c r="F732" t="str">
        <f>""</f>
        <v/>
      </c>
      <c r="H732" t="str">
        <f>"150604572001"</f>
        <v>150604572001</v>
      </c>
    </row>
    <row r="733" spans="5:8" x14ac:dyDescent="0.25">
      <c r="E733" t="str">
        <f>""</f>
        <v/>
      </c>
      <c r="F733" t="str">
        <f>""</f>
        <v/>
      </c>
      <c r="H733" t="str">
        <f>"141849619001"</f>
        <v>141849619001</v>
      </c>
    </row>
    <row r="734" spans="5:8" x14ac:dyDescent="0.25">
      <c r="E734" t="str">
        <f>""</f>
        <v/>
      </c>
      <c r="F734" t="str">
        <f>""</f>
        <v/>
      </c>
      <c r="H734" t="str">
        <f>"149427963001"</f>
        <v>149427963001</v>
      </c>
    </row>
    <row r="735" spans="5:8" x14ac:dyDescent="0.25">
      <c r="E735" t="str">
        <f>""</f>
        <v/>
      </c>
      <c r="F735" t="str">
        <f>""</f>
        <v/>
      </c>
      <c r="H735" t="str">
        <f>"149918357001"</f>
        <v>149918357001</v>
      </c>
    </row>
    <row r="736" spans="5:8" x14ac:dyDescent="0.25">
      <c r="E736" t="str">
        <f>""</f>
        <v/>
      </c>
      <c r="F736" t="str">
        <f>""</f>
        <v/>
      </c>
      <c r="H736" t="str">
        <f>"149919163001"</f>
        <v>149919163001</v>
      </c>
    </row>
    <row r="737" spans="1:8" x14ac:dyDescent="0.25">
      <c r="E737" t="str">
        <f>""</f>
        <v/>
      </c>
      <c r="F737" t="str">
        <f>""</f>
        <v/>
      </c>
      <c r="H737" t="str">
        <f>"145394822001"</f>
        <v>145394822001</v>
      </c>
    </row>
    <row r="738" spans="1:8" x14ac:dyDescent="0.25">
      <c r="E738" t="str">
        <f>""</f>
        <v/>
      </c>
      <c r="F738" t="str">
        <f>""</f>
        <v/>
      </c>
      <c r="H738" t="str">
        <f>"150364192001"</f>
        <v>150364192001</v>
      </c>
    </row>
    <row r="739" spans="1:8" x14ac:dyDescent="0.25">
      <c r="E739" t="str">
        <f>""</f>
        <v/>
      </c>
      <c r="F739" t="str">
        <f>""</f>
        <v/>
      </c>
      <c r="H739" t="str">
        <f>"149189598001"</f>
        <v>149189598001</v>
      </c>
    </row>
    <row r="740" spans="1:8" x14ac:dyDescent="0.25">
      <c r="E740" t="str">
        <f>""</f>
        <v/>
      </c>
      <c r="F740" t="str">
        <f>""</f>
        <v/>
      </c>
      <c r="H740" t="str">
        <f>"149192465001"</f>
        <v>149192465001</v>
      </c>
    </row>
    <row r="741" spans="1:8" x14ac:dyDescent="0.25">
      <c r="E741" t="str">
        <f>""</f>
        <v/>
      </c>
      <c r="F741" t="str">
        <f>""</f>
        <v/>
      </c>
      <c r="H741" t="str">
        <f>"149192468001"</f>
        <v>149192468001</v>
      </c>
    </row>
    <row r="742" spans="1:8" x14ac:dyDescent="0.25">
      <c r="E742" t="str">
        <f>""</f>
        <v/>
      </c>
      <c r="F742" t="str">
        <f>""</f>
        <v/>
      </c>
      <c r="H742" t="str">
        <f>"149244104001"</f>
        <v>149244104001</v>
      </c>
    </row>
    <row r="743" spans="1:8" x14ac:dyDescent="0.25">
      <c r="E743" t="str">
        <f>""</f>
        <v/>
      </c>
      <c r="F743" t="str">
        <f>""</f>
        <v/>
      </c>
      <c r="H743" t="str">
        <f>"149246017001"</f>
        <v>149246017001</v>
      </c>
    </row>
    <row r="744" spans="1:8" x14ac:dyDescent="0.25">
      <c r="E744" t="str">
        <f>""</f>
        <v/>
      </c>
      <c r="F744" t="str">
        <f>""</f>
        <v/>
      </c>
      <c r="H744" t="str">
        <f>"145146698001"</f>
        <v>145146698001</v>
      </c>
    </row>
    <row r="745" spans="1:8" x14ac:dyDescent="0.25">
      <c r="E745" t="str">
        <f>""</f>
        <v/>
      </c>
      <c r="F745" t="str">
        <f>""</f>
        <v/>
      </c>
      <c r="H745" t="str">
        <f>"147893185001"</f>
        <v>147893185001</v>
      </c>
    </row>
    <row r="746" spans="1:8" x14ac:dyDescent="0.25">
      <c r="A746" t="s">
        <v>224</v>
      </c>
      <c r="B746">
        <v>134456</v>
      </c>
      <c r="C746" s="4">
        <v>1638</v>
      </c>
      <c r="D746" s="1">
        <v>44221</v>
      </c>
      <c r="E746" t="str">
        <f>"420-002011"</f>
        <v>420-002011</v>
      </c>
      <c r="F746" t="str">
        <f>"4TH QTR ACTIVITY 2020/PCT#2"</f>
        <v>4TH QTR ACTIVITY 2020/PCT#2</v>
      </c>
      <c r="G746" s="4">
        <v>780</v>
      </c>
      <c r="H746" t="str">
        <f>"4TH QTR ACTIVITY 2020/PCT#2"</f>
        <v>4TH QTR ACTIVITY 2020/PCT#2</v>
      </c>
    </row>
    <row r="747" spans="1:8" x14ac:dyDescent="0.25">
      <c r="E747" t="str">
        <f>"420-003011"</f>
        <v>420-003011</v>
      </c>
      <c r="F747" t="str">
        <f>"4TH QTR ACTIVITY 2020/PCT#3"</f>
        <v>4TH QTR ACTIVITY 2020/PCT#3</v>
      </c>
      <c r="G747" s="4">
        <v>504</v>
      </c>
      <c r="H747" t="str">
        <f>"4TH QTR ACTIVITY 2020/PCT#3"</f>
        <v>4TH QTR ACTIVITY 2020/PCT#3</v>
      </c>
    </row>
    <row r="748" spans="1:8" x14ac:dyDescent="0.25">
      <c r="E748" t="str">
        <f>"420-004011"</f>
        <v>420-004011</v>
      </c>
      <c r="F748" t="str">
        <f>"4THQTR ACTIVITY 2020"</f>
        <v>4THQTR ACTIVITY 2020</v>
      </c>
      <c r="G748" s="4">
        <v>342</v>
      </c>
      <c r="H748" t="str">
        <f>"4THQTR ACTIVITY 2020"</f>
        <v>4THQTR ACTIVITY 2020</v>
      </c>
    </row>
    <row r="749" spans="1:8" x14ac:dyDescent="0.25">
      <c r="E749" t="str">
        <f>"420-009011"</f>
        <v>420-009011</v>
      </c>
      <c r="F749" t="str">
        <f>"4TH QTY ACTIVITY/DISTRICT CLK"</f>
        <v>4TH QTY ACTIVITY/DISTRICT CLK</v>
      </c>
      <c r="G749" s="4">
        <v>12</v>
      </c>
      <c r="H749" t="str">
        <f>"4TH QTY ACTIVITY/DISTRICT CLK"</f>
        <v>4TH QTY ACTIVITY/DISTRICT CLK</v>
      </c>
    </row>
    <row r="750" spans="1:8" x14ac:dyDescent="0.25">
      <c r="A750" t="s">
        <v>225</v>
      </c>
      <c r="B750">
        <v>134457</v>
      </c>
      <c r="C750" s="4">
        <v>25</v>
      </c>
      <c r="D750" s="1">
        <v>44221</v>
      </c>
      <c r="E750" t="str">
        <f>"288360"</f>
        <v>288360</v>
      </c>
      <c r="F750" t="str">
        <f>"CUST ID:BASCOU/DRUG SCREEN"</f>
        <v>CUST ID:BASCOU/DRUG SCREEN</v>
      </c>
      <c r="G750" s="4">
        <v>25</v>
      </c>
      <c r="H750" t="str">
        <f>"CUST ID:BASCOU/DRUG SCREEN"</f>
        <v>CUST ID:BASCOU/DRUG SCREEN</v>
      </c>
    </row>
    <row r="751" spans="1:8" x14ac:dyDescent="0.25">
      <c r="A751" t="s">
        <v>226</v>
      </c>
      <c r="B751">
        <v>3800</v>
      </c>
      <c r="C751" s="4">
        <v>1213</v>
      </c>
      <c r="D751" s="1">
        <v>44208</v>
      </c>
      <c r="E751" t="str">
        <f>"2472"</f>
        <v>2472</v>
      </c>
      <c r="F751" t="str">
        <f>"PLUMBING SVCS/104 LOOP 150 W"</f>
        <v>PLUMBING SVCS/104 LOOP 150 W</v>
      </c>
      <c r="G751" s="4">
        <v>1213</v>
      </c>
      <c r="H751" t="str">
        <f>"PLUMBING SVCS/104 LOOP 150 W"</f>
        <v>PLUMBING SVCS/104 LOOP 150 W</v>
      </c>
    </row>
    <row r="752" spans="1:8" x14ac:dyDescent="0.25">
      <c r="A752" t="s">
        <v>227</v>
      </c>
      <c r="B752">
        <v>3819</v>
      </c>
      <c r="C752" s="4">
        <v>14607.08</v>
      </c>
      <c r="D752" s="1">
        <v>44222</v>
      </c>
      <c r="E752" t="str">
        <f>"202101191246"</f>
        <v>202101191246</v>
      </c>
      <c r="F752" t="str">
        <f>"POTHOLE PATCH/PCT#2"</f>
        <v>POTHOLE PATCH/PCT#2</v>
      </c>
      <c r="G752" s="4">
        <v>14607.08</v>
      </c>
      <c r="H752" t="str">
        <f>"POTHOLE PATCH/PCT#2"</f>
        <v>POTHOLE PATCH/PCT#2</v>
      </c>
    </row>
    <row r="753" spans="1:8" x14ac:dyDescent="0.25">
      <c r="A753" t="s">
        <v>228</v>
      </c>
      <c r="B753">
        <v>134458</v>
      </c>
      <c r="C753" s="4">
        <v>487.6</v>
      </c>
      <c r="D753" s="1">
        <v>44221</v>
      </c>
      <c r="E753" t="str">
        <f>"79698"</f>
        <v>79698</v>
      </c>
      <c r="F753" t="str">
        <f>"WING SKID SHOE/PCT#2"</f>
        <v>WING SKID SHOE/PCT#2</v>
      </c>
      <c r="G753" s="4">
        <v>417.15</v>
      </c>
      <c r="H753" t="str">
        <f>"WING SKID SHOE/PCT#2"</f>
        <v>WING SKID SHOE/PCT#2</v>
      </c>
    </row>
    <row r="754" spans="1:8" x14ac:dyDescent="0.25">
      <c r="E754" t="str">
        <f>"79849"</f>
        <v>79849</v>
      </c>
      <c r="F754" t="str">
        <f>"CHAIN SAW/PCT#4"</f>
        <v>CHAIN SAW/PCT#4</v>
      </c>
      <c r="G754" s="4">
        <v>70.45</v>
      </c>
      <c r="H754" t="str">
        <f>"CHAIN SAW/PCT#4"</f>
        <v>CHAIN SAW/PCT#4</v>
      </c>
    </row>
    <row r="755" spans="1:8" x14ac:dyDescent="0.25">
      <c r="A755" t="s">
        <v>229</v>
      </c>
      <c r="B755">
        <v>3854</v>
      </c>
      <c r="C755" s="4">
        <v>145</v>
      </c>
      <c r="D755" s="1">
        <v>44222</v>
      </c>
      <c r="E755" t="str">
        <f>"0000055332"</f>
        <v>0000055332</v>
      </c>
      <c r="F755" t="str">
        <f>"INV 0000055332"</f>
        <v>INV 0000055332</v>
      </c>
      <c r="G755" s="4">
        <v>145</v>
      </c>
      <c r="H755" t="str">
        <f>"INV 0000055332"</f>
        <v>INV 0000055332</v>
      </c>
    </row>
    <row r="756" spans="1:8" x14ac:dyDescent="0.25">
      <c r="A756" t="s">
        <v>230</v>
      </c>
      <c r="B756">
        <v>134459</v>
      </c>
      <c r="C756" s="4">
        <v>303.85000000000002</v>
      </c>
      <c r="D756" s="1">
        <v>44221</v>
      </c>
      <c r="E756" t="str">
        <f>"202101131196"</f>
        <v>202101131196</v>
      </c>
      <c r="F756" t="str">
        <f>"ACCT#1137 PCT#4"</f>
        <v>ACCT#1137 PCT#4</v>
      </c>
      <c r="G756" s="4">
        <v>303.85000000000002</v>
      </c>
      <c r="H756" t="str">
        <f>"ACCT#1137 PCT#4"</f>
        <v>ACCT#1137 PCT#4</v>
      </c>
    </row>
    <row r="757" spans="1:8" x14ac:dyDescent="0.25">
      <c r="A757" t="s">
        <v>231</v>
      </c>
      <c r="B757">
        <v>134460</v>
      </c>
      <c r="C757" s="4">
        <v>110.08</v>
      </c>
      <c r="D757" s="1">
        <v>44221</v>
      </c>
      <c r="E757" t="str">
        <f>"25945330"</f>
        <v>25945330</v>
      </c>
      <c r="F757" t="str">
        <f>"INV 25945330"</f>
        <v>INV 25945330</v>
      </c>
      <c r="G757" s="4">
        <v>110.08</v>
      </c>
      <c r="H757" t="str">
        <f>"INV 25945330"</f>
        <v>INV 25945330</v>
      </c>
    </row>
    <row r="758" spans="1:8" x14ac:dyDescent="0.25">
      <c r="A758" t="s">
        <v>232</v>
      </c>
      <c r="B758">
        <v>3830</v>
      </c>
      <c r="C758" s="4">
        <v>4297.45</v>
      </c>
      <c r="D758" s="1">
        <v>44222</v>
      </c>
      <c r="E758" t="str">
        <f>"2008453"</f>
        <v>2008453</v>
      </c>
      <c r="F758" t="str">
        <f>"TEMPORARY FEED JUMPERS FOR UPS"</f>
        <v>TEMPORARY FEED JUMPERS FOR UPS</v>
      </c>
      <c r="G758" s="4">
        <v>1213.45</v>
      </c>
      <c r="H758" t="str">
        <f>"TEMPORARY FEED JUMPERS FOR UPS"</f>
        <v>TEMPORARY FEED JUMPERS FOR UPS</v>
      </c>
    </row>
    <row r="759" spans="1:8" x14ac:dyDescent="0.25">
      <c r="E759" t="str">
        <f>"2008454"</f>
        <v>2008454</v>
      </c>
      <c r="F759" t="str">
        <f>"REPLACE TWO TIME CLOCKS"</f>
        <v>REPLACE TWO TIME CLOCKS</v>
      </c>
      <c r="G759" s="4">
        <v>1459.9</v>
      </c>
      <c r="H759" t="str">
        <f>"REPLACE TWO TIME CLOCKS"</f>
        <v>REPLACE TWO TIME CLOCKS</v>
      </c>
    </row>
    <row r="760" spans="1:8" x14ac:dyDescent="0.25">
      <c r="E760" t="str">
        <f>"2008455"</f>
        <v>2008455</v>
      </c>
      <c r="F760" t="str">
        <f>"TROUBLE SHOOT TRIPPIN BREAKER"</f>
        <v>TROUBLE SHOOT TRIPPIN BREAKER</v>
      </c>
      <c r="G760" s="4">
        <v>359.8</v>
      </c>
      <c r="H760" t="str">
        <f>"TROUBLE SHOOT TRIPPIN BREAKER"</f>
        <v>TROUBLE SHOOT TRIPPIN BREAKER</v>
      </c>
    </row>
    <row r="761" spans="1:8" x14ac:dyDescent="0.25">
      <c r="E761" t="str">
        <f>"2008456"</f>
        <v>2008456</v>
      </c>
      <c r="F761" t="str">
        <f>"INSTALL NEW DEDICATED QUAD OUT"</f>
        <v>INSTALL NEW DEDICATED QUAD OUT</v>
      </c>
      <c r="G761" s="4">
        <v>623.65</v>
      </c>
      <c r="H761" t="str">
        <f>"INSTALL NEW DEDICATED QUAD OUT"</f>
        <v>INSTALL NEW DEDICATED QUAD OUT</v>
      </c>
    </row>
    <row r="762" spans="1:8" x14ac:dyDescent="0.25">
      <c r="E762" t="str">
        <f>"2008457"</f>
        <v>2008457</v>
      </c>
      <c r="F762" t="str">
        <f>"INSTALL OUTLET FOR PRINTER"</f>
        <v>INSTALL OUTLET FOR PRINTER</v>
      </c>
      <c r="G762" s="4">
        <v>640.65</v>
      </c>
      <c r="H762" t="str">
        <f>"INSTALL OUTLET FOR PRINTER"</f>
        <v>INSTALL OUTLET FOR PRINTER</v>
      </c>
    </row>
    <row r="763" spans="1:8" x14ac:dyDescent="0.25">
      <c r="A763" t="s">
        <v>233</v>
      </c>
      <c r="B763">
        <v>134461</v>
      </c>
      <c r="C763" s="4">
        <v>691.44</v>
      </c>
      <c r="D763" s="1">
        <v>44221</v>
      </c>
      <c r="E763" t="str">
        <f>"202101201272"</f>
        <v>202101201272</v>
      </c>
      <c r="F763" t="str">
        <f>"ACCT#0200140783"</f>
        <v>ACCT#0200140783</v>
      </c>
      <c r="G763" s="4">
        <v>691.44</v>
      </c>
      <c r="H763" t="str">
        <f>"ACCT#0200140783"</f>
        <v>ACCT#0200140783</v>
      </c>
    </row>
    <row r="764" spans="1:8" x14ac:dyDescent="0.25">
      <c r="E764" t="str">
        <f>""</f>
        <v/>
      </c>
      <c r="F764" t="str">
        <f>""</f>
        <v/>
      </c>
      <c r="H764" t="str">
        <f>"ACCT#0200140783"</f>
        <v>ACCT#0200140783</v>
      </c>
    </row>
    <row r="765" spans="1:8" x14ac:dyDescent="0.25">
      <c r="E765" t="str">
        <f>""</f>
        <v/>
      </c>
      <c r="F765" t="str">
        <f>""</f>
        <v/>
      </c>
      <c r="H765" t="str">
        <f>"ACCT#0200140783"</f>
        <v>ACCT#0200140783</v>
      </c>
    </row>
    <row r="766" spans="1:8" x14ac:dyDescent="0.25">
      <c r="A766" t="s">
        <v>234</v>
      </c>
      <c r="B766">
        <v>3769</v>
      </c>
      <c r="C766" s="4">
        <v>500.5</v>
      </c>
      <c r="D766" s="1">
        <v>44208</v>
      </c>
      <c r="E766" t="str">
        <f>"202101051018"</f>
        <v>202101051018</v>
      </c>
      <c r="F766" t="str">
        <f>"TRASH REMOVAL 12/28-12/30"</f>
        <v>TRASH REMOVAL 12/28-12/30</v>
      </c>
      <c r="G766" s="4">
        <v>279.5</v>
      </c>
      <c r="H766" t="str">
        <f>"TRASH REMOVAL 12/28-12/30"</f>
        <v>TRASH REMOVAL 12/28-12/30</v>
      </c>
    </row>
    <row r="767" spans="1:8" x14ac:dyDescent="0.25">
      <c r="E767" t="str">
        <f>"202101051019"</f>
        <v>202101051019</v>
      </c>
      <c r="F767" t="str">
        <f>"TRASH REMOVAL 01/04-01/07"</f>
        <v>TRASH REMOVAL 01/04-01/07</v>
      </c>
      <c r="G767" s="4">
        <v>221</v>
      </c>
      <c r="H767" t="str">
        <f>"TRASH REMOVAL 01/04-01/07"</f>
        <v>TRASH REMOVAL 01/04-01/07</v>
      </c>
    </row>
    <row r="768" spans="1:8" x14ac:dyDescent="0.25">
      <c r="A768" t="s">
        <v>234</v>
      </c>
      <c r="B768">
        <v>3825</v>
      </c>
      <c r="C768" s="4">
        <v>364</v>
      </c>
      <c r="D768" s="1">
        <v>44222</v>
      </c>
      <c r="E768" t="str">
        <f>"202101191225"</f>
        <v>202101191225</v>
      </c>
      <c r="F768" t="str">
        <f>"TRASH REMOVAL PCT#4"</f>
        <v>TRASH REMOVAL PCT#4</v>
      </c>
      <c r="G768" s="4">
        <v>364</v>
      </c>
      <c r="H768" t="str">
        <f>"TRASH REMOVAL PCT#4"</f>
        <v>TRASH REMOVAL PCT#4</v>
      </c>
    </row>
    <row r="769" spans="1:8" x14ac:dyDescent="0.25">
      <c r="A769" t="s">
        <v>235</v>
      </c>
      <c r="B769">
        <v>134462</v>
      </c>
      <c r="C769" s="4">
        <v>24749.46</v>
      </c>
      <c r="D769" s="1">
        <v>44221</v>
      </c>
      <c r="E769" t="str">
        <f>"IVC00056547"</f>
        <v>IVC00056547</v>
      </c>
      <c r="F769" t="str">
        <f>"ATTNY FEES JP#2"</f>
        <v>ATTNY FEES JP#2</v>
      </c>
      <c r="G769" s="4">
        <v>11146.51</v>
      </c>
      <c r="H769" t="str">
        <f>"ATTNY FEES JP#2"</f>
        <v>ATTNY FEES JP#2</v>
      </c>
    </row>
    <row r="770" spans="1:8" x14ac:dyDescent="0.25">
      <c r="E770" t="str">
        <f>"IVC00056548"</f>
        <v>IVC00056548</v>
      </c>
      <c r="F770" t="str">
        <f>"ATTNY FEES /JP#3"</f>
        <v>ATTNY FEES /JP#3</v>
      </c>
      <c r="G770" s="4">
        <v>5311.55</v>
      </c>
      <c r="H770" t="str">
        <f>"ATTNY FEES /JP#3"</f>
        <v>ATTNY FEES /JP#3</v>
      </c>
    </row>
    <row r="771" spans="1:8" x14ac:dyDescent="0.25">
      <c r="E771" t="str">
        <f>"IVC00056552"</f>
        <v>IVC00056552</v>
      </c>
      <c r="F771" t="str">
        <f>"ATTNY FEES/PCT#4"</f>
        <v>ATTNY FEES/PCT#4</v>
      </c>
      <c r="G771" s="4">
        <v>8291.4</v>
      </c>
      <c r="H771" t="str">
        <f>"ATTNY FEES/PCT#4"</f>
        <v>ATTNY FEES/PCT#4</v>
      </c>
    </row>
    <row r="772" spans="1:8" x14ac:dyDescent="0.25">
      <c r="A772" t="s">
        <v>236</v>
      </c>
      <c r="B772">
        <v>134463</v>
      </c>
      <c r="C772" s="4">
        <v>4000</v>
      </c>
      <c r="D772" s="1">
        <v>44221</v>
      </c>
      <c r="E772" t="str">
        <f>"113343"</f>
        <v>113343</v>
      </c>
      <c r="F772" t="str">
        <f>"2017-2018 COMBINATION TAX"</f>
        <v>2017-2018 COMBINATION TAX</v>
      </c>
      <c r="G772" s="4">
        <v>4000</v>
      </c>
      <c r="H772" t="str">
        <f>"2017-2018 COMBINATION TAX"</f>
        <v>2017-2018 COMBINATION TAX</v>
      </c>
    </row>
    <row r="773" spans="1:8" x14ac:dyDescent="0.25">
      <c r="A773" t="s">
        <v>237</v>
      </c>
      <c r="B773">
        <v>3867</v>
      </c>
      <c r="C773" s="4">
        <v>2012</v>
      </c>
      <c r="D773" s="1">
        <v>44222</v>
      </c>
      <c r="E773" t="str">
        <f>"202101201288"</f>
        <v>202101201288</v>
      </c>
      <c r="F773" t="str">
        <f>"20-20394"</f>
        <v>20-20394</v>
      </c>
      <c r="G773" s="4">
        <v>120</v>
      </c>
      <c r="H773" t="str">
        <f>"20-20394"</f>
        <v>20-20394</v>
      </c>
    </row>
    <row r="774" spans="1:8" x14ac:dyDescent="0.25">
      <c r="E774" t="str">
        <f>"202101201289"</f>
        <v>202101201289</v>
      </c>
      <c r="F774" t="str">
        <f>"02.0921.01"</f>
        <v>02.0921.01</v>
      </c>
      <c r="G774" s="4">
        <v>250</v>
      </c>
      <c r="H774" t="str">
        <f>"02.0921.01"</f>
        <v>02.0921.01</v>
      </c>
    </row>
    <row r="775" spans="1:8" x14ac:dyDescent="0.25">
      <c r="E775" t="str">
        <f>"202101201290"</f>
        <v>202101201290</v>
      </c>
      <c r="F775" t="str">
        <f>"57-257"</f>
        <v>57-257</v>
      </c>
      <c r="G775" s="4">
        <v>250</v>
      </c>
      <c r="H775" t="str">
        <f>"57-257"</f>
        <v>57-257</v>
      </c>
    </row>
    <row r="776" spans="1:8" x14ac:dyDescent="0.25">
      <c r="E776" t="str">
        <f>"202101201291"</f>
        <v>202101201291</v>
      </c>
      <c r="F776" t="str">
        <f>"20-20084"</f>
        <v>20-20084</v>
      </c>
      <c r="G776" s="4">
        <v>235</v>
      </c>
      <c r="H776" t="str">
        <f>"20-20084"</f>
        <v>20-20084</v>
      </c>
    </row>
    <row r="777" spans="1:8" x14ac:dyDescent="0.25">
      <c r="E777" t="str">
        <f>"202101201292"</f>
        <v>202101201292</v>
      </c>
      <c r="F777" t="str">
        <f>"20-20531"</f>
        <v>20-20531</v>
      </c>
      <c r="G777" s="4">
        <v>250</v>
      </c>
      <c r="H777" t="str">
        <f>"20-20531"</f>
        <v>20-20531</v>
      </c>
    </row>
    <row r="778" spans="1:8" x14ac:dyDescent="0.25">
      <c r="E778" t="str">
        <f>"202101201293"</f>
        <v>202101201293</v>
      </c>
      <c r="F778" t="str">
        <f>"19-19811"</f>
        <v>19-19811</v>
      </c>
      <c r="G778" s="4">
        <v>250</v>
      </c>
      <c r="H778" t="str">
        <f>"19-19811"</f>
        <v>19-19811</v>
      </c>
    </row>
    <row r="779" spans="1:8" x14ac:dyDescent="0.25">
      <c r="E779" t="str">
        <f>"202101201294"</f>
        <v>202101201294</v>
      </c>
      <c r="F779" t="str">
        <f>"17-18576"</f>
        <v>17-18576</v>
      </c>
      <c r="G779" s="4">
        <v>407</v>
      </c>
      <c r="H779" t="str">
        <f>"17-18576"</f>
        <v>17-18576</v>
      </c>
    </row>
    <row r="780" spans="1:8" x14ac:dyDescent="0.25">
      <c r="E780" t="str">
        <f>"202101201295"</f>
        <v>202101201295</v>
      </c>
      <c r="F780" t="str">
        <f>"J-3201"</f>
        <v>J-3201</v>
      </c>
      <c r="G780" s="4">
        <v>250</v>
      </c>
      <c r="H780" t="str">
        <f>"J-3201"</f>
        <v>J-3201</v>
      </c>
    </row>
    <row r="781" spans="1:8" x14ac:dyDescent="0.25">
      <c r="A781" t="s">
        <v>238</v>
      </c>
      <c r="B781">
        <v>134464</v>
      </c>
      <c r="C781" s="4">
        <v>500</v>
      </c>
      <c r="D781" s="1">
        <v>44221</v>
      </c>
      <c r="E781" t="str">
        <f>"202101201299"</f>
        <v>202101201299</v>
      </c>
      <c r="F781" t="str">
        <f>"4111797"</f>
        <v>4111797</v>
      </c>
      <c r="G781" s="4">
        <v>250</v>
      </c>
      <c r="H781" t="str">
        <f>"4111797"</f>
        <v>4111797</v>
      </c>
    </row>
    <row r="782" spans="1:8" x14ac:dyDescent="0.25">
      <c r="E782" t="str">
        <f>"202101201300"</f>
        <v>202101201300</v>
      </c>
      <c r="F782" t="str">
        <f>"40718201"</f>
        <v>40718201</v>
      </c>
      <c r="G782" s="4">
        <v>250</v>
      </c>
      <c r="H782" t="str">
        <f>"40718201"</f>
        <v>40718201</v>
      </c>
    </row>
    <row r="783" spans="1:8" x14ac:dyDescent="0.25">
      <c r="A783" t="s">
        <v>239</v>
      </c>
      <c r="B783">
        <v>134337</v>
      </c>
      <c r="C783" s="4">
        <v>32.25</v>
      </c>
      <c r="D783" s="1">
        <v>44207</v>
      </c>
      <c r="E783" t="str">
        <f>"1017124856"</f>
        <v>1017124856</v>
      </c>
      <c r="F783" t="str">
        <f>"INV 1017124856"</f>
        <v>INV 1017124856</v>
      </c>
      <c r="G783" s="4">
        <v>32.25</v>
      </c>
      <c r="H783" t="str">
        <f>"INV 1017124856"</f>
        <v>INV 1017124856</v>
      </c>
    </row>
    <row r="784" spans="1:8" x14ac:dyDescent="0.25">
      <c r="A784" t="s">
        <v>240</v>
      </c>
      <c r="B784">
        <v>3801</v>
      </c>
      <c r="C784" s="4">
        <v>1631.01</v>
      </c>
      <c r="D784" s="1">
        <v>44208</v>
      </c>
      <c r="E784" t="str">
        <f>"3312737527"</f>
        <v>3312737527</v>
      </c>
      <c r="F784" t="str">
        <f>"ACCT#0011198047"</f>
        <v>ACCT#0011198047</v>
      </c>
      <c r="G784" s="4">
        <v>1631.01</v>
      </c>
      <c r="H784" t="str">
        <f>"ACCT#0011198047"</f>
        <v>ACCT#0011198047</v>
      </c>
    </row>
    <row r="785" spans="1:8" x14ac:dyDescent="0.25">
      <c r="A785" t="s">
        <v>241</v>
      </c>
      <c r="B785">
        <v>3845</v>
      </c>
      <c r="C785" s="4">
        <v>243.46</v>
      </c>
      <c r="D785" s="1">
        <v>44222</v>
      </c>
      <c r="E785" t="str">
        <f>"202101191221"</f>
        <v>202101191221</v>
      </c>
      <c r="F785" t="str">
        <f>"ACCT#0005/PCT#4"</f>
        <v>ACCT#0005/PCT#4</v>
      </c>
      <c r="G785" s="4">
        <v>243.46</v>
      </c>
      <c r="H785" t="str">
        <f>"ACCT#0005/PCT#4"</f>
        <v>ACCT#0005/PCT#4</v>
      </c>
    </row>
    <row r="786" spans="1:8" x14ac:dyDescent="0.25">
      <c r="E786" t="str">
        <f>""</f>
        <v/>
      </c>
      <c r="F786" t="str">
        <f>""</f>
        <v/>
      </c>
      <c r="H786" t="str">
        <f>"ACCT#0005/PCT#4"</f>
        <v>ACCT#0005/PCT#4</v>
      </c>
    </row>
    <row r="787" spans="1:8" x14ac:dyDescent="0.25">
      <c r="A787" t="s">
        <v>242</v>
      </c>
      <c r="B787">
        <v>134465</v>
      </c>
      <c r="C787" s="4">
        <v>1736.8</v>
      </c>
      <c r="D787" s="1">
        <v>44221</v>
      </c>
      <c r="E787" t="str">
        <f>"202101201344"</f>
        <v>202101201344</v>
      </c>
      <c r="F787" t="str">
        <f>"ACCT#8850283308"</f>
        <v>ACCT#8850283308</v>
      </c>
      <c r="G787" s="4">
        <v>1736.8</v>
      </c>
      <c r="H787" t="str">
        <f>"ACCT#8850283308"</f>
        <v>ACCT#8850283308</v>
      </c>
    </row>
    <row r="788" spans="1:8" x14ac:dyDescent="0.25">
      <c r="E788" t="str">
        <f>""</f>
        <v/>
      </c>
      <c r="F788" t="str">
        <f>""</f>
        <v/>
      </c>
      <c r="H788" t="str">
        <f>"ACCT#8850283308"</f>
        <v>ACCT#8850283308</v>
      </c>
    </row>
    <row r="789" spans="1:8" x14ac:dyDescent="0.25">
      <c r="E789" t="str">
        <f>""</f>
        <v/>
      </c>
      <c r="F789" t="str">
        <f>""</f>
        <v/>
      </c>
      <c r="H789" t="str">
        <f>"ACCT#8850283308"</f>
        <v>ACCT#8850283308</v>
      </c>
    </row>
    <row r="790" spans="1:8" x14ac:dyDescent="0.25">
      <c r="A790" t="s">
        <v>243</v>
      </c>
      <c r="B790">
        <v>134466</v>
      </c>
      <c r="C790" s="4">
        <v>356.94</v>
      </c>
      <c r="D790" s="1">
        <v>44221</v>
      </c>
      <c r="E790" t="str">
        <f>"I109681"</f>
        <v>I109681</v>
      </c>
      <c r="F790" t="str">
        <f>"308 TRACKHOE LEFT GLASS PCT#1"</f>
        <v>308 TRACKHOE LEFT GLASS PCT#1</v>
      </c>
      <c r="G790" s="4">
        <v>356.94</v>
      </c>
      <c r="H790" t="str">
        <f>"308 TRACKHOE LEFT GLASS PCT#1"</f>
        <v>308 TRACKHOE LEFT GLASS PCT#1</v>
      </c>
    </row>
    <row r="791" spans="1:8" x14ac:dyDescent="0.25">
      <c r="A791" t="s">
        <v>244</v>
      </c>
      <c r="B791">
        <v>134338</v>
      </c>
      <c r="C791" s="4">
        <v>50</v>
      </c>
      <c r="D791" s="1">
        <v>44207</v>
      </c>
      <c r="E791" t="s">
        <v>245</v>
      </c>
      <c r="F791" s="4" t="str">
        <f>"RESTITUTION - C. FERRIS"</f>
        <v>RESTITUTION - C. FERRIS</v>
      </c>
      <c r="G791">
        <v>50</v>
      </c>
      <c r="H791" s="4" t="str">
        <f>"RESTITUTION - C. FERRIS"</f>
        <v>RESTITUTION - C. FERRIS</v>
      </c>
    </row>
    <row r="792" spans="1:8" x14ac:dyDescent="0.25">
      <c r="A792" t="s">
        <v>246</v>
      </c>
      <c r="B792">
        <v>134339</v>
      </c>
      <c r="C792" s="4">
        <v>2200</v>
      </c>
      <c r="D792" s="1">
        <v>44207</v>
      </c>
      <c r="E792" t="str">
        <f>"5324"</f>
        <v>5324</v>
      </c>
      <c r="F792" t="str">
        <f>"REPLACED SIDE STROBE"</f>
        <v>REPLACED SIDE STROBE</v>
      </c>
      <c r="G792" s="4">
        <v>950</v>
      </c>
      <c r="H792" t="str">
        <f>"REPLACED SIDE STROBE"</f>
        <v>REPLACED SIDE STROBE</v>
      </c>
    </row>
    <row r="793" spans="1:8" x14ac:dyDescent="0.25">
      <c r="E793" t="str">
        <f>"5325"</f>
        <v>5325</v>
      </c>
      <c r="F793" t="str">
        <f>"MOBILIZATION/LABOR"</f>
        <v>MOBILIZATION/LABOR</v>
      </c>
      <c r="G793" s="4">
        <v>1250</v>
      </c>
      <c r="H793" t="str">
        <f>"MOBILIZATION/LABOR"</f>
        <v>MOBILIZATION/LABOR</v>
      </c>
    </row>
    <row r="794" spans="1:8" x14ac:dyDescent="0.25">
      <c r="A794" t="s">
        <v>247</v>
      </c>
      <c r="B794">
        <v>134340</v>
      </c>
      <c r="C794" s="4">
        <v>1</v>
      </c>
      <c r="D794" s="1">
        <v>44207</v>
      </c>
      <c r="E794" t="s">
        <v>248</v>
      </c>
      <c r="F794" s="4" t="str">
        <f>"OVERPAYMENT"</f>
        <v>OVERPAYMENT</v>
      </c>
      <c r="G794">
        <v>1</v>
      </c>
      <c r="H794" s="4" t="str">
        <f>"OVERPAYMENT"</f>
        <v>OVERPAYMENT</v>
      </c>
    </row>
    <row r="795" spans="1:8" x14ac:dyDescent="0.25">
      <c r="A795" t="s">
        <v>249</v>
      </c>
      <c r="B795">
        <v>134467</v>
      </c>
      <c r="C795" s="4">
        <v>245.64</v>
      </c>
      <c r="D795" s="1">
        <v>44221</v>
      </c>
      <c r="E795" t="str">
        <f>"P2140323"</f>
        <v>P2140323</v>
      </c>
      <c r="F795" t="str">
        <f>"RDO EQUIPMENT CO."</f>
        <v>RDO EQUIPMENT CO.</v>
      </c>
      <c r="G795" s="4">
        <v>245.64</v>
      </c>
      <c r="H795" t="str">
        <f>"Street Pad"</f>
        <v>Street Pad</v>
      </c>
    </row>
    <row r="796" spans="1:8" x14ac:dyDescent="0.25">
      <c r="E796" t="str">
        <f>""</f>
        <v/>
      </c>
      <c r="F796" t="str">
        <f>""</f>
        <v/>
      </c>
      <c r="H796" t="str">
        <f>"Washer"</f>
        <v>Washer</v>
      </c>
    </row>
    <row r="797" spans="1:8" x14ac:dyDescent="0.25">
      <c r="E797" t="str">
        <f>""</f>
        <v/>
      </c>
      <c r="F797" t="str">
        <f>""</f>
        <v/>
      </c>
      <c r="H797" t="str">
        <f>"Nut"</f>
        <v>Nut</v>
      </c>
    </row>
    <row r="798" spans="1:8" x14ac:dyDescent="0.25">
      <c r="A798" t="s">
        <v>250</v>
      </c>
      <c r="B798">
        <v>3848</v>
      </c>
      <c r="C798" s="4">
        <v>3160</v>
      </c>
      <c r="D798" s="1">
        <v>44222</v>
      </c>
      <c r="E798" t="str">
        <f>"29"</f>
        <v>29</v>
      </c>
      <c r="F798" t="str">
        <f>"SURGERIES 12/29 - 12/31"</f>
        <v>SURGERIES 12/29 - 12/31</v>
      </c>
      <c r="G798" s="4">
        <v>1000</v>
      </c>
      <c r="H798" t="str">
        <f>"SURGERIES 12/29 - 12/31"</f>
        <v>SURGERIES 12/29 - 12/31</v>
      </c>
    </row>
    <row r="799" spans="1:8" x14ac:dyDescent="0.25">
      <c r="E799" t="str">
        <f>"31"</f>
        <v>31</v>
      </c>
      <c r="F799" t="str">
        <f>"SURGERIES 01/05-01/14"</f>
        <v>SURGERIES 01/05-01/14</v>
      </c>
      <c r="G799" s="4">
        <v>2160</v>
      </c>
      <c r="H799" t="str">
        <f>"SURGERIES 01/05-01/14"</f>
        <v>SURGERIES 01/05-01/14</v>
      </c>
    </row>
    <row r="800" spans="1:8" x14ac:dyDescent="0.25">
      <c r="E800" t="str">
        <f>""</f>
        <v/>
      </c>
      <c r="F800" t="str">
        <f>""</f>
        <v/>
      </c>
      <c r="H800" t="str">
        <f>"SURGERIES 01/05-01/14"</f>
        <v>SURGERIES 01/05-01/14</v>
      </c>
    </row>
    <row r="801" spans="1:8" x14ac:dyDescent="0.25">
      <c r="A801" t="s">
        <v>251</v>
      </c>
      <c r="B801">
        <v>134468</v>
      </c>
      <c r="C801" s="4">
        <v>2024.72</v>
      </c>
      <c r="D801" s="1">
        <v>44221</v>
      </c>
      <c r="E801" t="str">
        <f>"20201210019610"</f>
        <v>20201210019610</v>
      </c>
      <c r="F801" t="str">
        <f>"CUST#19610"</f>
        <v>CUST#19610</v>
      </c>
      <c r="G801" s="4">
        <v>2024.72</v>
      </c>
      <c r="H801" t="str">
        <f>"CUST#19610"</f>
        <v>CUST#19610</v>
      </c>
    </row>
    <row r="802" spans="1:8" x14ac:dyDescent="0.25">
      <c r="E802" t="str">
        <f>""</f>
        <v/>
      </c>
      <c r="F802" t="str">
        <f>""</f>
        <v/>
      </c>
      <c r="H802" t="str">
        <f>"CUST#19610"</f>
        <v>CUST#19610</v>
      </c>
    </row>
    <row r="803" spans="1:8" x14ac:dyDescent="0.25">
      <c r="E803" t="str">
        <f>""</f>
        <v/>
      </c>
      <c r="F803" t="str">
        <f>""</f>
        <v/>
      </c>
      <c r="H803" t="str">
        <f>"CUST#19610"</f>
        <v>CUST#19610</v>
      </c>
    </row>
    <row r="804" spans="1:8" x14ac:dyDescent="0.25">
      <c r="A804" t="s">
        <v>252</v>
      </c>
      <c r="B804">
        <v>134243</v>
      </c>
      <c r="C804" s="4">
        <v>1354.93</v>
      </c>
      <c r="D804" s="1">
        <v>44203</v>
      </c>
      <c r="E804" t="str">
        <f>"304 000 844 360 1"</f>
        <v>304 000 844 360 1</v>
      </c>
      <c r="F804" t="str">
        <f>"ACCT#15 069 451 - 1 / 12302020"</f>
        <v>ACCT#15 069 451 - 1 / 12302020</v>
      </c>
      <c r="G804" s="4">
        <v>352.31</v>
      </c>
      <c r="H804" t="str">
        <f>"NRG ENERGY INC"</f>
        <v>NRG ENERGY INC</v>
      </c>
    </row>
    <row r="805" spans="1:8" x14ac:dyDescent="0.25">
      <c r="E805" t="str">
        <f>"304 000 845 798 1"</f>
        <v>304 000 845 798 1</v>
      </c>
      <c r="F805" t="str">
        <f>"ACCT#15 070 712 - 3 /12302020"</f>
        <v>ACCT#15 070 712 - 3 /12302020</v>
      </c>
      <c r="G805" s="4">
        <v>18.18</v>
      </c>
      <c r="H805" t="str">
        <f>"ACCT#15 070 712 - 3 /12302020"</f>
        <v>ACCT#15 070 712 - 3 /12302020</v>
      </c>
    </row>
    <row r="806" spans="1:8" x14ac:dyDescent="0.25">
      <c r="E806" t="str">
        <f>"304 000 845 799 9"</f>
        <v>304 000 845 799 9</v>
      </c>
      <c r="F806" t="str">
        <f>"ACCT#15 070 713 - 1 /12302020"</f>
        <v>ACCT#15 070 713 - 1 /12302020</v>
      </c>
      <c r="G806" s="4">
        <v>21.89</v>
      </c>
      <c r="H806" t="str">
        <f t="shared" ref="H806:H812" si="9">"NRG ENERGY INC"</f>
        <v>NRG ENERGY INC</v>
      </c>
    </row>
    <row r="807" spans="1:8" x14ac:dyDescent="0.25">
      <c r="E807" t="str">
        <f>"304 000 845 800 5"</f>
        <v>304 000 845 800 5</v>
      </c>
      <c r="F807" t="str">
        <f>"ACCT#15 072 199 - 1 / 12302020"</f>
        <v>ACCT#15 072 199 - 1 / 12302020</v>
      </c>
      <c r="G807" s="4">
        <v>95.43</v>
      </c>
      <c r="H807" t="str">
        <f t="shared" si="9"/>
        <v>NRG ENERGY INC</v>
      </c>
    </row>
    <row r="808" spans="1:8" x14ac:dyDescent="0.25">
      <c r="E808" t="str">
        <f>"304 000 845 801 3"</f>
        <v>304 000 845 801 3</v>
      </c>
      <c r="F808" t="str">
        <f>"ACCT#15 072 200 -7 / 12302020"</f>
        <v>ACCT#15 072 200 -7 / 12302020</v>
      </c>
      <c r="G808" s="4">
        <v>292.69</v>
      </c>
      <c r="H808" t="str">
        <f t="shared" si="9"/>
        <v>NRG ENERGY INC</v>
      </c>
    </row>
    <row r="809" spans="1:8" x14ac:dyDescent="0.25">
      <c r="E809" t="str">
        <f>"304 000 845 802 1"</f>
        <v>304 000 845 802 1</v>
      </c>
      <c r="F809" t="str">
        <f>"ACCT#15 072 201 - 5 / 12302020"</f>
        <v>ACCT#15 072 201 - 5 / 12302020</v>
      </c>
      <c r="G809" s="4">
        <v>302.66000000000003</v>
      </c>
      <c r="H809" t="str">
        <f t="shared" si="9"/>
        <v>NRG ENERGY INC</v>
      </c>
    </row>
    <row r="810" spans="1:8" x14ac:dyDescent="0.25">
      <c r="E810" t="str">
        <f>"304 000 845 803 9"</f>
        <v>304 000 845 803 9</v>
      </c>
      <c r="F810" t="str">
        <f>"ACCT#15 072 202 - 3 / 12302020"</f>
        <v>ACCT#15 072 202 - 3 / 12302020</v>
      </c>
      <c r="G810" s="4">
        <v>28.2</v>
      </c>
      <c r="H810" t="str">
        <f t="shared" si="9"/>
        <v>NRG ENERGY INC</v>
      </c>
    </row>
    <row r="811" spans="1:8" x14ac:dyDescent="0.25">
      <c r="E811" t="str">
        <f>"304 000 845 804 7"</f>
        <v>304 000 845 804 7</v>
      </c>
      <c r="F811" t="str">
        <f>"ACCT#15 072 203 - 1 /12302020"</f>
        <v>ACCT#15 072 203 - 1 /12302020</v>
      </c>
      <c r="G811" s="4">
        <v>13.47</v>
      </c>
      <c r="H811" t="str">
        <f t="shared" si="9"/>
        <v>NRG ENERGY INC</v>
      </c>
    </row>
    <row r="812" spans="1:8" x14ac:dyDescent="0.25">
      <c r="E812" t="str">
        <f>"304 000 845 805 4"</f>
        <v>304 000 845 805 4</v>
      </c>
      <c r="F812" t="str">
        <f>"ACCT#15 072 204 - 9 / 12302020"</f>
        <v>ACCT#15 072 204 - 9 / 12302020</v>
      </c>
      <c r="G812" s="4">
        <v>230.1</v>
      </c>
      <c r="H812" t="str">
        <f t="shared" si="9"/>
        <v>NRG ENERGY INC</v>
      </c>
    </row>
    <row r="813" spans="1:8" x14ac:dyDescent="0.25">
      <c r="A813" t="s">
        <v>253</v>
      </c>
      <c r="B813">
        <v>134341</v>
      </c>
      <c r="C813" s="4">
        <v>9000</v>
      </c>
      <c r="D813" s="1">
        <v>44207</v>
      </c>
      <c r="E813" t="str">
        <f>"202012300947"</f>
        <v>202012300947</v>
      </c>
      <c r="F813" t="str">
        <f>"ACC# 34549337 / POSTAGE"</f>
        <v>ACC# 34549337 / POSTAGE</v>
      </c>
      <c r="G813" s="4">
        <v>9000</v>
      </c>
      <c r="H813" t="str">
        <f>"ACC# 34549337 / POSTAGE"</f>
        <v>ACC# 34549337 / POSTAGE</v>
      </c>
    </row>
    <row r="814" spans="1:8" x14ac:dyDescent="0.25">
      <c r="A814" t="s">
        <v>253</v>
      </c>
      <c r="B814">
        <v>134469</v>
      </c>
      <c r="C814" s="4">
        <v>9000</v>
      </c>
      <c r="D814" s="1">
        <v>44221</v>
      </c>
      <c r="E814" t="str">
        <f>"202101201253"</f>
        <v>202101201253</v>
      </c>
      <c r="F814" t="str">
        <f>"ACCT#34549337/POSTAGE"</f>
        <v>ACCT#34549337/POSTAGE</v>
      </c>
      <c r="G814" s="4">
        <v>9000</v>
      </c>
      <c r="H814" t="str">
        <f>"ACCT#34549337/POSTAGE"</f>
        <v>ACCT#34549337/POSTAGE</v>
      </c>
    </row>
    <row r="815" spans="1:8" x14ac:dyDescent="0.25">
      <c r="A815" t="s">
        <v>254</v>
      </c>
      <c r="B815">
        <v>134342</v>
      </c>
      <c r="C815" s="4">
        <v>9236.6299999999992</v>
      </c>
      <c r="D815" s="1">
        <v>44207</v>
      </c>
      <c r="E815" t="str">
        <f>"36733312"</f>
        <v>36733312</v>
      </c>
      <c r="F815" t="str">
        <f>"CUST#2000172616"</f>
        <v>CUST#2000172616</v>
      </c>
      <c r="G815" s="4">
        <v>9236.6299999999992</v>
      </c>
      <c r="H815" t="str">
        <f t="shared" ref="H815:H846" si="10">"CUST#2000172616"</f>
        <v>CUST#2000172616</v>
      </c>
    </row>
    <row r="816" spans="1:8" x14ac:dyDescent="0.25">
      <c r="E816" t="str">
        <f>""</f>
        <v/>
      </c>
      <c r="F816" t="str">
        <f>""</f>
        <v/>
      </c>
      <c r="H816" t="str">
        <f t="shared" si="10"/>
        <v>CUST#2000172616</v>
      </c>
    </row>
    <row r="817" spans="5:8" x14ac:dyDescent="0.25">
      <c r="E817" t="str">
        <f>""</f>
        <v/>
      </c>
      <c r="F817" t="str">
        <f>""</f>
        <v/>
      </c>
      <c r="H817" t="str">
        <f t="shared" si="10"/>
        <v>CUST#2000172616</v>
      </c>
    </row>
    <row r="818" spans="5:8" x14ac:dyDescent="0.25">
      <c r="E818" t="str">
        <f>""</f>
        <v/>
      </c>
      <c r="F818" t="str">
        <f>""</f>
        <v/>
      </c>
      <c r="H818" t="str">
        <f t="shared" si="10"/>
        <v>CUST#2000172616</v>
      </c>
    </row>
    <row r="819" spans="5:8" x14ac:dyDescent="0.25">
      <c r="E819" t="str">
        <f>""</f>
        <v/>
      </c>
      <c r="F819" t="str">
        <f>""</f>
        <v/>
      </c>
      <c r="H819" t="str">
        <f t="shared" si="10"/>
        <v>CUST#2000172616</v>
      </c>
    </row>
    <row r="820" spans="5:8" x14ac:dyDescent="0.25">
      <c r="E820" t="str">
        <f>""</f>
        <v/>
      </c>
      <c r="F820" t="str">
        <f>""</f>
        <v/>
      </c>
      <c r="H820" t="str">
        <f t="shared" si="10"/>
        <v>CUST#2000172616</v>
      </c>
    </row>
    <row r="821" spans="5:8" x14ac:dyDescent="0.25">
      <c r="E821" t="str">
        <f>""</f>
        <v/>
      </c>
      <c r="F821" t="str">
        <f>""</f>
        <v/>
      </c>
      <c r="H821" t="str">
        <f t="shared" si="10"/>
        <v>CUST#2000172616</v>
      </c>
    </row>
    <row r="822" spans="5:8" x14ac:dyDescent="0.25">
      <c r="E822" t="str">
        <f>""</f>
        <v/>
      </c>
      <c r="F822" t="str">
        <f>""</f>
        <v/>
      </c>
      <c r="H822" t="str">
        <f t="shared" si="10"/>
        <v>CUST#2000172616</v>
      </c>
    </row>
    <row r="823" spans="5:8" x14ac:dyDescent="0.25">
      <c r="E823" t="str">
        <f>""</f>
        <v/>
      </c>
      <c r="F823" t="str">
        <f>""</f>
        <v/>
      </c>
      <c r="H823" t="str">
        <f t="shared" si="10"/>
        <v>CUST#2000172616</v>
      </c>
    </row>
    <row r="824" spans="5:8" x14ac:dyDescent="0.25">
      <c r="E824" t="str">
        <f>""</f>
        <v/>
      </c>
      <c r="F824" t="str">
        <f>""</f>
        <v/>
      </c>
      <c r="H824" t="str">
        <f t="shared" si="10"/>
        <v>CUST#2000172616</v>
      </c>
    </row>
    <row r="825" spans="5:8" x14ac:dyDescent="0.25">
      <c r="E825" t="str">
        <f>""</f>
        <v/>
      </c>
      <c r="F825" t="str">
        <f>""</f>
        <v/>
      </c>
      <c r="H825" t="str">
        <f t="shared" si="10"/>
        <v>CUST#2000172616</v>
      </c>
    </row>
    <row r="826" spans="5:8" x14ac:dyDescent="0.25">
      <c r="E826" t="str">
        <f>""</f>
        <v/>
      </c>
      <c r="F826" t="str">
        <f>""</f>
        <v/>
      </c>
      <c r="H826" t="str">
        <f t="shared" si="10"/>
        <v>CUST#2000172616</v>
      </c>
    </row>
    <row r="827" spans="5:8" x14ac:dyDescent="0.25">
      <c r="E827" t="str">
        <f>""</f>
        <v/>
      </c>
      <c r="F827" t="str">
        <f>""</f>
        <v/>
      </c>
      <c r="H827" t="str">
        <f t="shared" si="10"/>
        <v>CUST#2000172616</v>
      </c>
    </row>
    <row r="828" spans="5:8" x14ac:dyDescent="0.25">
      <c r="E828" t="str">
        <f>""</f>
        <v/>
      </c>
      <c r="F828" t="str">
        <f>""</f>
        <v/>
      </c>
      <c r="H828" t="str">
        <f t="shared" si="10"/>
        <v>CUST#2000172616</v>
      </c>
    </row>
    <row r="829" spans="5:8" x14ac:dyDescent="0.25">
      <c r="E829" t="str">
        <f>""</f>
        <v/>
      </c>
      <c r="F829" t="str">
        <f>""</f>
        <v/>
      </c>
      <c r="H829" t="str">
        <f t="shared" si="10"/>
        <v>CUST#2000172616</v>
      </c>
    </row>
    <row r="830" spans="5:8" x14ac:dyDescent="0.25">
      <c r="E830" t="str">
        <f>""</f>
        <v/>
      </c>
      <c r="F830" t="str">
        <f>""</f>
        <v/>
      </c>
      <c r="H830" t="str">
        <f t="shared" si="10"/>
        <v>CUST#2000172616</v>
      </c>
    </row>
    <row r="831" spans="5:8" x14ac:dyDescent="0.25">
      <c r="E831" t="str">
        <f>""</f>
        <v/>
      </c>
      <c r="F831" t="str">
        <f>""</f>
        <v/>
      </c>
      <c r="H831" t="str">
        <f t="shared" si="10"/>
        <v>CUST#2000172616</v>
      </c>
    </row>
    <row r="832" spans="5:8" x14ac:dyDescent="0.25">
      <c r="E832" t="str">
        <f>""</f>
        <v/>
      </c>
      <c r="F832" t="str">
        <f>""</f>
        <v/>
      </c>
      <c r="H832" t="str">
        <f t="shared" si="10"/>
        <v>CUST#2000172616</v>
      </c>
    </row>
    <row r="833" spans="1:8" x14ac:dyDescent="0.25">
      <c r="E833" t="str">
        <f>""</f>
        <v/>
      </c>
      <c r="F833" t="str">
        <f>""</f>
        <v/>
      </c>
      <c r="H833" t="str">
        <f t="shared" si="10"/>
        <v>CUST#2000172616</v>
      </c>
    </row>
    <row r="834" spans="1:8" x14ac:dyDescent="0.25">
      <c r="E834" t="str">
        <f>""</f>
        <v/>
      </c>
      <c r="F834" t="str">
        <f>""</f>
        <v/>
      </c>
      <c r="H834" t="str">
        <f t="shared" si="10"/>
        <v>CUST#2000172616</v>
      </c>
    </row>
    <row r="835" spans="1:8" x14ac:dyDescent="0.25">
      <c r="E835" t="str">
        <f>""</f>
        <v/>
      </c>
      <c r="F835" t="str">
        <f>""</f>
        <v/>
      </c>
      <c r="H835" t="str">
        <f t="shared" si="10"/>
        <v>CUST#2000172616</v>
      </c>
    </row>
    <row r="836" spans="1:8" x14ac:dyDescent="0.25">
      <c r="E836" t="str">
        <f>""</f>
        <v/>
      </c>
      <c r="F836" t="str">
        <f>""</f>
        <v/>
      </c>
      <c r="H836" t="str">
        <f t="shared" si="10"/>
        <v>CUST#2000172616</v>
      </c>
    </row>
    <row r="837" spans="1:8" x14ac:dyDescent="0.25">
      <c r="E837" t="str">
        <f>""</f>
        <v/>
      </c>
      <c r="F837" t="str">
        <f>""</f>
        <v/>
      </c>
      <c r="H837" t="str">
        <f t="shared" si="10"/>
        <v>CUST#2000172616</v>
      </c>
    </row>
    <row r="838" spans="1:8" x14ac:dyDescent="0.25">
      <c r="E838" t="str">
        <f>""</f>
        <v/>
      </c>
      <c r="F838" t="str">
        <f>""</f>
        <v/>
      </c>
      <c r="H838" t="str">
        <f t="shared" si="10"/>
        <v>CUST#2000172616</v>
      </c>
    </row>
    <row r="839" spans="1:8" x14ac:dyDescent="0.25">
      <c r="E839" t="str">
        <f>""</f>
        <v/>
      </c>
      <c r="F839" t="str">
        <f>""</f>
        <v/>
      </c>
      <c r="H839" t="str">
        <f t="shared" si="10"/>
        <v>CUST#2000172616</v>
      </c>
    </row>
    <row r="840" spans="1:8" x14ac:dyDescent="0.25">
      <c r="E840" t="str">
        <f>""</f>
        <v/>
      </c>
      <c r="F840" t="str">
        <f>""</f>
        <v/>
      </c>
      <c r="H840" t="str">
        <f t="shared" si="10"/>
        <v>CUST#2000172616</v>
      </c>
    </row>
    <row r="841" spans="1:8" x14ac:dyDescent="0.25">
      <c r="E841" t="str">
        <f>""</f>
        <v/>
      </c>
      <c r="F841" t="str">
        <f>""</f>
        <v/>
      </c>
      <c r="H841" t="str">
        <f t="shared" si="10"/>
        <v>CUST#2000172616</v>
      </c>
    </row>
    <row r="842" spans="1:8" x14ac:dyDescent="0.25">
      <c r="E842" t="str">
        <f>""</f>
        <v/>
      </c>
      <c r="F842" t="str">
        <f>""</f>
        <v/>
      </c>
      <c r="H842" t="str">
        <f t="shared" si="10"/>
        <v>CUST#2000172616</v>
      </c>
    </row>
    <row r="843" spans="1:8" x14ac:dyDescent="0.25">
      <c r="E843" t="str">
        <f>""</f>
        <v/>
      </c>
      <c r="F843" t="str">
        <f>""</f>
        <v/>
      </c>
      <c r="H843" t="str">
        <f t="shared" si="10"/>
        <v>CUST#2000172616</v>
      </c>
    </row>
    <row r="844" spans="1:8" x14ac:dyDescent="0.25">
      <c r="E844" t="str">
        <f>""</f>
        <v/>
      </c>
      <c r="F844" t="str">
        <f>""</f>
        <v/>
      </c>
      <c r="H844" t="str">
        <f t="shared" si="10"/>
        <v>CUST#2000172616</v>
      </c>
    </row>
    <row r="845" spans="1:8" x14ac:dyDescent="0.25">
      <c r="E845" t="str">
        <f>""</f>
        <v/>
      </c>
      <c r="F845" t="str">
        <f>""</f>
        <v/>
      </c>
      <c r="H845" t="str">
        <f t="shared" si="10"/>
        <v>CUST#2000172616</v>
      </c>
    </row>
    <row r="846" spans="1:8" x14ac:dyDescent="0.25">
      <c r="E846" t="str">
        <f>""</f>
        <v/>
      </c>
      <c r="F846" t="str">
        <f>""</f>
        <v/>
      </c>
      <c r="H846" t="str">
        <f t="shared" si="10"/>
        <v>CUST#2000172616</v>
      </c>
    </row>
    <row r="847" spans="1:8" x14ac:dyDescent="0.25">
      <c r="A847" t="s">
        <v>255</v>
      </c>
      <c r="B847">
        <v>3781</v>
      </c>
      <c r="C847" s="4">
        <v>550</v>
      </c>
      <c r="D847" s="1">
        <v>44208</v>
      </c>
      <c r="E847" t="str">
        <f>"BCSONOV20"</f>
        <v>BCSONOV20</v>
      </c>
      <c r="F847" t="str">
        <f>"INV BCSONOV20"</f>
        <v>INV BCSONOV20</v>
      </c>
      <c r="G847" s="4">
        <v>550</v>
      </c>
      <c r="H847" t="str">
        <f>"INV BCSONOV20"</f>
        <v>INV BCSONOV20</v>
      </c>
    </row>
    <row r="848" spans="1:8" x14ac:dyDescent="0.25">
      <c r="A848" t="s">
        <v>255</v>
      </c>
      <c r="B848">
        <v>3840</v>
      </c>
      <c r="C848" s="4">
        <v>700</v>
      </c>
      <c r="D848" s="1">
        <v>44222</v>
      </c>
      <c r="E848" t="str">
        <f>"BCSODEC20"</f>
        <v>BCSODEC20</v>
      </c>
      <c r="F848" t="str">
        <f>"INV BCSODEC20"</f>
        <v>INV BCSODEC20</v>
      </c>
      <c r="G848" s="4">
        <v>700</v>
      </c>
      <c r="H848" t="str">
        <f>"INV BCSODEC20"</f>
        <v>INV BCSODEC20</v>
      </c>
    </row>
    <row r="849" spans="1:8" x14ac:dyDescent="0.25">
      <c r="A849" t="s">
        <v>256</v>
      </c>
      <c r="B849">
        <v>3804</v>
      </c>
      <c r="C849" s="4">
        <v>3400</v>
      </c>
      <c r="D849" s="1">
        <v>44208</v>
      </c>
      <c r="E849" t="str">
        <f>"202101040948"</f>
        <v>202101040948</v>
      </c>
      <c r="F849" t="str">
        <f>"PSYCH EVAL - 16 063"</f>
        <v>PSYCH EVAL - 16 063</v>
      </c>
      <c r="G849" s="4">
        <v>3400</v>
      </c>
      <c r="H849" t="str">
        <f>"PSYCH EVAL - 16 063"</f>
        <v>PSYCH EVAL - 16 063</v>
      </c>
    </row>
    <row r="850" spans="1:8" x14ac:dyDescent="0.25">
      <c r="A850" t="s">
        <v>257</v>
      </c>
      <c r="B850">
        <v>134470</v>
      </c>
      <c r="C850" s="4">
        <v>109</v>
      </c>
      <c r="D850" s="1">
        <v>44221</v>
      </c>
      <c r="E850" t="str">
        <f>"202101201258"</f>
        <v>202101201258</v>
      </c>
      <c r="F850" t="str">
        <f>"SHIRTS/DISPATCH"</f>
        <v>SHIRTS/DISPATCH</v>
      </c>
      <c r="G850" s="4">
        <v>68</v>
      </c>
      <c r="H850" t="str">
        <f>"SHIRTS/DISPATCH"</f>
        <v>SHIRTS/DISPATCH</v>
      </c>
    </row>
    <row r="851" spans="1:8" x14ac:dyDescent="0.25">
      <c r="E851" t="str">
        <f>"202101201259"</f>
        <v>202101201259</v>
      </c>
      <c r="F851" t="str">
        <f>"SHIRTS/DISPATCH"</f>
        <v>SHIRTS/DISPATCH</v>
      </c>
      <c r="G851" s="4">
        <v>41</v>
      </c>
      <c r="H851" t="str">
        <f>"SHIRTS/DISPATCH"</f>
        <v>SHIRTS/DISPATCH</v>
      </c>
    </row>
    <row r="852" spans="1:8" x14ac:dyDescent="0.25">
      <c r="A852" t="s">
        <v>258</v>
      </c>
      <c r="B852">
        <v>134343</v>
      </c>
      <c r="C852" s="4">
        <v>160</v>
      </c>
      <c r="D852" s="1">
        <v>44207</v>
      </c>
      <c r="E852" t="str">
        <f>"202101050998"</f>
        <v>202101050998</v>
      </c>
      <c r="F852" t="str">
        <f>"DEVELOPMENT SVCS RECORDING FEE"</f>
        <v>DEVELOPMENT SVCS RECORDING FEE</v>
      </c>
      <c r="G852" s="4">
        <v>160</v>
      </c>
      <c r="H852" t="str">
        <f>"DEVELOPMENT SVCS RECORDING FEE"</f>
        <v>DEVELOPMENT SVCS RECORDING FEE</v>
      </c>
    </row>
    <row r="853" spans="1:8" x14ac:dyDescent="0.25">
      <c r="A853" t="s">
        <v>258</v>
      </c>
      <c r="B853">
        <v>134471</v>
      </c>
      <c r="C853" s="4">
        <v>120</v>
      </c>
      <c r="D853" s="1">
        <v>44221</v>
      </c>
      <c r="E853" t="str">
        <f>"202101201261"</f>
        <v>202101201261</v>
      </c>
      <c r="F853" t="str">
        <f>"LPHCP RECORDING FEE"</f>
        <v>LPHCP RECORDING FEE</v>
      </c>
      <c r="G853" s="4">
        <v>120</v>
      </c>
      <c r="H853" t="str">
        <f>"LPHCP RECORDING FEE"</f>
        <v>LPHCP RECORDING FEE</v>
      </c>
    </row>
    <row r="854" spans="1:8" x14ac:dyDescent="0.25">
      <c r="A854" t="s">
        <v>258</v>
      </c>
      <c r="B854">
        <v>134472</v>
      </c>
      <c r="C854" s="4">
        <v>221</v>
      </c>
      <c r="D854" s="1">
        <v>44221</v>
      </c>
      <c r="E854" t="str">
        <f>"202101201260"</f>
        <v>202101201260</v>
      </c>
      <c r="F854" t="str">
        <f>"DEVELOPMENT SVCS FEE"</f>
        <v>DEVELOPMENT SVCS FEE</v>
      </c>
      <c r="G854" s="4">
        <v>221</v>
      </c>
      <c r="H854" t="str">
        <f>"ROSE PIETSCH COUNTY CLERK"</f>
        <v>ROSE PIETSCH COUNTY CLERK</v>
      </c>
    </row>
    <row r="855" spans="1:8" x14ac:dyDescent="0.25">
      <c r="A855" t="s">
        <v>259</v>
      </c>
      <c r="B855">
        <v>134344</v>
      </c>
      <c r="C855" s="4">
        <v>65.95</v>
      </c>
      <c r="D855" s="1">
        <v>44207</v>
      </c>
      <c r="E855" t="str">
        <f>"CVCS63246"</f>
        <v>CVCS63246</v>
      </c>
      <c r="F855" t="str">
        <f>"CUST#9486/PCT#4"</f>
        <v>CUST#9486/PCT#4</v>
      </c>
      <c r="G855" s="4">
        <v>65.95</v>
      </c>
      <c r="H855" t="str">
        <f>"CUST#9486/PCT#4"</f>
        <v>CUST#9486/PCT#4</v>
      </c>
    </row>
    <row r="856" spans="1:8" x14ac:dyDescent="0.25">
      <c r="A856" t="s">
        <v>260</v>
      </c>
      <c r="B856">
        <v>3871</v>
      </c>
      <c r="C856" s="4">
        <v>46.73</v>
      </c>
      <c r="D856" s="1">
        <v>44222</v>
      </c>
      <c r="E856" t="str">
        <f>"202101191233"</f>
        <v>202101191233</v>
      </c>
      <c r="F856" t="str">
        <f>"INDIGENT HEALTH"</f>
        <v>INDIGENT HEALTH</v>
      </c>
      <c r="G856" s="4">
        <v>46.73</v>
      </c>
      <c r="H856" t="str">
        <f>"INDIGENT HEALTH"</f>
        <v>INDIGENT HEALTH</v>
      </c>
    </row>
    <row r="857" spans="1:8" x14ac:dyDescent="0.25">
      <c r="A857" t="s">
        <v>261</v>
      </c>
      <c r="B857">
        <v>3872</v>
      </c>
      <c r="C857" s="4">
        <v>955</v>
      </c>
      <c r="D857" s="1">
        <v>44222</v>
      </c>
      <c r="E857" t="str">
        <f>"066482"</f>
        <v>066482</v>
      </c>
      <c r="F857" t="str">
        <f>"CASEBINDERS"</f>
        <v>CASEBINDERS</v>
      </c>
      <c r="G857" s="4">
        <v>955</v>
      </c>
      <c r="H857" t="str">
        <f>"CASEBINDERS"</f>
        <v>CASEBINDERS</v>
      </c>
    </row>
    <row r="858" spans="1:8" x14ac:dyDescent="0.25">
      <c r="A858" t="s">
        <v>262</v>
      </c>
      <c r="B858">
        <v>134473</v>
      </c>
      <c r="C858" s="4">
        <v>3400</v>
      </c>
      <c r="D858" s="1">
        <v>44221</v>
      </c>
      <c r="E858" t="str">
        <f>"202101201262"</f>
        <v>202101201262</v>
      </c>
      <c r="F858" t="str">
        <f>"PRECRIPTION ASSISTANCE PROGRAM"</f>
        <v>PRECRIPTION ASSISTANCE PROGRAM</v>
      </c>
      <c r="G858" s="4">
        <v>3400</v>
      </c>
      <c r="H858" t="str">
        <f>"PRECRIPTION ASSISTANCE PROGRAM"</f>
        <v>PRECRIPTION ASSISTANCE PROGRAM</v>
      </c>
    </row>
    <row r="859" spans="1:8" x14ac:dyDescent="0.25">
      <c r="A859" t="s">
        <v>263</v>
      </c>
      <c r="B859">
        <v>134474</v>
      </c>
      <c r="C859" s="4">
        <v>40</v>
      </c>
      <c r="D859" s="1">
        <v>44221</v>
      </c>
      <c r="E859" t="str">
        <f>"202101201335"</f>
        <v>202101201335</v>
      </c>
      <c r="F859" t="str">
        <f>"REFUND-RETURNED PET"</f>
        <v>REFUND-RETURNED PET</v>
      </c>
      <c r="G859" s="4">
        <v>40</v>
      </c>
      <c r="H859" t="str">
        <f>"REFUND-RETURNED PET"</f>
        <v>REFUND-RETURNED PET</v>
      </c>
    </row>
    <row r="860" spans="1:8" x14ac:dyDescent="0.25">
      <c r="A860" t="s">
        <v>264</v>
      </c>
      <c r="B860">
        <v>134345</v>
      </c>
      <c r="C860" s="4">
        <v>50</v>
      </c>
      <c r="D860" s="1">
        <v>44207</v>
      </c>
      <c r="E860" t="s">
        <v>265</v>
      </c>
      <c r="F860" s="4" t="str">
        <f>"RESTITUTION - D. MCCOMB"</f>
        <v>RESTITUTION - D. MCCOMB</v>
      </c>
      <c r="G860">
        <v>50</v>
      </c>
      <c r="H860" s="4" t="str">
        <f>"RESTITUTION - D. MCCOMB"</f>
        <v>RESTITUTION - D. MCCOMB</v>
      </c>
    </row>
    <row r="861" spans="1:8" x14ac:dyDescent="0.25">
      <c r="A861" t="s">
        <v>266</v>
      </c>
      <c r="B861">
        <v>134475</v>
      </c>
      <c r="C861" s="4">
        <v>1203.83</v>
      </c>
      <c r="D861" s="1">
        <v>44221</v>
      </c>
      <c r="E861" t="str">
        <f>"5006024576"</f>
        <v>5006024576</v>
      </c>
      <c r="F861" t="str">
        <f>"ACCT#120050140/ANIMAL SVCS"</f>
        <v>ACCT#120050140/ANIMAL SVCS</v>
      </c>
      <c r="G861" s="4">
        <v>1047.99</v>
      </c>
      <c r="H861" t="str">
        <f>"ACCT#120050140/ANIMAL SVCS"</f>
        <v>ACCT#120050140/ANIMAL SVCS</v>
      </c>
    </row>
    <row r="862" spans="1:8" x14ac:dyDescent="0.25">
      <c r="E862" t="str">
        <f>"5006024577"</f>
        <v>5006024577</v>
      </c>
      <c r="F862" t="str">
        <f>"ACCT#120050173"</f>
        <v>ACCT#120050173</v>
      </c>
      <c r="G862" s="4">
        <v>155.84</v>
      </c>
      <c r="H862" t="str">
        <f>"ACCT#120050173"</f>
        <v>ACCT#120050173</v>
      </c>
    </row>
    <row r="863" spans="1:8" x14ac:dyDescent="0.25">
      <c r="A863" t="s">
        <v>267</v>
      </c>
      <c r="B863">
        <v>134346</v>
      </c>
      <c r="C863" s="4">
        <v>60</v>
      </c>
      <c r="D863" s="1">
        <v>44207</v>
      </c>
      <c r="E863" t="str">
        <f>"202101061035"</f>
        <v>202101061035</v>
      </c>
      <c r="F863" t="str">
        <f>"SHERI AMANN"</f>
        <v>SHERI AMANN</v>
      </c>
      <c r="G863" s="4">
        <v>60</v>
      </c>
      <c r="H863" t="str">
        <f>""</f>
        <v/>
      </c>
    </row>
    <row r="864" spans="1:8" x14ac:dyDescent="0.25">
      <c r="A864" t="s">
        <v>268</v>
      </c>
      <c r="B864">
        <v>134476</v>
      </c>
      <c r="C864" s="4">
        <v>138.47</v>
      </c>
      <c r="D864" s="1">
        <v>44221</v>
      </c>
      <c r="E864" t="str">
        <f>"202101191247"</f>
        <v>202101191247</v>
      </c>
      <c r="F864" t="str">
        <f>"ENVELOPES/SHERRIE JENKINS"</f>
        <v>ENVELOPES/SHERRIE JENKINS</v>
      </c>
      <c r="G864" s="4">
        <v>138.47</v>
      </c>
      <c r="H864" t="str">
        <f>"ENVELOPES/SHERRIE JENKINS"</f>
        <v>ENVELOPES/SHERRIE JENKINS</v>
      </c>
    </row>
    <row r="865" spans="1:8" x14ac:dyDescent="0.25">
      <c r="A865" t="s">
        <v>269</v>
      </c>
      <c r="B865">
        <v>134347</v>
      </c>
      <c r="C865" s="4">
        <v>6949.35</v>
      </c>
      <c r="D865" s="1">
        <v>44207</v>
      </c>
      <c r="E865" t="str">
        <f>"202101061048"</f>
        <v>202101061048</v>
      </c>
      <c r="F865" t="str">
        <f>"SHI Netmotion Diagnostics"</f>
        <v>SHI Netmotion Diagnostics</v>
      </c>
      <c r="G865" s="4">
        <v>1601.29</v>
      </c>
      <c r="H865" t="str">
        <f>"SHI Netmotion Diagnostics"</f>
        <v>SHI Netmotion Diagnostics</v>
      </c>
    </row>
    <row r="866" spans="1:8" x14ac:dyDescent="0.25">
      <c r="E866" t="str">
        <f>"GB00395294"</f>
        <v>GB00395294</v>
      </c>
      <c r="F866" t="str">
        <f>"Netmotion Licenses"</f>
        <v>Netmotion Licenses</v>
      </c>
      <c r="G866" s="4">
        <v>4633</v>
      </c>
      <c r="H866" t="str">
        <f>"Mobility Universal"</f>
        <v>Mobility Universal</v>
      </c>
    </row>
    <row r="867" spans="1:8" x14ac:dyDescent="0.25">
      <c r="E867" t="str">
        <f>""</f>
        <v/>
      </c>
      <c r="F867" t="str">
        <f>""</f>
        <v/>
      </c>
      <c r="H867" t="str">
        <f>"NetMotion Mobility"</f>
        <v>NetMotion Mobility</v>
      </c>
    </row>
    <row r="868" spans="1:8" x14ac:dyDescent="0.25">
      <c r="E868" t="str">
        <f>"GB00396026"</f>
        <v>GB00396026</v>
      </c>
      <c r="F868" t="str">
        <f>"SHI GOVERNMENT SOLUTIONS INC."</f>
        <v>SHI GOVERNMENT SOLUTIONS INC.</v>
      </c>
      <c r="G868" s="4">
        <v>482</v>
      </c>
      <c r="H868" t="str">
        <f>"Cisco 8811 Phone"</f>
        <v>Cisco 8811 Phone</v>
      </c>
    </row>
    <row r="869" spans="1:8" x14ac:dyDescent="0.25">
      <c r="E869" t="str">
        <f>"GB00396168"</f>
        <v>GB00396168</v>
      </c>
      <c r="F869" t="str">
        <f>"SHI"</f>
        <v>SHI</v>
      </c>
      <c r="G869" s="4">
        <v>233.06</v>
      </c>
      <c r="H869" t="str">
        <f>"HPLaserjetM255dw"</f>
        <v>HPLaserjetM255dw</v>
      </c>
    </row>
    <row r="870" spans="1:8" x14ac:dyDescent="0.25">
      <c r="A870" t="s">
        <v>269</v>
      </c>
      <c r="B870">
        <v>134477</v>
      </c>
      <c r="C870" s="4">
        <v>2685</v>
      </c>
      <c r="D870" s="1">
        <v>44221</v>
      </c>
      <c r="E870" t="str">
        <f>"22105"</f>
        <v>22105</v>
      </c>
      <c r="F870" t="str">
        <f>"SHI Fujitsu Scan Aid"</f>
        <v>SHI Fujitsu Scan Aid</v>
      </c>
      <c r="G870" s="4">
        <v>249</v>
      </c>
      <c r="H870" t="str">
        <f>"SHI Fujitsu Scan Aid"</f>
        <v>SHI Fujitsu Scan Aid</v>
      </c>
    </row>
    <row r="871" spans="1:8" x14ac:dyDescent="0.25">
      <c r="E871" t="str">
        <f>""</f>
        <v/>
      </c>
      <c r="F871" t="str">
        <f>""</f>
        <v/>
      </c>
      <c r="H871" t="str">
        <f>"SHI Fujitsu Scan Aid"</f>
        <v>SHI Fujitsu Scan Aid</v>
      </c>
    </row>
    <row r="872" spans="1:8" x14ac:dyDescent="0.25">
      <c r="E872" t="str">
        <f>""</f>
        <v/>
      </c>
      <c r="F872" t="str">
        <f>""</f>
        <v/>
      </c>
      <c r="H872" t="str">
        <f>"SHI Fujitsu Scan Aid"</f>
        <v>SHI Fujitsu Scan Aid</v>
      </c>
    </row>
    <row r="873" spans="1:8" x14ac:dyDescent="0.25">
      <c r="E873" t="str">
        <f>"GB00397465"</f>
        <v>GB00397465</v>
      </c>
      <c r="F873" t="str">
        <f>"SHI GOVERNMENT SOLUTIONS INC."</f>
        <v>SHI GOVERNMENT SOLUTIONS INC.</v>
      </c>
      <c r="G873" s="4">
        <v>2436</v>
      </c>
      <c r="H873" t="str">
        <f>"Adobe InDesign"</f>
        <v>Adobe InDesign</v>
      </c>
    </row>
    <row r="874" spans="1:8" x14ac:dyDescent="0.25">
      <c r="E874" t="str">
        <f>""</f>
        <v/>
      </c>
      <c r="F874" t="str">
        <f>""</f>
        <v/>
      </c>
      <c r="H874" t="str">
        <f>"Adobe Photoshop"</f>
        <v>Adobe Photoshop</v>
      </c>
    </row>
    <row r="875" spans="1:8" x14ac:dyDescent="0.25">
      <c r="A875" t="s">
        <v>270</v>
      </c>
      <c r="B875">
        <v>134348</v>
      </c>
      <c r="C875" s="4">
        <v>125</v>
      </c>
      <c r="D875" s="1">
        <v>44207</v>
      </c>
      <c r="E875" t="str">
        <f>"202012300936"</f>
        <v>202012300936</v>
      </c>
      <c r="F875" t="str">
        <f>"REFUND DUE TO EXCESS COLLECTIO"</f>
        <v>REFUND DUE TO EXCESS COLLECTIO</v>
      </c>
      <c r="G875" s="4">
        <v>125</v>
      </c>
      <c r="H875" t="str">
        <f>"REFUND DUE TO EXCESS COLLECTIO"</f>
        <v>REFUND DUE TO EXCESS COLLECTIO</v>
      </c>
    </row>
    <row r="876" spans="1:8" x14ac:dyDescent="0.25">
      <c r="A876" t="s">
        <v>271</v>
      </c>
      <c r="B876">
        <v>134349</v>
      </c>
      <c r="C876" s="4">
        <v>2129.3000000000002</v>
      </c>
      <c r="D876" s="1">
        <v>44207</v>
      </c>
      <c r="E876" t="str">
        <f>"1238962"</f>
        <v>1238962</v>
      </c>
      <c r="F876" t="str">
        <f>"ACCT#550615/PCT#1"</f>
        <v>ACCT#550615/PCT#1</v>
      </c>
      <c r="G876" s="4">
        <v>286.12</v>
      </c>
      <c r="H876" t="str">
        <f>"ACCT#550615/PCT#1"</f>
        <v>ACCT#550615/PCT#1</v>
      </c>
    </row>
    <row r="877" spans="1:8" x14ac:dyDescent="0.25">
      <c r="E877" t="str">
        <f>"1240139"</f>
        <v>1240139</v>
      </c>
      <c r="F877" t="str">
        <f>"ACCT#550615/PCT#2"</f>
        <v>ACCT#550615/PCT#2</v>
      </c>
      <c r="G877" s="4">
        <v>1843.18</v>
      </c>
      <c r="H877" t="str">
        <f>"ACCT#550615/PCT#2"</f>
        <v>ACCT#550615/PCT#2</v>
      </c>
    </row>
    <row r="878" spans="1:8" x14ac:dyDescent="0.25">
      <c r="A878" t="s">
        <v>272</v>
      </c>
      <c r="B878">
        <v>134350</v>
      </c>
      <c r="C878" s="4">
        <v>305.77999999999997</v>
      </c>
      <c r="D878" s="1">
        <v>44207</v>
      </c>
      <c r="E878" t="str">
        <f>"8181199318"</f>
        <v>8181199318</v>
      </c>
      <c r="F878" t="str">
        <f>"INV 8181199318"</f>
        <v>INV 8181199318</v>
      </c>
      <c r="G878" s="4">
        <v>165.79</v>
      </c>
      <c r="H878" t="str">
        <f>"INV 8181199318 (SO)"</f>
        <v>INV 8181199318 (SO)</v>
      </c>
    </row>
    <row r="879" spans="1:8" x14ac:dyDescent="0.25">
      <c r="E879" t="str">
        <f>""</f>
        <v/>
      </c>
      <c r="F879" t="str">
        <f>""</f>
        <v/>
      </c>
      <c r="H879" t="str">
        <f>"INV 8181199318 (JAIL"</f>
        <v>INV 8181199318 (JAIL</v>
      </c>
    </row>
    <row r="880" spans="1:8" x14ac:dyDescent="0.25">
      <c r="E880" t="str">
        <f>"8181199777"</f>
        <v>8181199777</v>
      </c>
      <c r="F880" t="str">
        <f>"CUST#16155373/PURCHASING"</f>
        <v>CUST#16155373/PURCHASING</v>
      </c>
      <c r="G880" s="4">
        <v>139.99</v>
      </c>
      <c r="H880" t="str">
        <f t="shared" ref="H880:H885" si="11">"CUST#16155373/PURCHASING"</f>
        <v>CUST#16155373/PURCHASING</v>
      </c>
    </row>
    <row r="881" spans="1:8" x14ac:dyDescent="0.25">
      <c r="E881" t="str">
        <f>""</f>
        <v/>
      </c>
      <c r="F881" t="str">
        <f>""</f>
        <v/>
      </c>
      <c r="H881" t="str">
        <f t="shared" si="11"/>
        <v>CUST#16155373/PURCHASING</v>
      </c>
    </row>
    <row r="882" spans="1:8" x14ac:dyDescent="0.25">
      <c r="E882" t="str">
        <f>""</f>
        <v/>
      </c>
      <c r="F882" t="str">
        <f>""</f>
        <v/>
      </c>
      <c r="H882" t="str">
        <f t="shared" si="11"/>
        <v>CUST#16155373/PURCHASING</v>
      </c>
    </row>
    <row r="883" spans="1:8" x14ac:dyDescent="0.25">
      <c r="E883" t="str">
        <f>""</f>
        <v/>
      </c>
      <c r="F883" t="str">
        <f>""</f>
        <v/>
      </c>
      <c r="H883" t="str">
        <f t="shared" si="11"/>
        <v>CUST#16155373/PURCHASING</v>
      </c>
    </row>
    <row r="884" spans="1:8" x14ac:dyDescent="0.25">
      <c r="E884" t="str">
        <f>""</f>
        <v/>
      </c>
      <c r="F884" t="str">
        <f>""</f>
        <v/>
      </c>
      <c r="H884" t="str">
        <f t="shared" si="11"/>
        <v>CUST#16155373/PURCHASING</v>
      </c>
    </row>
    <row r="885" spans="1:8" x14ac:dyDescent="0.25">
      <c r="E885" t="str">
        <f>""</f>
        <v/>
      </c>
      <c r="F885" t="str">
        <f>""</f>
        <v/>
      </c>
      <c r="H885" t="str">
        <f t="shared" si="11"/>
        <v>CUST#16155373/PURCHASING</v>
      </c>
    </row>
    <row r="886" spans="1:8" x14ac:dyDescent="0.25">
      <c r="A886" t="s">
        <v>272</v>
      </c>
      <c r="B886">
        <v>134478</v>
      </c>
      <c r="C886" s="4">
        <v>563.79999999999995</v>
      </c>
      <c r="D886" s="1">
        <v>44221</v>
      </c>
      <c r="E886" t="str">
        <f>"8180605388"</f>
        <v>8180605388</v>
      </c>
      <c r="F886" t="str">
        <f>"CUST#16151857"</f>
        <v>CUST#16151857</v>
      </c>
      <c r="G886" s="4">
        <v>117.63</v>
      </c>
      <c r="H886" t="str">
        <f t="shared" ref="H886:H897" si="12">"CUST#16151857"</f>
        <v>CUST#16151857</v>
      </c>
    </row>
    <row r="887" spans="1:8" x14ac:dyDescent="0.25">
      <c r="E887" t="str">
        <f>""</f>
        <v/>
      </c>
      <c r="F887" t="str">
        <f>""</f>
        <v/>
      </c>
      <c r="H887" t="str">
        <f t="shared" si="12"/>
        <v>CUST#16151857</v>
      </c>
    </row>
    <row r="888" spans="1:8" x14ac:dyDescent="0.25">
      <c r="E888" t="str">
        <f>""</f>
        <v/>
      </c>
      <c r="F888" t="str">
        <f>""</f>
        <v/>
      </c>
      <c r="H888" t="str">
        <f t="shared" si="12"/>
        <v>CUST#16151857</v>
      </c>
    </row>
    <row r="889" spans="1:8" x14ac:dyDescent="0.25">
      <c r="E889" t="str">
        <f>"8180798650"</f>
        <v>8180798650</v>
      </c>
      <c r="F889" t="str">
        <f>"CUST#16151857"</f>
        <v>CUST#16151857</v>
      </c>
      <c r="G889" s="4">
        <v>124.27</v>
      </c>
      <c r="H889" t="str">
        <f t="shared" si="12"/>
        <v>CUST#16151857</v>
      </c>
    </row>
    <row r="890" spans="1:8" x14ac:dyDescent="0.25">
      <c r="E890" t="str">
        <f>""</f>
        <v/>
      </c>
      <c r="F890" t="str">
        <f>""</f>
        <v/>
      </c>
      <c r="H890" t="str">
        <f t="shared" si="12"/>
        <v>CUST#16151857</v>
      </c>
    </row>
    <row r="891" spans="1:8" x14ac:dyDescent="0.25">
      <c r="E891" t="str">
        <f>""</f>
        <v/>
      </c>
      <c r="F891" t="str">
        <f>""</f>
        <v/>
      </c>
      <c r="H891" t="str">
        <f t="shared" si="12"/>
        <v>CUST#16151857</v>
      </c>
    </row>
    <row r="892" spans="1:8" x14ac:dyDescent="0.25">
      <c r="E892" t="str">
        <f>"8180986903"</f>
        <v>8180986903</v>
      </c>
      <c r="F892" t="str">
        <f>"CUST#16151857"</f>
        <v>CUST#16151857</v>
      </c>
      <c r="G892" s="4">
        <v>125.01</v>
      </c>
      <c r="H892" t="str">
        <f t="shared" si="12"/>
        <v>CUST#16151857</v>
      </c>
    </row>
    <row r="893" spans="1:8" x14ac:dyDescent="0.25">
      <c r="E893" t="str">
        <f>""</f>
        <v/>
      </c>
      <c r="F893" t="str">
        <f>""</f>
        <v/>
      </c>
      <c r="H893" t="str">
        <f t="shared" si="12"/>
        <v>CUST#16151857</v>
      </c>
    </row>
    <row r="894" spans="1:8" x14ac:dyDescent="0.25">
      <c r="E894" t="str">
        <f>""</f>
        <v/>
      </c>
      <c r="F894" t="str">
        <f>""</f>
        <v/>
      </c>
      <c r="H894" t="str">
        <f t="shared" si="12"/>
        <v>CUST#16151857</v>
      </c>
    </row>
    <row r="895" spans="1:8" x14ac:dyDescent="0.25">
      <c r="E895" t="str">
        <f>"8181199660"</f>
        <v>8181199660</v>
      </c>
      <c r="F895" t="str">
        <f>"CUST#16151857"</f>
        <v>CUST#16151857</v>
      </c>
      <c r="G895" s="4">
        <v>196.89</v>
      </c>
      <c r="H895" t="str">
        <f t="shared" si="12"/>
        <v>CUST#16151857</v>
      </c>
    </row>
    <row r="896" spans="1:8" x14ac:dyDescent="0.25">
      <c r="E896" t="str">
        <f>""</f>
        <v/>
      </c>
      <c r="F896" t="str">
        <f>""</f>
        <v/>
      </c>
      <c r="H896" t="str">
        <f t="shared" si="12"/>
        <v>CUST#16151857</v>
      </c>
    </row>
    <row r="897" spans="1:8" x14ac:dyDescent="0.25">
      <c r="E897" t="str">
        <f>""</f>
        <v/>
      </c>
      <c r="F897" t="str">
        <f>""</f>
        <v/>
      </c>
      <c r="H897" t="str">
        <f t="shared" si="12"/>
        <v>CUST#16151857</v>
      </c>
    </row>
    <row r="898" spans="1:8" x14ac:dyDescent="0.25">
      <c r="A898" t="s">
        <v>273</v>
      </c>
      <c r="B898">
        <v>134351</v>
      </c>
      <c r="C898" s="4">
        <v>475</v>
      </c>
      <c r="D898" s="1">
        <v>44207</v>
      </c>
      <c r="E898" t="str">
        <f>"202101061042"</f>
        <v>202101061042</v>
      </c>
      <c r="F898" t="str">
        <f>"GRAPHICS UNIT 4378"</f>
        <v>GRAPHICS UNIT 4378</v>
      </c>
      <c r="G898" s="4">
        <v>475</v>
      </c>
      <c r="H898" t="str">
        <f>"GRAPHICS UNIT 4378"</f>
        <v>GRAPHICS UNIT 4378</v>
      </c>
    </row>
    <row r="899" spans="1:8" x14ac:dyDescent="0.25">
      <c r="A899" t="s">
        <v>274</v>
      </c>
      <c r="B899">
        <v>134352</v>
      </c>
      <c r="C899" s="4">
        <v>113.07</v>
      </c>
      <c r="D899" s="1">
        <v>44207</v>
      </c>
      <c r="E899" t="str">
        <f>"4744*146*1 /2 /3"</f>
        <v>4744*146*1 /2 /3</v>
      </c>
      <c r="F899" t="str">
        <f>"JAIL MEDICAL"</f>
        <v>JAIL MEDICAL</v>
      </c>
      <c r="G899" s="4">
        <v>113.07</v>
      </c>
      <c r="H899" t="str">
        <f>"JAIL MEDICAL"</f>
        <v>JAIL MEDICAL</v>
      </c>
    </row>
    <row r="900" spans="1:8" x14ac:dyDescent="0.25">
      <c r="A900" t="s">
        <v>274</v>
      </c>
      <c r="B900">
        <v>134479</v>
      </c>
      <c r="C900" s="4">
        <v>164.39</v>
      </c>
      <c r="D900" s="1">
        <v>44221</v>
      </c>
      <c r="E900" t="str">
        <f>"202101191237"</f>
        <v>202101191237</v>
      </c>
      <c r="F900" t="str">
        <f>"INDIGENT HEALTH"</f>
        <v>INDIGENT HEALTH</v>
      </c>
      <c r="G900" s="4">
        <v>164.39</v>
      </c>
      <c r="H900" t="str">
        <f>"INDIGENT HEALTH"</f>
        <v>INDIGENT HEALTH</v>
      </c>
    </row>
    <row r="901" spans="1:8" x14ac:dyDescent="0.25">
      <c r="A901" t="s">
        <v>275</v>
      </c>
      <c r="B901">
        <v>3855</v>
      </c>
      <c r="C901" s="4">
        <v>55.5</v>
      </c>
      <c r="D901" s="1">
        <v>44222</v>
      </c>
      <c r="E901" t="str">
        <f>"000073"</f>
        <v>000073</v>
      </c>
      <c r="F901" t="str">
        <f>"INV PS-INV000073"</f>
        <v>INV PS-INV000073</v>
      </c>
      <c r="G901" s="4">
        <v>55.5</v>
      </c>
      <c r="H901" t="str">
        <f>"INV PS-INV000073"</f>
        <v>INV PS-INV000073</v>
      </c>
    </row>
    <row r="902" spans="1:8" x14ac:dyDescent="0.25">
      <c r="A902" t="s">
        <v>276</v>
      </c>
      <c r="B902">
        <v>134480</v>
      </c>
      <c r="C902" s="4">
        <v>1670.95</v>
      </c>
      <c r="D902" s="1">
        <v>44221</v>
      </c>
      <c r="E902" t="str">
        <f>"492728"</f>
        <v>492728</v>
      </c>
      <c r="F902" t="str">
        <f>"STATMENT#35204 PCT#2"</f>
        <v>STATMENT#35204 PCT#2</v>
      </c>
      <c r="G902" s="4">
        <v>59.1</v>
      </c>
      <c r="H902" t="str">
        <f>"STATMENT#35204 PCT#2"</f>
        <v>STATMENT#35204 PCT#2</v>
      </c>
    </row>
    <row r="903" spans="1:8" x14ac:dyDescent="0.25">
      <c r="E903" t="str">
        <f>"492782"</f>
        <v>492782</v>
      </c>
      <c r="F903" t="str">
        <f>"STATMENT#35203 PCT#1"</f>
        <v>STATMENT#35203 PCT#1</v>
      </c>
      <c r="G903" s="4">
        <v>1611.85</v>
      </c>
      <c r="H903" t="str">
        <f>"STATMENT#35203 PCT#1"</f>
        <v>STATMENT#35203 PCT#1</v>
      </c>
    </row>
    <row r="904" spans="1:8" x14ac:dyDescent="0.25">
      <c r="A904" t="s">
        <v>277</v>
      </c>
      <c r="B904">
        <v>134481</v>
      </c>
      <c r="C904" s="4">
        <v>377.61</v>
      </c>
      <c r="D904" s="1">
        <v>44221</v>
      </c>
      <c r="E904" t="str">
        <f>"202101121183"</f>
        <v>202101121183</v>
      </c>
      <c r="F904" t="str">
        <f>"ACCT#260 PRECINCT #2"</f>
        <v>ACCT#260 PRECINCT #2</v>
      </c>
      <c r="G904" s="4">
        <v>377.61</v>
      </c>
      <c r="H904" t="str">
        <f>"ACCT#260 PRECINCT #2"</f>
        <v>ACCT#260 PRECINCT #2</v>
      </c>
    </row>
    <row r="905" spans="1:8" x14ac:dyDescent="0.25">
      <c r="A905" t="s">
        <v>278</v>
      </c>
      <c r="B905">
        <v>134482</v>
      </c>
      <c r="C905" s="4">
        <v>294</v>
      </c>
      <c r="D905" s="1">
        <v>44221</v>
      </c>
      <c r="E905" t="str">
        <f>"IN508546"</f>
        <v>IN508546</v>
      </c>
      <c r="F905" t="str">
        <f>"Solar Winds"</f>
        <v>Solar Winds</v>
      </c>
      <c r="G905" s="4">
        <v>294</v>
      </c>
      <c r="H905" t="str">
        <f>"Solar Winds Maintena"</f>
        <v>Solar Winds Maintena</v>
      </c>
    </row>
    <row r="906" spans="1:8" x14ac:dyDescent="0.25">
      <c r="A906" t="s">
        <v>279</v>
      </c>
      <c r="B906">
        <v>134353</v>
      </c>
      <c r="C906" s="4">
        <v>2581.1999999999998</v>
      </c>
      <c r="D906" s="1">
        <v>44207</v>
      </c>
      <c r="E906" t="str">
        <f>"IN-000665576"</f>
        <v>IN-000665576</v>
      </c>
      <c r="F906" t="str">
        <f>"SOUTHERN COMPUTER WAREHOUSE IN"</f>
        <v>SOUTHERN COMPUTER WAREHOUSE IN</v>
      </c>
      <c r="G906" s="4">
        <v>2581.1999999999998</v>
      </c>
      <c r="H906" t="str">
        <f>"Scanners"</f>
        <v>Scanners</v>
      </c>
    </row>
    <row r="907" spans="1:8" x14ac:dyDescent="0.25">
      <c r="A907" t="s">
        <v>280</v>
      </c>
      <c r="B907">
        <v>134354</v>
      </c>
      <c r="C907" s="4">
        <v>2153.16</v>
      </c>
      <c r="D907" s="1">
        <v>44207</v>
      </c>
      <c r="E907" t="str">
        <f>"4240021325"</f>
        <v>4240021325</v>
      </c>
      <c r="F907" t="str">
        <f>"INV 4240021325 /UNIT 5291"</f>
        <v>INV 4240021325 /UNIT 5291</v>
      </c>
      <c r="G907" s="4">
        <v>583.08000000000004</v>
      </c>
      <c r="H907" t="str">
        <f>"INV 4240021325"</f>
        <v>INV 4240021325</v>
      </c>
    </row>
    <row r="908" spans="1:8" x14ac:dyDescent="0.25">
      <c r="E908" t="str">
        <f>"4240021704"</f>
        <v>4240021704</v>
      </c>
      <c r="F908" t="str">
        <f>"INV 4240021704"</f>
        <v>INV 4240021704</v>
      </c>
      <c r="G908" s="4">
        <v>1570.08</v>
      </c>
      <c r="H908" t="str">
        <f>"INV 4240021704"</f>
        <v>INV 4240021704</v>
      </c>
    </row>
    <row r="909" spans="1:8" x14ac:dyDescent="0.25">
      <c r="A909" t="s">
        <v>280</v>
      </c>
      <c r="B909">
        <v>134483</v>
      </c>
      <c r="C909" s="4">
        <v>2149.35</v>
      </c>
      <c r="D909" s="1">
        <v>44221</v>
      </c>
      <c r="E909" t="str">
        <f>"4240021871"</f>
        <v>4240021871</v>
      </c>
      <c r="F909" t="str">
        <f>"INV 4240021871"</f>
        <v>INV 4240021871</v>
      </c>
      <c r="G909" s="4">
        <v>1492.8</v>
      </c>
      <c r="H909" t="str">
        <f>"INV 4240021871"</f>
        <v>INV 4240021871</v>
      </c>
    </row>
    <row r="910" spans="1:8" x14ac:dyDescent="0.25">
      <c r="E910" t="str">
        <f>"4240022019"</f>
        <v>4240022019</v>
      </c>
      <c r="F910" t="str">
        <f>"INV 4240022019"</f>
        <v>INV 4240022019</v>
      </c>
      <c r="G910" s="4">
        <v>163.11000000000001</v>
      </c>
      <c r="H910" t="str">
        <f>"INV 4240022019"</f>
        <v>INV 4240022019</v>
      </c>
    </row>
    <row r="911" spans="1:8" x14ac:dyDescent="0.25">
      <c r="E911" t="str">
        <f>"4650066250"</f>
        <v>4650066250</v>
      </c>
      <c r="F911" t="str">
        <f>"CUST#0052157"</f>
        <v>CUST#0052157</v>
      </c>
      <c r="G911" s="4">
        <v>334.94</v>
      </c>
      <c r="H911" t="str">
        <f>"CUST#0052157"</f>
        <v>CUST#0052157</v>
      </c>
    </row>
    <row r="912" spans="1:8" x14ac:dyDescent="0.25">
      <c r="E912" t="str">
        <f>"4650066833"</f>
        <v>4650066833</v>
      </c>
      <c r="F912" t="str">
        <f>"INV#4650066833/PCT#4"</f>
        <v>INV#4650066833/PCT#4</v>
      </c>
      <c r="G912" s="4">
        <v>158.5</v>
      </c>
      <c r="H912" t="str">
        <f>"INV#4650066833/PCT#4"</f>
        <v>INV#4650066833/PCT#4</v>
      </c>
    </row>
    <row r="913" spans="1:8" x14ac:dyDescent="0.25">
      <c r="A913" t="s">
        <v>281</v>
      </c>
      <c r="B913">
        <v>134484</v>
      </c>
      <c r="C913" s="4">
        <v>28.78</v>
      </c>
      <c r="D913" s="1">
        <v>44221</v>
      </c>
      <c r="E913" t="str">
        <f>"9604456-123120"</f>
        <v>9604456-123120</v>
      </c>
      <c r="F913" t="str">
        <f>"ACCT#46668439604456 JP#2"</f>
        <v>ACCT#46668439604456 JP#2</v>
      </c>
      <c r="G913" s="4">
        <v>28.78</v>
      </c>
      <c r="H913" t="str">
        <f>"ACCT#46668439604456 JP#2"</f>
        <v>ACCT#46668439604456 JP#2</v>
      </c>
    </row>
    <row r="914" spans="1:8" x14ac:dyDescent="0.25">
      <c r="A914" t="s">
        <v>282</v>
      </c>
      <c r="B914">
        <v>134485</v>
      </c>
      <c r="C914" s="4">
        <v>120.02</v>
      </c>
      <c r="D914" s="1">
        <v>44221</v>
      </c>
      <c r="E914" t="str">
        <f>"S1110863"</f>
        <v>S1110863</v>
      </c>
      <c r="F914" t="str">
        <f>"ACCT#114382/ANIMAL SHELTER"</f>
        <v>ACCT#114382/ANIMAL SHELTER</v>
      </c>
      <c r="G914" s="4">
        <v>120.02</v>
      </c>
      <c r="H914" t="str">
        <f>"ACCT#114382/ANIMAL SHELTER"</f>
        <v>ACCT#114382/ANIMAL SHELTER</v>
      </c>
    </row>
    <row r="915" spans="1:8" x14ac:dyDescent="0.25">
      <c r="A915" t="s">
        <v>283</v>
      </c>
      <c r="B915">
        <v>134486</v>
      </c>
      <c r="C915" s="4">
        <v>1184.6400000000001</v>
      </c>
      <c r="D915" s="1">
        <v>44221</v>
      </c>
      <c r="E915" t="str">
        <f>"970913"</f>
        <v>970913</v>
      </c>
      <c r="F915" t="str">
        <f>"INV ORDER 277720"</f>
        <v>INV ORDER 277720</v>
      </c>
      <c r="G915" s="4">
        <v>1184.6400000000001</v>
      </c>
      <c r="H915" t="str">
        <f>"STL R/B RAPTOR TIR"</f>
        <v>STL R/B RAPTOR TIR</v>
      </c>
    </row>
    <row r="916" spans="1:8" x14ac:dyDescent="0.25">
      <c r="E916" t="str">
        <f>""</f>
        <v/>
      </c>
      <c r="F916" t="str">
        <f>""</f>
        <v/>
      </c>
      <c r="H916" t="str">
        <f>"STL R/B MULTICOLOR S"</f>
        <v>STL R/B MULTICOLOR S</v>
      </c>
    </row>
    <row r="917" spans="1:8" x14ac:dyDescent="0.25">
      <c r="E917" t="str">
        <f>""</f>
        <v/>
      </c>
      <c r="F917" t="str">
        <f>""</f>
        <v/>
      </c>
      <c r="H917" t="str">
        <f>"STL HEADLINE BRACKET"</f>
        <v>STL HEADLINE BRACKET</v>
      </c>
    </row>
    <row r="918" spans="1:8" x14ac:dyDescent="0.25">
      <c r="E918" t="str">
        <f>""</f>
        <v/>
      </c>
      <c r="F918" t="str">
        <f>""</f>
        <v/>
      </c>
      <c r="H918" t="str">
        <f>"STL R/B Z-4 TIR"</f>
        <v>STL R/B Z-4 TIR</v>
      </c>
    </row>
    <row r="919" spans="1:8" x14ac:dyDescent="0.25">
      <c r="E919" t="str">
        <f>""</f>
        <v/>
      </c>
      <c r="F919" t="str">
        <f>""</f>
        <v/>
      </c>
      <c r="H919" t="str">
        <f>"ADJUSTMENT"</f>
        <v>ADJUSTMENT</v>
      </c>
    </row>
    <row r="920" spans="1:8" x14ac:dyDescent="0.25">
      <c r="E920" t="str">
        <f>""</f>
        <v/>
      </c>
      <c r="F920" t="str">
        <f>""</f>
        <v/>
      </c>
      <c r="H920" t="str">
        <f>"STL 10 FT CORD"</f>
        <v>STL 10 FT CORD</v>
      </c>
    </row>
    <row r="921" spans="1:8" x14ac:dyDescent="0.25">
      <c r="E921" t="str">
        <f>""</f>
        <v/>
      </c>
      <c r="F921" t="str">
        <f>""</f>
        <v/>
      </c>
      <c r="H921" t="str">
        <f>"ADJUSTMENT"</f>
        <v>ADJUSTMENT</v>
      </c>
    </row>
    <row r="922" spans="1:8" x14ac:dyDescent="0.25">
      <c r="E922" t="str">
        <f>""</f>
        <v/>
      </c>
      <c r="F922" t="str">
        <f>""</f>
        <v/>
      </c>
      <c r="H922" t="str">
        <f>"STL R/B Z-4 TIR"</f>
        <v>STL R/B Z-4 TIR</v>
      </c>
    </row>
    <row r="923" spans="1:8" x14ac:dyDescent="0.25">
      <c r="E923" t="str">
        <f>""</f>
        <v/>
      </c>
      <c r="F923" t="str">
        <f>""</f>
        <v/>
      </c>
      <c r="H923" t="str">
        <f>"STL 10 FT CONDUCTOR"</f>
        <v>STL 10 FT CONDUCTOR</v>
      </c>
    </row>
    <row r="924" spans="1:8" x14ac:dyDescent="0.25">
      <c r="E924" t="str">
        <f>""</f>
        <v/>
      </c>
      <c r="F924" t="str">
        <f>""</f>
        <v/>
      </c>
      <c r="H924" t="str">
        <f>"STL APEX"</f>
        <v>STL APEX</v>
      </c>
    </row>
    <row r="925" spans="1:8" x14ac:dyDescent="0.25">
      <c r="E925" t="str">
        <f>""</f>
        <v/>
      </c>
      <c r="F925" t="str">
        <f>""</f>
        <v/>
      </c>
      <c r="H925" t="str">
        <f>"STL BLACK ICON SPEAK"</f>
        <v>STL BLACK ICON SPEAK</v>
      </c>
    </row>
    <row r="926" spans="1:8" x14ac:dyDescent="0.25">
      <c r="E926" t="str">
        <f>""</f>
        <v/>
      </c>
      <c r="F926" t="str">
        <f>""</f>
        <v/>
      </c>
      <c r="H926" t="str">
        <f>"STL HAVIS BRACKET"</f>
        <v>STL HAVIS BRACKET</v>
      </c>
    </row>
    <row r="927" spans="1:8" x14ac:dyDescent="0.25">
      <c r="E927" t="str">
        <f>""</f>
        <v/>
      </c>
      <c r="F927" t="str">
        <f>""</f>
        <v/>
      </c>
      <c r="H927" t="str">
        <f>"SHIPPING"</f>
        <v>SHIPPING</v>
      </c>
    </row>
    <row r="928" spans="1:8" x14ac:dyDescent="0.25">
      <c r="A928" t="s">
        <v>284</v>
      </c>
      <c r="B928">
        <v>134355</v>
      </c>
      <c r="C928" s="4">
        <v>50</v>
      </c>
      <c r="D928" s="1">
        <v>44207</v>
      </c>
      <c r="E928" t="str">
        <f>"LCI-345498"</f>
        <v>LCI-345498</v>
      </c>
      <c r="F928" t="str">
        <f>"INV LCI-345498"</f>
        <v>INV LCI-345498</v>
      </c>
      <c r="G928" s="4">
        <v>50</v>
      </c>
      <c r="H928" t="str">
        <f>"INV LCI-345498"</f>
        <v>INV LCI-345498</v>
      </c>
    </row>
    <row r="929" spans="1:8" x14ac:dyDescent="0.25">
      <c r="A929" t="s">
        <v>285</v>
      </c>
      <c r="B929">
        <v>134487</v>
      </c>
      <c r="C929" s="4">
        <v>3027.84</v>
      </c>
      <c r="D929" s="1">
        <v>44221</v>
      </c>
      <c r="E929" t="str">
        <f>"202101191239"</f>
        <v>202101191239</v>
      </c>
      <c r="F929" t="str">
        <f>"INDIGENT HEALTH"</f>
        <v>INDIGENT HEALTH</v>
      </c>
      <c r="G929" s="4">
        <v>2794.48</v>
      </c>
      <c r="H929" t="str">
        <f>"INDIGENT HEALTH"</f>
        <v>INDIGENT HEALTH</v>
      </c>
    </row>
    <row r="930" spans="1:8" x14ac:dyDescent="0.25">
      <c r="E930" t="str">
        <f>"202101191240"</f>
        <v>202101191240</v>
      </c>
      <c r="F930" t="str">
        <f>"INDIGENT HEALTH"</f>
        <v>INDIGENT HEALTH</v>
      </c>
      <c r="G930" s="4">
        <v>233.36</v>
      </c>
      <c r="H930" t="str">
        <f>"INDIGENT HEALTH"</f>
        <v>INDIGENT HEALTH</v>
      </c>
    </row>
    <row r="931" spans="1:8" x14ac:dyDescent="0.25">
      <c r="A931" t="s">
        <v>286</v>
      </c>
      <c r="B931">
        <v>134488</v>
      </c>
      <c r="C931" s="4">
        <v>33.270000000000003</v>
      </c>
      <c r="D931" s="1">
        <v>44221</v>
      </c>
      <c r="E931" t="str">
        <f>"202101191238"</f>
        <v>202101191238</v>
      </c>
      <c r="F931" t="str">
        <f>"INDIGENT HEALTH"</f>
        <v>INDIGENT HEALTH</v>
      </c>
      <c r="G931" s="4">
        <v>33.270000000000003</v>
      </c>
      <c r="H931" t="str">
        <f>"INDIGENT HEALTH"</f>
        <v>INDIGENT HEALTH</v>
      </c>
    </row>
    <row r="932" spans="1:8" x14ac:dyDescent="0.25">
      <c r="A932" t="s">
        <v>287</v>
      </c>
      <c r="B932">
        <v>134489</v>
      </c>
      <c r="C932" s="4">
        <v>105.96</v>
      </c>
      <c r="D932" s="1">
        <v>44221</v>
      </c>
      <c r="E932" t="str">
        <f>"202101191241"</f>
        <v>202101191241</v>
      </c>
      <c r="F932" t="str">
        <f>"INDIGENT HEALTH"</f>
        <v>INDIGENT HEALTH</v>
      </c>
      <c r="G932" s="4">
        <v>105.96</v>
      </c>
      <c r="H932" t="str">
        <f>"INDIGENT HEALTH"</f>
        <v>INDIGENT HEALTH</v>
      </c>
    </row>
    <row r="933" spans="1:8" x14ac:dyDescent="0.25">
      <c r="A933" t="s">
        <v>288</v>
      </c>
      <c r="B933">
        <v>134356</v>
      </c>
      <c r="C933" s="4">
        <v>2978.71</v>
      </c>
      <c r="D933" s="1">
        <v>44207</v>
      </c>
      <c r="E933" t="str">
        <f>"202101061046"</f>
        <v>202101061046</v>
      </c>
      <c r="F933" t="str">
        <f>"STAPLES ORDER"</f>
        <v>STAPLES ORDER</v>
      </c>
      <c r="G933" s="4">
        <v>23.97</v>
      </c>
      <c r="H933" t="str">
        <f>"STAPLES ORDER"</f>
        <v>STAPLES ORDER</v>
      </c>
    </row>
    <row r="934" spans="1:8" x14ac:dyDescent="0.25">
      <c r="E934" t="str">
        <f>"8060662469"</f>
        <v>8060662469</v>
      </c>
      <c r="F934" t="str">
        <f>"Summary"</f>
        <v>Summary</v>
      </c>
      <c r="G934" s="4">
        <v>2954.74</v>
      </c>
      <c r="H934" t="str">
        <f>"3464516992"</f>
        <v>3464516992</v>
      </c>
    </row>
    <row r="935" spans="1:8" x14ac:dyDescent="0.25">
      <c r="E935" t="str">
        <f>""</f>
        <v/>
      </c>
      <c r="F935" t="str">
        <f>""</f>
        <v/>
      </c>
      <c r="H935" t="str">
        <f>"3464516997"</f>
        <v>3464516997</v>
      </c>
    </row>
    <row r="936" spans="1:8" x14ac:dyDescent="0.25">
      <c r="E936" t="str">
        <f>""</f>
        <v/>
      </c>
      <c r="F936" t="str">
        <f>""</f>
        <v/>
      </c>
      <c r="H936" t="str">
        <f>"3464516998"</f>
        <v>3464516998</v>
      </c>
    </row>
    <row r="937" spans="1:8" x14ac:dyDescent="0.25">
      <c r="E937" t="str">
        <f>""</f>
        <v/>
      </c>
      <c r="F937" t="str">
        <f>""</f>
        <v/>
      </c>
      <c r="H937" t="str">
        <f>"3464516999"</f>
        <v>3464516999</v>
      </c>
    </row>
    <row r="938" spans="1:8" x14ac:dyDescent="0.25">
      <c r="E938" t="str">
        <f>""</f>
        <v/>
      </c>
      <c r="F938" t="str">
        <f>""</f>
        <v/>
      </c>
      <c r="H938" t="str">
        <f>"3464517001"</f>
        <v>3464517001</v>
      </c>
    </row>
    <row r="939" spans="1:8" x14ac:dyDescent="0.25">
      <c r="E939" t="str">
        <f>""</f>
        <v/>
      </c>
      <c r="F939" t="str">
        <f>""</f>
        <v/>
      </c>
      <c r="H939" t="str">
        <f>"3464516995"</f>
        <v>3464516995</v>
      </c>
    </row>
    <row r="940" spans="1:8" x14ac:dyDescent="0.25">
      <c r="E940" t="str">
        <f>""</f>
        <v/>
      </c>
      <c r="F940" t="str">
        <f>""</f>
        <v/>
      </c>
      <c r="H940" t="str">
        <f>"3464516996"</f>
        <v>3464516996</v>
      </c>
    </row>
    <row r="941" spans="1:8" x14ac:dyDescent="0.25">
      <c r="E941" t="str">
        <f>""</f>
        <v/>
      </c>
      <c r="F941" t="str">
        <f>""</f>
        <v/>
      </c>
      <c r="H941" t="str">
        <f>"3464517004"</f>
        <v>3464517004</v>
      </c>
    </row>
    <row r="942" spans="1:8" x14ac:dyDescent="0.25">
      <c r="E942" t="str">
        <f>""</f>
        <v/>
      </c>
      <c r="F942" t="str">
        <f>""</f>
        <v/>
      </c>
      <c r="H942" t="str">
        <f>"3464517018"</f>
        <v>3464517018</v>
      </c>
    </row>
    <row r="943" spans="1:8" x14ac:dyDescent="0.25">
      <c r="E943" t="str">
        <f>""</f>
        <v/>
      </c>
      <c r="F943" t="str">
        <f>""</f>
        <v/>
      </c>
      <c r="H943" t="str">
        <f>"3464517019"</f>
        <v>3464517019</v>
      </c>
    </row>
    <row r="944" spans="1:8" x14ac:dyDescent="0.25">
      <c r="E944" t="str">
        <f>""</f>
        <v/>
      </c>
      <c r="F944" t="str">
        <f>""</f>
        <v/>
      </c>
      <c r="H944" t="str">
        <f>"3464517020"</f>
        <v>3464517020</v>
      </c>
    </row>
    <row r="945" spans="1:8" x14ac:dyDescent="0.25">
      <c r="E945" t="str">
        <f>""</f>
        <v/>
      </c>
      <c r="F945" t="str">
        <f>""</f>
        <v/>
      </c>
      <c r="H945" t="str">
        <f>"3464517017"</f>
        <v>3464517017</v>
      </c>
    </row>
    <row r="946" spans="1:8" x14ac:dyDescent="0.25">
      <c r="E946" t="str">
        <f>""</f>
        <v/>
      </c>
      <c r="F946" t="str">
        <f>""</f>
        <v/>
      </c>
      <c r="H946" t="str">
        <f>"3464517005"</f>
        <v>3464517005</v>
      </c>
    </row>
    <row r="947" spans="1:8" x14ac:dyDescent="0.25">
      <c r="E947" t="str">
        <f>""</f>
        <v/>
      </c>
      <c r="F947" t="str">
        <f>""</f>
        <v/>
      </c>
      <c r="H947" t="str">
        <f>"3464517006"</f>
        <v>3464517006</v>
      </c>
    </row>
    <row r="948" spans="1:8" x14ac:dyDescent="0.25">
      <c r="E948" t="str">
        <f>""</f>
        <v/>
      </c>
      <c r="F948" t="str">
        <f>""</f>
        <v/>
      </c>
      <c r="H948" t="str">
        <f>"3464517007"</f>
        <v>3464517007</v>
      </c>
    </row>
    <row r="949" spans="1:8" x14ac:dyDescent="0.25">
      <c r="E949" t="str">
        <f>""</f>
        <v/>
      </c>
      <c r="F949" t="str">
        <f>""</f>
        <v/>
      </c>
      <c r="H949" t="str">
        <f>"3464517008"</f>
        <v>3464517008</v>
      </c>
    </row>
    <row r="950" spans="1:8" x14ac:dyDescent="0.25">
      <c r="E950" t="str">
        <f>""</f>
        <v/>
      </c>
      <c r="F950" t="str">
        <f>""</f>
        <v/>
      </c>
      <c r="H950" t="str">
        <f>"3464517009"</f>
        <v>3464517009</v>
      </c>
    </row>
    <row r="951" spans="1:8" x14ac:dyDescent="0.25">
      <c r="E951" t="str">
        <f>""</f>
        <v/>
      </c>
      <c r="F951" t="str">
        <f>""</f>
        <v/>
      </c>
      <c r="H951" t="str">
        <f>"3464517010"</f>
        <v>3464517010</v>
      </c>
    </row>
    <row r="952" spans="1:8" x14ac:dyDescent="0.25">
      <c r="E952" t="str">
        <f>""</f>
        <v/>
      </c>
      <c r="F952" t="str">
        <f>""</f>
        <v/>
      </c>
      <c r="H952" t="str">
        <f>"3464517011"</f>
        <v>3464517011</v>
      </c>
    </row>
    <row r="953" spans="1:8" x14ac:dyDescent="0.25">
      <c r="E953" t="str">
        <f>""</f>
        <v/>
      </c>
      <c r="F953" t="str">
        <f>""</f>
        <v/>
      </c>
      <c r="H953" t="str">
        <f>"3464517013"</f>
        <v>3464517013</v>
      </c>
    </row>
    <row r="954" spans="1:8" x14ac:dyDescent="0.25">
      <c r="E954" t="str">
        <f>""</f>
        <v/>
      </c>
      <c r="F954" t="str">
        <f>""</f>
        <v/>
      </c>
      <c r="H954" t="str">
        <f>"3464517014"</f>
        <v>3464517014</v>
      </c>
    </row>
    <row r="955" spans="1:8" x14ac:dyDescent="0.25">
      <c r="E955" t="str">
        <f>""</f>
        <v/>
      </c>
      <c r="F955" t="str">
        <f>""</f>
        <v/>
      </c>
      <c r="H955" t="str">
        <f>"3464516993"</f>
        <v>3464516993</v>
      </c>
    </row>
    <row r="956" spans="1:8" x14ac:dyDescent="0.25">
      <c r="E956" t="str">
        <f>""</f>
        <v/>
      </c>
      <c r="F956" t="str">
        <f>""</f>
        <v/>
      </c>
      <c r="H956" t="str">
        <f>"3464516994"</f>
        <v>3464516994</v>
      </c>
    </row>
    <row r="957" spans="1:8" x14ac:dyDescent="0.25">
      <c r="A957" t="s">
        <v>288</v>
      </c>
      <c r="B957">
        <v>134490</v>
      </c>
      <c r="C957" s="4">
        <v>2106.6999999999998</v>
      </c>
      <c r="D957" s="1">
        <v>44221</v>
      </c>
      <c r="E957" t="str">
        <f>"8060809910"</f>
        <v>8060809910</v>
      </c>
      <c r="F957" t="str">
        <f>"Summary"</f>
        <v>Summary</v>
      </c>
      <c r="G957" s="4">
        <v>2106.6999999999998</v>
      </c>
      <c r="H957" t="str">
        <f>"3465818773"</f>
        <v>3465818773</v>
      </c>
    </row>
    <row r="958" spans="1:8" x14ac:dyDescent="0.25">
      <c r="E958" t="str">
        <f>""</f>
        <v/>
      </c>
      <c r="F958" t="str">
        <f>""</f>
        <v/>
      </c>
      <c r="H958" t="str">
        <f>"3465818776"</f>
        <v>3465818776</v>
      </c>
    </row>
    <row r="959" spans="1:8" x14ac:dyDescent="0.25">
      <c r="E959" t="str">
        <f>""</f>
        <v/>
      </c>
      <c r="F959" t="str">
        <f>""</f>
        <v/>
      </c>
      <c r="H959" t="str">
        <f>"3465818778"</f>
        <v>3465818778</v>
      </c>
    </row>
    <row r="960" spans="1:8" x14ac:dyDescent="0.25">
      <c r="E960" t="str">
        <f>""</f>
        <v/>
      </c>
      <c r="F960" t="str">
        <f>""</f>
        <v/>
      </c>
      <c r="H960" t="str">
        <f>"3465818783"</f>
        <v>3465818783</v>
      </c>
    </row>
    <row r="961" spans="5:8" x14ac:dyDescent="0.25">
      <c r="E961" t="str">
        <f>""</f>
        <v/>
      </c>
      <c r="F961" t="str">
        <f>""</f>
        <v/>
      </c>
      <c r="H961" t="str">
        <f>"3465818811"</f>
        <v>3465818811</v>
      </c>
    </row>
    <row r="962" spans="5:8" x14ac:dyDescent="0.25">
      <c r="E962" t="str">
        <f>""</f>
        <v/>
      </c>
      <c r="F962" t="str">
        <f>""</f>
        <v/>
      </c>
      <c r="H962" t="str">
        <f>"3465818771"</f>
        <v>3465818771</v>
      </c>
    </row>
    <row r="963" spans="5:8" x14ac:dyDescent="0.25">
      <c r="E963" t="str">
        <f>""</f>
        <v/>
      </c>
      <c r="F963" t="str">
        <f>""</f>
        <v/>
      </c>
      <c r="H963" t="str">
        <f>"3465818788"</f>
        <v>3465818788</v>
      </c>
    </row>
    <row r="964" spans="5:8" x14ac:dyDescent="0.25">
      <c r="E964" t="str">
        <f>""</f>
        <v/>
      </c>
      <c r="F964" t="str">
        <f>""</f>
        <v/>
      </c>
      <c r="H964" t="str">
        <f>"3465818791"</f>
        <v>3465818791</v>
      </c>
    </row>
    <row r="965" spans="5:8" x14ac:dyDescent="0.25">
      <c r="E965" t="str">
        <f>""</f>
        <v/>
      </c>
      <c r="F965" t="str">
        <f>""</f>
        <v/>
      </c>
      <c r="H965" t="str">
        <f>"3465818766"</f>
        <v>3465818766</v>
      </c>
    </row>
    <row r="966" spans="5:8" x14ac:dyDescent="0.25">
      <c r="E966" t="str">
        <f>""</f>
        <v/>
      </c>
      <c r="F966" t="str">
        <f>""</f>
        <v/>
      </c>
      <c r="H966" t="str">
        <f>"3465818801"</f>
        <v>3465818801</v>
      </c>
    </row>
    <row r="967" spans="5:8" x14ac:dyDescent="0.25">
      <c r="E967" t="str">
        <f>""</f>
        <v/>
      </c>
      <c r="F967" t="str">
        <f>""</f>
        <v/>
      </c>
      <c r="H967" t="str">
        <f>"3465818803"</f>
        <v>3465818803</v>
      </c>
    </row>
    <row r="968" spans="5:8" x14ac:dyDescent="0.25">
      <c r="E968" t="str">
        <f>""</f>
        <v/>
      </c>
      <c r="F968" t="str">
        <f>""</f>
        <v/>
      </c>
      <c r="H968" t="str">
        <f>"3465818806"</f>
        <v>3465818806</v>
      </c>
    </row>
    <row r="969" spans="5:8" x14ac:dyDescent="0.25">
      <c r="E969" t="str">
        <f>""</f>
        <v/>
      </c>
      <c r="F969" t="str">
        <f>""</f>
        <v/>
      </c>
      <c r="H969" t="str">
        <f>"3465818807"</f>
        <v>3465818807</v>
      </c>
    </row>
    <row r="970" spans="5:8" x14ac:dyDescent="0.25">
      <c r="E970" t="str">
        <f>""</f>
        <v/>
      </c>
      <c r="F970" t="str">
        <f>""</f>
        <v/>
      </c>
      <c r="H970" t="str">
        <f>"3465818786"</f>
        <v>3465818786</v>
      </c>
    </row>
    <row r="971" spans="5:8" x14ac:dyDescent="0.25">
      <c r="E971" t="str">
        <f>""</f>
        <v/>
      </c>
      <c r="F971" t="str">
        <f>""</f>
        <v/>
      </c>
      <c r="H971" t="str">
        <f>"3465818794"</f>
        <v>3465818794</v>
      </c>
    </row>
    <row r="972" spans="5:8" x14ac:dyDescent="0.25">
      <c r="E972" t="str">
        <f>""</f>
        <v/>
      </c>
      <c r="F972" t="str">
        <f>""</f>
        <v/>
      </c>
      <c r="H972" t="str">
        <f>"3465818797"</f>
        <v>3465818797</v>
      </c>
    </row>
    <row r="973" spans="5:8" x14ac:dyDescent="0.25">
      <c r="E973" t="str">
        <f>""</f>
        <v/>
      </c>
      <c r="F973" t="str">
        <f>""</f>
        <v/>
      </c>
      <c r="H973" t="str">
        <f>"3465818798"</f>
        <v>3465818798</v>
      </c>
    </row>
    <row r="974" spans="5:8" x14ac:dyDescent="0.25">
      <c r="E974" t="str">
        <f>""</f>
        <v/>
      </c>
      <c r="F974" t="str">
        <f>""</f>
        <v/>
      </c>
      <c r="H974" t="str">
        <f>"3465818799"</f>
        <v>3465818799</v>
      </c>
    </row>
    <row r="975" spans="5:8" x14ac:dyDescent="0.25">
      <c r="E975" t="str">
        <f>""</f>
        <v/>
      </c>
      <c r="F975" t="str">
        <f>""</f>
        <v/>
      </c>
      <c r="H975" t="str">
        <f>"3465818800"</f>
        <v>3465818800</v>
      </c>
    </row>
    <row r="976" spans="5:8" x14ac:dyDescent="0.25">
      <c r="E976" t="str">
        <f>""</f>
        <v/>
      </c>
      <c r="F976" t="str">
        <f>""</f>
        <v/>
      </c>
      <c r="H976" t="str">
        <f>"3465818780"</f>
        <v>3465818780</v>
      </c>
    </row>
    <row r="977" spans="1:8" x14ac:dyDescent="0.25">
      <c r="E977" t="str">
        <f>""</f>
        <v/>
      </c>
      <c r="F977" t="str">
        <f>""</f>
        <v/>
      </c>
      <c r="H977" t="str">
        <f>"3465818808"</f>
        <v>3465818808</v>
      </c>
    </row>
    <row r="978" spans="1:8" x14ac:dyDescent="0.25">
      <c r="E978" t="str">
        <f>""</f>
        <v/>
      </c>
      <c r="F978" t="str">
        <f>""</f>
        <v/>
      </c>
      <c r="H978" t="str">
        <f>"3465818770"</f>
        <v>3465818770</v>
      </c>
    </row>
    <row r="979" spans="1:8" x14ac:dyDescent="0.25">
      <c r="E979" t="str">
        <f>""</f>
        <v/>
      </c>
      <c r="F979" t="str">
        <f>""</f>
        <v/>
      </c>
      <c r="H979" t="str">
        <f>"3465818763"</f>
        <v>3465818763</v>
      </c>
    </row>
    <row r="980" spans="1:8" x14ac:dyDescent="0.25">
      <c r="E980" t="str">
        <f>""</f>
        <v/>
      </c>
      <c r="F980" t="str">
        <f>""</f>
        <v/>
      </c>
      <c r="H980" t="str">
        <f>"3465818765"</f>
        <v>3465818765</v>
      </c>
    </row>
    <row r="981" spans="1:8" x14ac:dyDescent="0.25">
      <c r="A981" t="s">
        <v>289</v>
      </c>
      <c r="B981">
        <v>134491</v>
      </c>
      <c r="C981" s="4">
        <v>513.62</v>
      </c>
      <c r="D981" s="1">
        <v>44221</v>
      </c>
      <c r="E981" t="str">
        <f>"202101201274"</f>
        <v>202101201274</v>
      </c>
      <c r="F981" t="str">
        <f>"DECEMBER 2020"</f>
        <v>DECEMBER 2020</v>
      </c>
      <c r="G981" s="4">
        <v>513.62</v>
      </c>
      <c r="H981" t="str">
        <f>"DECEMBER 2020"</f>
        <v>DECEMBER 2020</v>
      </c>
    </row>
    <row r="982" spans="1:8" x14ac:dyDescent="0.25">
      <c r="A982" t="s">
        <v>290</v>
      </c>
      <c r="B982">
        <v>134357</v>
      </c>
      <c r="C982" s="4">
        <v>834.29</v>
      </c>
      <c r="D982" s="1">
        <v>44207</v>
      </c>
      <c r="E982" t="str">
        <f>"4009815483"</f>
        <v>4009815483</v>
      </c>
      <c r="F982" t="str">
        <f>"INV 4009815483"</f>
        <v>INV 4009815483</v>
      </c>
      <c r="G982" s="4">
        <v>834.29</v>
      </c>
      <c r="H982" t="str">
        <f>"INV 4009815483"</f>
        <v>INV 4009815483</v>
      </c>
    </row>
    <row r="983" spans="1:8" x14ac:dyDescent="0.25">
      <c r="A983" t="s">
        <v>291</v>
      </c>
      <c r="B983">
        <v>3771</v>
      </c>
      <c r="C983" s="4">
        <v>149.5</v>
      </c>
      <c r="D983" s="1">
        <v>44208</v>
      </c>
      <c r="E983" t="str">
        <f>"202101051020"</f>
        <v>202101051020</v>
      </c>
      <c r="F983" t="str">
        <f>"TRASH REMOVAL 01/04-01/08"</f>
        <v>TRASH REMOVAL 01/04-01/08</v>
      </c>
      <c r="G983" s="4">
        <v>149.5</v>
      </c>
      <c r="H983" t="str">
        <f>"TRASH REMOVAL 01/04-01/08"</f>
        <v>TRASH REMOVAL 01/04-01/08</v>
      </c>
    </row>
    <row r="984" spans="1:8" x14ac:dyDescent="0.25">
      <c r="A984" t="s">
        <v>291</v>
      </c>
      <c r="B984">
        <v>3827</v>
      </c>
      <c r="C984" s="4">
        <v>364</v>
      </c>
      <c r="D984" s="1">
        <v>44222</v>
      </c>
      <c r="E984" t="str">
        <f>"202101191223"</f>
        <v>202101191223</v>
      </c>
      <c r="F984" t="str">
        <f>"TRASH REMOVAL 1/11/20-1/22/20"</f>
        <v>TRASH REMOVAL 1/11/20-1/22/20</v>
      </c>
      <c r="G984" s="4">
        <v>364</v>
      </c>
      <c r="H984" t="str">
        <f>"TRASH REMOVAL 1/11/20-1/22/20"</f>
        <v>TRASH REMOVAL 1/11/20-1/22/20</v>
      </c>
    </row>
    <row r="985" spans="1:8" x14ac:dyDescent="0.25">
      <c r="A985" t="s">
        <v>292</v>
      </c>
      <c r="B985">
        <v>3849</v>
      </c>
      <c r="C985" s="4">
        <v>5142.9399999999996</v>
      </c>
      <c r="D985" s="1">
        <v>44222</v>
      </c>
      <c r="E985" t="str">
        <f>"95938853"</f>
        <v>95938853</v>
      </c>
      <c r="F985" t="str">
        <f>"ACCT#10187930/PCT#2"</f>
        <v>ACCT#10187930/PCT#2</v>
      </c>
      <c r="G985" s="4">
        <v>2832.12</v>
      </c>
      <c r="H985" t="str">
        <f>"ACCT#10187930/PCT#2"</f>
        <v>ACCT#10187930/PCT#2</v>
      </c>
    </row>
    <row r="986" spans="1:8" x14ac:dyDescent="0.25">
      <c r="E986" t="str">
        <f>"95951569"</f>
        <v>95951569</v>
      </c>
      <c r="F986" t="str">
        <f>"ACCT#10187930/PCT#2"</f>
        <v>ACCT#10187930/PCT#2</v>
      </c>
      <c r="G986" s="4">
        <v>2310.8200000000002</v>
      </c>
      <c r="H986" t="str">
        <f>"ACCT#10187930/PCT#2"</f>
        <v>ACCT#10187930/PCT#2</v>
      </c>
    </row>
    <row r="987" spans="1:8" x14ac:dyDescent="0.25">
      <c r="A987" t="s">
        <v>293</v>
      </c>
      <c r="B987">
        <v>3779</v>
      </c>
      <c r="C987" s="4">
        <v>66.319999999999993</v>
      </c>
      <c r="D987" s="1">
        <v>44208</v>
      </c>
      <c r="E987" t="str">
        <f>"21010503"</f>
        <v>21010503</v>
      </c>
      <c r="F987" t="str">
        <f>"SVC CONTRACT 12/01-01/04"</f>
        <v>SVC CONTRACT 12/01-01/04</v>
      </c>
      <c r="G987" s="4">
        <v>66.319999999999993</v>
      </c>
      <c r="H987" t="str">
        <f>"SVC CONTRACT 12/01-01/04"</f>
        <v>SVC CONTRACT 12/01-01/04</v>
      </c>
    </row>
    <row r="988" spans="1:8" x14ac:dyDescent="0.25">
      <c r="A988" t="s">
        <v>294</v>
      </c>
      <c r="B988">
        <v>134358</v>
      </c>
      <c r="C988" s="4">
        <v>275</v>
      </c>
      <c r="D988" s="1">
        <v>44207</v>
      </c>
      <c r="E988" t="str">
        <f>"RJ7271308"</f>
        <v>RJ7271308</v>
      </c>
      <c r="F988" t="str">
        <f>"INV RJ7271308"</f>
        <v>INV RJ7271308</v>
      </c>
      <c r="G988" s="4">
        <v>275</v>
      </c>
      <c r="H988" t="str">
        <f>"INV RJ7271308"</f>
        <v>INV RJ7271308</v>
      </c>
    </row>
    <row r="989" spans="1:8" x14ac:dyDescent="0.25">
      <c r="A989" t="s">
        <v>295</v>
      </c>
      <c r="B989">
        <v>3884</v>
      </c>
      <c r="C989" s="4">
        <v>221</v>
      </c>
      <c r="D989" s="1">
        <v>44222</v>
      </c>
      <c r="E989" t="str">
        <f>"2102069"</f>
        <v>2102069</v>
      </c>
      <c r="F989" t="str">
        <f>"MONTHLY CONTRACT BILLING"</f>
        <v>MONTHLY CONTRACT BILLING</v>
      </c>
      <c r="G989" s="4">
        <v>221</v>
      </c>
      <c r="H989" t="str">
        <f>"MONTHLY CONTRACT BILLING"</f>
        <v>MONTHLY CONTRACT BILLING</v>
      </c>
    </row>
    <row r="990" spans="1:8" x14ac:dyDescent="0.25">
      <c r="A990" t="s">
        <v>296</v>
      </c>
      <c r="B990">
        <v>3805</v>
      </c>
      <c r="C990" s="4">
        <v>69</v>
      </c>
      <c r="D990" s="1">
        <v>44208</v>
      </c>
      <c r="E990" t="str">
        <f>"202012300941"</f>
        <v>202012300941</v>
      </c>
      <c r="F990" t="str">
        <f>"REIMBURSE MILEAGE"</f>
        <v>REIMBURSE MILEAGE</v>
      </c>
      <c r="G990" s="4">
        <v>69</v>
      </c>
      <c r="H990" t="str">
        <f>"REIMBURSE MILEAGE"</f>
        <v>REIMBURSE MILEAGE</v>
      </c>
    </row>
    <row r="991" spans="1:8" x14ac:dyDescent="0.25">
      <c r="A991" t="s">
        <v>297</v>
      </c>
      <c r="B991">
        <v>134359</v>
      </c>
      <c r="C991" s="4">
        <v>3154.04</v>
      </c>
      <c r="D991" s="1">
        <v>44207</v>
      </c>
      <c r="E991" t="str">
        <f>"1041798-IN"</f>
        <v>1041798-IN</v>
      </c>
      <c r="F991" t="str">
        <f>"ACCT#01-0112917/PCT#1"</f>
        <v>ACCT#01-0112917/PCT#1</v>
      </c>
      <c r="G991" s="4">
        <v>240.12</v>
      </c>
      <c r="H991" t="str">
        <f>"ACCT#01-0112917/PCT#1"</f>
        <v>ACCT#01-0112917/PCT#1</v>
      </c>
    </row>
    <row r="992" spans="1:8" x14ac:dyDescent="0.25">
      <c r="E992" t="str">
        <f>"1045585-IN"</f>
        <v>1045585-IN</v>
      </c>
      <c r="F992" t="str">
        <f>"ACCT#01-0112917/BOL#802422/P3"</f>
        <v>ACCT#01-0112917/BOL#802422/P3</v>
      </c>
      <c r="G992" s="4">
        <v>2913.92</v>
      </c>
      <c r="H992" t="str">
        <f>"ACCT#01-0112917/BOL#802422/P3"</f>
        <v>ACCT#01-0112917/BOL#802422/P3</v>
      </c>
    </row>
    <row r="993" spans="1:8" x14ac:dyDescent="0.25">
      <c r="A993" t="s">
        <v>297</v>
      </c>
      <c r="B993">
        <v>134492</v>
      </c>
      <c r="C993" s="4">
        <v>4128.88</v>
      </c>
      <c r="D993" s="1">
        <v>44221</v>
      </c>
      <c r="E993" t="str">
        <f>"1047011-IN"</f>
        <v>1047011-IN</v>
      </c>
      <c r="F993" t="str">
        <f>"ACC#01-0112917/FUEL/PCT #4"</f>
        <v>ACC#01-0112917/FUEL/PCT #4</v>
      </c>
      <c r="G993" s="4">
        <v>4128.88</v>
      </c>
      <c r="H993" t="str">
        <f>"ACC#01-0112917/FUEL/PCT #4"</f>
        <v>ACC#01-0112917/FUEL/PCT #4</v>
      </c>
    </row>
    <row r="994" spans="1:8" x14ac:dyDescent="0.25">
      <c r="A994" t="s">
        <v>298</v>
      </c>
      <c r="B994">
        <v>134493</v>
      </c>
      <c r="C994" s="4">
        <v>502.27</v>
      </c>
      <c r="D994" s="1">
        <v>44221</v>
      </c>
      <c r="E994" t="str">
        <f>"202101191242"</f>
        <v>202101191242</v>
      </c>
      <c r="F994" t="str">
        <f>"INDIGENT HEALTH"</f>
        <v>INDIGENT HEALTH</v>
      </c>
      <c r="G994" s="4">
        <v>502.27</v>
      </c>
      <c r="H994" t="str">
        <f>"INDIGENT HEALTH"</f>
        <v>INDIGENT HEALTH</v>
      </c>
    </row>
    <row r="995" spans="1:8" x14ac:dyDescent="0.25">
      <c r="A995" t="s">
        <v>299</v>
      </c>
      <c r="B995">
        <v>134360</v>
      </c>
      <c r="C995" s="4">
        <v>400</v>
      </c>
      <c r="D995" s="1">
        <v>44207</v>
      </c>
      <c r="E995" t="str">
        <f>"202101061043"</f>
        <v>202101061043</v>
      </c>
      <c r="F995" t="str">
        <f>"BOND RENEWALS"</f>
        <v>BOND RENEWALS</v>
      </c>
      <c r="G995" s="4">
        <v>400</v>
      </c>
      <c r="H995" t="str">
        <f>"BOND RENEWALS"</f>
        <v>BOND RENEWALS</v>
      </c>
    </row>
    <row r="996" spans="1:8" x14ac:dyDescent="0.25">
      <c r="A996" t="s">
        <v>299</v>
      </c>
      <c r="B996">
        <v>134494</v>
      </c>
      <c r="C996" s="4">
        <v>885.03</v>
      </c>
      <c r="D996" s="1">
        <v>44221</v>
      </c>
      <c r="E996" t="str">
        <f>"6291"</f>
        <v>6291</v>
      </c>
      <c r="F996" t="str">
        <f>"INV 6291"</f>
        <v>INV 6291</v>
      </c>
      <c r="G996" s="4">
        <v>50</v>
      </c>
      <c r="H996" t="str">
        <f>"INV 6291"</f>
        <v>INV 6291</v>
      </c>
    </row>
    <row r="997" spans="1:8" x14ac:dyDescent="0.25">
      <c r="E997" t="str">
        <f>"6300"</f>
        <v>6300</v>
      </c>
      <c r="F997" t="str">
        <f>"149078 BOND RNWL / AUDITORS"</f>
        <v>149078 BOND RNWL / AUDITORS</v>
      </c>
      <c r="G997" s="4">
        <v>430.03</v>
      </c>
      <c r="H997" t="str">
        <f>"149078 BOND RNWL / AUDITORS"</f>
        <v>149078 BOND RNWL / AUDITORS</v>
      </c>
    </row>
    <row r="998" spans="1:8" x14ac:dyDescent="0.25">
      <c r="E998" t="str">
        <f>"6307"</f>
        <v>6307</v>
      </c>
      <c r="F998" t="str">
        <f>"BOND RENEWALS"</f>
        <v>BOND RENEWALS</v>
      </c>
      <c r="G998" s="4">
        <v>405</v>
      </c>
      <c r="H998" t="str">
        <f>"BOND RENEWALS"</f>
        <v>BOND RENEWALS</v>
      </c>
    </row>
    <row r="999" spans="1:8" x14ac:dyDescent="0.25">
      <c r="A999" t="s">
        <v>300</v>
      </c>
      <c r="B999">
        <v>134361</v>
      </c>
      <c r="C999" s="4">
        <v>1140</v>
      </c>
      <c r="D999" s="1">
        <v>44207</v>
      </c>
      <c r="E999" t="str">
        <f>"202101061029"</f>
        <v>202101061029</v>
      </c>
      <c r="F999" t="str">
        <f>"MEMBERSHIP DUES-LISA SMITH"</f>
        <v>MEMBERSHIP DUES-LISA SMITH</v>
      </c>
      <c r="G999" s="4">
        <v>565</v>
      </c>
      <c r="H999" t="str">
        <f>"MEMBERSHIP DUES-LISA SMITH"</f>
        <v>MEMBERSHIP DUES-LISA SMITH</v>
      </c>
    </row>
    <row r="1000" spans="1:8" x14ac:dyDescent="0.25">
      <c r="E1000" t="str">
        <f>"308429"</f>
        <v>308429</v>
      </c>
      <c r="F1000" t="str">
        <f>"MEMBER ID# 255742 JODAWN BOMAR"</f>
        <v>MEMBER ID# 255742 JODAWN BOMAR</v>
      </c>
      <c r="G1000" s="4">
        <v>395</v>
      </c>
      <c r="H1000" t="str">
        <f>"MEMBER ID# 255742 JODAWN BOMAR"</f>
        <v>MEMBER ID# 255742 JODAWN BOMAR</v>
      </c>
    </row>
    <row r="1001" spans="1:8" x14ac:dyDescent="0.25">
      <c r="E1001" t="str">
        <f>"308430"</f>
        <v>308430</v>
      </c>
      <c r="F1001" t="str">
        <f>"MEMBER ID 255742 JODAWN BOMAR"</f>
        <v>MEMBER ID 255742 JODAWN BOMAR</v>
      </c>
      <c r="G1001" s="4">
        <v>180</v>
      </c>
      <c r="H1001" t="str">
        <f>"MEMBER ID 255742 JODAWN BOMAR"</f>
        <v>MEMBER ID 255742 JODAWN BOMAR</v>
      </c>
    </row>
    <row r="1002" spans="1:8" x14ac:dyDescent="0.25">
      <c r="A1002" t="s">
        <v>300</v>
      </c>
      <c r="B1002">
        <v>134362</v>
      </c>
      <c r="C1002" s="4">
        <v>6359.17</v>
      </c>
      <c r="D1002" s="1">
        <v>44207</v>
      </c>
      <c r="E1002" t="str">
        <f>"D-2021-1-0110"</f>
        <v>D-2021-1-0110</v>
      </c>
      <c r="F1002" t="str">
        <f>"UNEMPLOYMENT QTR END 12/31/20"</f>
        <v>UNEMPLOYMENT QTR END 12/31/20</v>
      </c>
      <c r="G1002" s="4">
        <v>6359.17</v>
      </c>
      <c r="H1002" t="str">
        <f t="shared" ref="H1002:H1040" si="13">"UNEMPLOYMENT QTR END 12/31/20"</f>
        <v>UNEMPLOYMENT QTR END 12/31/20</v>
      </c>
    </row>
    <row r="1003" spans="1:8" x14ac:dyDescent="0.25">
      <c r="E1003" t="str">
        <f>""</f>
        <v/>
      </c>
      <c r="F1003" t="str">
        <f>""</f>
        <v/>
      </c>
      <c r="H1003" t="str">
        <f t="shared" si="13"/>
        <v>UNEMPLOYMENT QTR END 12/31/20</v>
      </c>
    </row>
    <row r="1004" spans="1:8" x14ac:dyDescent="0.25">
      <c r="E1004" t="str">
        <f>""</f>
        <v/>
      </c>
      <c r="F1004" t="str">
        <f>""</f>
        <v/>
      </c>
      <c r="H1004" t="str">
        <f t="shared" si="13"/>
        <v>UNEMPLOYMENT QTR END 12/31/20</v>
      </c>
    </row>
    <row r="1005" spans="1:8" x14ac:dyDescent="0.25">
      <c r="E1005" t="str">
        <f>""</f>
        <v/>
      </c>
      <c r="F1005" t="str">
        <f>""</f>
        <v/>
      </c>
      <c r="H1005" t="str">
        <f t="shared" si="13"/>
        <v>UNEMPLOYMENT QTR END 12/31/20</v>
      </c>
    </row>
    <row r="1006" spans="1:8" x14ac:dyDescent="0.25">
      <c r="E1006" t="str">
        <f>""</f>
        <v/>
      </c>
      <c r="F1006" t="str">
        <f>""</f>
        <v/>
      </c>
      <c r="H1006" t="str">
        <f t="shared" si="13"/>
        <v>UNEMPLOYMENT QTR END 12/31/20</v>
      </c>
    </row>
    <row r="1007" spans="1:8" x14ac:dyDescent="0.25">
      <c r="E1007" t="str">
        <f>""</f>
        <v/>
      </c>
      <c r="F1007" t="str">
        <f>""</f>
        <v/>
      </c>
      <c r="H1007" t="str">
        <f t="shared" si="13"/>
        <v>UNEMPLOYMENT QTR END 12/31/20</v>
      </c>
    </row>
    <row r="1008" spans="1:8" x14ac:dyDescent="0.25">
      <c r="E1008" t="str">
        <f>""</f>
        <v/>
      </c>
      <c r="F1008" t="str">
        <f>""</f>
        <v/>
      </c>
      <c r="H1008" t="str">
        <f t="shared" si="13"/>
        <v>UNEMPLOYMENT QTR END 12/31/20</v>
      </c>
    </row>
    <row r="1009" spans="5:8" x14ac:dyDescent="0.25">
      <c r="E1009" t="str">
        <f>""</f>
        <v/>
      </c>
      <c r="F1009" t="str">
        <f>""</f>
        <v/>
      </c>
      <c r="H1009" t="str">
        <f t="shared" si="13"/>
        <v>UNEMPLOYMENT QTR END 12/31/20</v>
      </c>
    </row>
    <row r="1010" spans="5:8" x14ac:dyDescent="0.25">
      <c r="E1010" t="str">
        <f>""</f>
        <v/>
      </c>
      <c r="F1010" t="str">
        <f>""</f>
        <v/>
      </c>
      <c r="H1010" t="str">
        <f t="shared" si="13"/>
        <v>UNEMPLOYMENT QTR END 12/31/20</v>
      </c>
    </row>
    <row r="1011" spans="5:8" x14ac:dyDescent="0.25">
      <c r="E1011" t="str">
        <f>""</f>
        <v/>
      </c>
      <c r="F1011" t="str">
        <f>""</f>
        <v/>
      </c>
      <c r="H1011" t="str">
        <f t="shared" si="13"/>
        <v>UNEMPLOYMENT QTR END 12/31/20</v>
      </c>
    </row>
    <row r="1012" spans="5:8" x14ac:dyDescent="0.25">
      <c r="E1012" t="str">
        <f>""</f>
        <v/>
      </c>
      <c r="F1012" t="str">
        <f>""</f>
        <v/>
      </c>
      <c r="H1012" t="str">
        <f t="shared" si="13"/>
        <v>UNEMPLOYMENT QTR END 12/31/20</v>
      </c>
    </row>
    <row r="1013" spans="5:8" x14ac:dyDescent="0.25">
      <c r="E1013" t="str">
        <f>""</f>
        <v/>
      </c>
      <c r="F1013" t="str">
        <f>""</f>
        <v/>
      </c>
      <c r="H1013" t="str">
        <f t="shared" si="13"/>
        <v>UNEMPLOYMENT QTR END 12/31/20</v>
      </c>
    </row>
    <row r="1014" spans="5:8" x14ac:dyDescent="0.25">
      <c r="E1014" t="str">
        <f>""</f>
        <v/>
      </c>
      <c r="F1014" t="str">
        <f>""</f>
        <v/>
      </c>
      <c r="H1014" t="str">
        <f t="shared" si="13"/>
        <v>UNEMPLOYMENT QTR END 12/31/20</v>
      </c>
    </row>
    <row r="1015" spans="5:8" x14ac:dyDescent="0.25">
      <c r="E1015" t="str">
        <f>""</f>
        <v/>
      </c>
      <c r="F1015" t="str">
        <f>""</f>
        <v/>
      </c>
      <c r="H1015" t="str">
        <f t="shared" si="13"/>
        <v>UNEMPLOYMENT QTR END 12/31/20</v>
      </c>
    </row>
    <row r="1016" spans="5:8" x14ac:dyDescent="0.25">
      <c r="E1016" t="str">
        <f>""</f>
        <v/>
      </c>
      <c r="F1016" t="str">
        <f>""</f>
        <v/>
      </c>
      <c r="H1016" t="str">
        <f t="shared" si="13"/>
        <v>UNEMPLOYMENT QTR END 12/31/20</v>
      </c>
    </row>
    <row r="1017" spans="5:8" x14ac:dyDescent="0.25">
      <c r="E1017" t="str">
        <f>""</f>
        <v/>
      </c>
      <c r="F1017" t="str">
        <f>""</f>
        <v/>
      </c>
      <c r="H1017" t="str">
        <f t="shared" si="13"/>
        <v>UNEMPLOYMENT QTR END 12/31/20</v>
      </c>
    </row>
    <row r="1018" spans="5:8" x14ac:dyDescent="0.25">
      <c r="E1018" t="str">
        <f>""</f>
        <v/>
      </c>
      <c r="F1018" t="str">
        <f>""</f>
        <v/>
      </c>
      <c r="H1018" t="str">
        <f t="shared" si="13"/>
        <v>UNEMPLOYMENT QTR END 12/31/20</v>
      </c>
    </row>
    <row r="1019" spans="5:8" x14ac:dyDescent="0.25">
      <c r="E1019" t="str">
        <f>""</f>
        <v/>
      </c>
      <c r="F1019" t="str">
        <f>""</f>
        <v/>
      </c>
      <c r="H1019" t="str">
        <f t="shared" si="13"/>
        <v>UNEMPLOYMENT QTR END 12/31/20</v>
      </c>
    </row>
    <row r="1020" spans="5:8" x14ac:dyDescent="0.25">
      <c r="E1020" t="str">
        <f>""</f>
        <v/>
      </c>
      <c r="F1020" t="str">
        <f>""</f>
        <v/>
      </c>
      <c r="H1020" t="str">
        <f t="shared" si="13"/>
        <v>UNEMPLOYMENT QTR END 12/31/20</v>
      </c>
    </row>
    <row r="1021" spans="5:8" x14ac:dyDescent="0.25">
      <c r="E1021" t="str">
        <f>""</f>
        <v/>
      </c>
      <c r="F1021" t="str">
        <f>""</f>
        <v/>
      </c>
      <c r="H1021" t="str">
        <f t="shared" si="13"/>
        <v>UNEMPLOYMENT QTR END 12/31/20</v>
      </c>
    </row>
    <row r="1022" spans="5:8" x14ac:dyDescent="0.25">
      <c r="E1022" t="str">
        <f>""</f>
        <v/>
      </c>
      <c r="F1022" t="str">
        <f>""</f>
        <v/>
      </c>
      <c r="H1022" t="str">
        <f t="shared" si="13"/>
        <v>UNEMPLOYMENT QTR END 12/31/20</v>
      </c>
    </row>
    <row r="1023" spans="5:8" x14ac:dyDescent="0.25">
      <c r="E1023" t="str">
        <f>""</f>
        <v/>
      </c>
      <c r="F1023" t="str">
        <f>""</f>
        <v/>
      </c>
      <c r="H1023" t="str">
        <f t="shared" si="13"/>
        <v>UNEMPLOYMENT QTR END 12/31/20</v>
      </c>
    </row>
    <row r="1024" spans="5:8" x14ac:dyDescent="0.25">
      <c r="E1024" t="str">
        <f>""</f>
        <v/>
      </c>
      <c r="F1024" t="str">
        <f>""</f>
        <v/>
      </c>
      <c r="H1024" t="str">
        <f t="shared" si="13"/>
        <v>UNEMPLOYMENT QTR END 12/31/20</v>
      </c>
    </row>
    <row r="1025" spans="5:8" x14ac:dyDescent="0.25">
      <c r="E1025" t="str">
        <f>""</f>
        <v/>
      </c>
      <c r="F1025" t="str">
        <f>""</f>
        <v/>
      </c>
      <c r="H1025" t="str">
        <f t="shared" si="13"/>
        <v>UNEMPLOYMENT QTR END 12/31/20</v>
      </c>
    </row>
    <row r="1026" spans="5:8" x14ac:dyDescent="0.25">
      <c r="E1026" t="str">
        <f>""</f>
        <v/>
      </c>
      <c r="F1026" t="str">
        <f>""</f>
        <v/>
      </c>
      <c r="H1026" t="str">
        <f t="shared" si="13"/>
        <v>UNEMPLOYMENT QTR END 12/31/20</v>
      </c>
    </row>
    <row r="1027" spans="5:8" x14ac:dyDescent="0.25">
      <c r="E1027" t="str">
        <f>""</f>
        <v/>
      </c>
      <c r="F1027" t="str">
        <f>""</f>
        <v/>
      </c>
      <c r="H1027" t="str">
        <f t="shared" si="13"/>
        <v>UNEMPLOYMENT QTR END 12/31/20</v>
      </c>
    </row>
    <row r="1028" spans="5:8" x14ac:dyDescent="0.25">
      <c r="E1028" t="str">
        <f>""</f>
        <v/>
      </c>
      <c r="F1028" t="str">
        <f>""</f>
        <v/>
      </c>
      <c r="H1028" t="str">
        <f t="shared" si="13"/>
        <v>UNEMPLOYMENT QTR END 12/31/20</v>
      </c>
    </row>
    <row r="1029" spans="5:8" x14ac:dyDescent="0.25">
      <c r="E1029" t="str">
        <f>""</f>
        <v/>
      </c>
      <c r="F1029" t="str">
        <f>""</f>
        <v/>
      </c>
      <c r="H1029" t="str">
        <f t="shared" si="13"/>
        <v>UNEMPLOYMENT QTR END 12/31/20</v>
      </c>
    </row>
    <row r="1030" spans="5:8" x14ac:dyDescent="0.25">
      <c r="E1030" t="str">
        <f>""</f>
        <v/>
      </c>
      <c r="F1030" t="str">
        <f>""</f>
        <v/>
      </c>
      <c r="H1030" t="str">
        <f t="shared" si="13"/>
        <v>UNEMPLOYMENT QTR END 12/31/20</v>
      </c>
    </row>
    <row r="1031" spans="5:8" x14ac:dyDescent="0.25">
      <c r="E1031" t="str">
        <f>""</f>
        <v/>
      </c>
      <c r="F1031" t="str">
        <f>""</f>
        <v/>
      </c>
      <c r="H1031" t="str">
        <f t="shared" si="13"/>
        <v>UNEMPLOYMENT QTR END 12/31/20</v>
      </c>
    </row>
    <row r="1032" spans="5:8" x14ac:dyDescent="0.25">
      <c r="E1032" t="str">
        <f>""</f>
        <v/>
      </c>
      <c r="F1032" t="str">
        <f>""</f>
        <v/>
      </c>
      <c r="H1032" t="str">
        <f t="shared" si="13"/>
        <v>UNEMPLOYMENT QTR END 12/31/20</v>
      </c>
    </row>
    <row r="1033" spans="5:8" x14ac:dyDescent="0.25">
      <c r="E1033" t="str">
        <f>""</f>
        <v/>
      </c>
      <c r="F1033" t="str">
        <f>""</f>
        <v/>
      </c>
      <c r="H1033" t="str">
        <f t="shared" si="13"/>
        <v>UNEMPLOYMENT QTR END 12/31/20</v>
      </c>
    </row>
    <row r="1034" spans="5:8" x14ac:dyDescent="0.25">
      <c r="E1034" t="str">
        <f>""</f>
        <v/>
      </c>
      <c r="F1034" t="str">
        <f>""</f>
        <v/>
      </c>
      <c r="H1034" t="str">
        <f t="shared" si="13"/>
        <v>UNEMPLOYMENT QTR END 12/31/20</v>
      </c>
    </row>
    <row r="1035" spans="5:8" x14ac:dyDescent="0.25">
      <c r="E1035" t="str">
        <f>""</f>
        <v/>
      </c>
      <c r="F1035" t="str">
        <f>""</f>
        <v/>
      </c>
      <c r="H1035" t="str">
        <f t="shared" si="13"/>
        <v>UNEMPLOYMENT QTR END 12/31/20</v>
      </c>
    </row>
    <row r="1036" spans="5:8" x14ac:dyDescent="0.25">
      <c r="E1036" t="str">
        <f>""</f>
        <v/>
      </c>
      <c r="F1036" t="str">
        <f>""</f>
        <v/>
      </c>
      <c r="H1036" t="str">
        <f t="shared" si="13"/>
        <v>UNEMPLOYMENT QTR END 12/31/20</v>
      </c>
    </row>
    <row r="1037" spans="5:8" x14ac:dyDescent="0.25">
      <c r="E1037" t="str">
        <f>""</f>
        <v/>
      </c>
      <c r="F1037" t="str">
        <f>""</f>
        <v/>
      </c>
      <c r="H1037" t="str">
        <f t="shared" si="13"/>
        <v>UNEMPLOYMENT QTR END 12/31/20</v>
      </c>
    </row>
    <row r="1038" spans="5:8" x14ac:dyDescent="0.25">
      <c r="E1038" t="str">
        <f>""</f>
        <v/>
      </c>
      <c r="F1038" t="str">
        <f>""</f>
        <v/>
      </c>
      <c r="H1038" t="str">
        <f t="shared" si="13"/>
        <v>UNEMPLOYMENT QTR END 12/31/20</v>
      </c>
    </row>
    <row r="1039" spans="5:8" x14ac:dyDescent="0.25">
      <c r="E1039" t="str">
        <f>""</f>
        <v/>
      </c>
      <c r="F1039" t="str">
        <f>""</f>
        <v/>
      </c>
      <c r="H1039" t="str">
        <f t="shared" si="13"/>
        <v>UNEMPLOYMENT QTR END 12/31/20</v>
      </c>
    </row>
    <row r="1040" spans="5:8" x14ac:dyDescent="0.25">
      <c r="E1040" t="str">
        <f>""</f>
        <v/>
      </c>
      <c r="F1040" t="str">
        <f>""</f>
        <v/>
      </c>
      <c r="H1040" t="str">
        <f t="shared" si="13"/>
        <v>UNEMPLOYMENT QTR END 12/31/20</v>
      </c>
    </row>
    <row r="1041" spans="1:8" x14ac:dyDescent="0.25">
      <c r="A1041" t="s">
        <v>300</v>
      </c>
      <c r="B1041">
        <v>134495</v>
      </c>
      <c r="C1041" s="4">
        <v>520</v>
      </c>
      <c r="D1041" s="1">
        <v>44221</v>
      </c>
      <c r="E1041" t="str">
        <f>"202101131186"</f>
        <v>202101131186</v>
      </c>
      <c r="F1041" t="str">
        <f>"MEMBERSHIP DUES- JODAWN BOMAR"</f>
        <v>MEMBERSHIP DUES- JODAWN BOMAR</v>
      </c>
      <c r="G1041" s="4">
        <v>150</v>
      </c>
      <c r="H1041" t="str">
        <f>"MEMBERSHIP DUES- JODAWN BOMAR"</f>
        <v>MEMBERSHIP DUES- JODAWN BOMAR</v>
      </c>
    </row>
    <row r="1042" spans="1:8" x14ac:dyDescent="0.25">
      <c r="E1042" t="str">
        <f>"202101131198"</f>
        <v>202101131198</v>
      </c>
      <c r="F1042" t="str">
        <f>"MEMBERSHIP DUES GUS MEDUNA"</f>
        <v>MEMBERSHIP DUES GUS MEDUNA</v>
      </c>
      <c r="G1042" s="4">
        <v>60</v>
      </c>
      <c r="H1042" t="str">
        <f>"MEMBERSHIP DUES GUS MEDUNA"</f>
        <v>MEMBERSHIP DUES GUS MEDUNA</v>
      </c>
    </row>
    <row r="1043" spans="1:8" x14ac:dyDescent="0.25">
      <c r="E1043" t="str">
        <f>"202101201338"</f>
        <v>202101201338</v>
      </c>
      <c r="F1043" t="str">
        <f>"ASSOCIATE MEMBER-PATSY MIRELES"</f>
        <v>ASSOCIATE MEMBER-PATSY MIRELES</v>
      </c>
      <c r="G1043" s="4">
        <v>50</v>
      </c>
      <c r="H1043" t="str">
        <f>"ASSOCIATE MEMBER-PATSY MIRELES"</f>
        <v>ASSOCIATE MEMBER-PATSY MIRELES</v>
      </c>
    </row>
    <row r="1044" spans="1:8" x14ac:dyDescent="0.25">
      <c r="E1044" t="str">
        <f>"202101201339"</f>
        <v>202101201339</v>
      </c>
      <c r="F1044" t="str">
        <f>"ASSOCIATE MEMBER-E  OSORIO"</f>
        <v>ASSOCIATE MEMBER-E  OSORIO</v>
      </c>
      <c r="G1044" s="4">
        <v>50</v>
      </c>
      <c r="H1044" t="str">
        <f>"ASSOCIATE MEMBER-E  OSORIO"</f>
        <v>ASSOCIATE MEMBER-E  OSORIO</v>
      </c>
    </row>
    <row r="1045" spans="1:8" x14ac:dyDescent="0.25">
      <c r="E1045" t="str">
        <f>"231552  01/01/21"</f>
        <v>231552  01/01/21</v>
      </c>
      <c r="F1045" t="str">
        <f>"MEMBERSHIP DUES-JOYCE SCHANALS"</f>
        <v>MEMBERSHIP DUES-JOYCE SCHANALS</v>
      </c>
      <c r="G1045" s="4">
        <v>50</v>
      </c>
      <c r="H1045" t="str">
        <f>"MEMBERSHIP DUES-JOYCE SCHANALS"</f>
        <v>MEMBERSHIP DUES-JOYCE SCHANALS</v>
      </c>
    </row>
    <row r="1046" spans="1:8" x14ac:dyDescent="0.25">
      <c r="E1046" t="str">
        <f>"250078"</f>
        <v>250078</v>
      </c>
      <c r="F1046" t="str">
        <f>"JPCA DUES / D MONTOYA"</f>
        <v>JPCA DUES / D MONTOYA</v>
      </c>
      <c r="G1046" s="4">
        <v>35</v>
      </c>
      <c r="H1046" t="str">
        <f>"JPCA DUES / D MONTOYA"</f>
        <v>JPCA DUES / D MONTOYA</v>
      </c>
    </row>
    <row r="1047" spans="1:8" x14ac:dyDescent="0.25">
      <c r="E1047" t="str">
        <f>"255680"</f>
        <v>255680</v>
      </c>
      <c r="F1047" t="str">
        <f>"MEMBERSHIP DUES-ELLEN OWENS"</f>
        <v>MEMBERSHIP DUES-ELLEN OWENS</v>
      </c>
      <c r="G1047" s="4">
        <v>125</v>
      </c>
      <c r="H1047" t="str">
        <f>"MEMBERSHIP DUES-ELLEN OWENS"</f>
        <v>MEMBERSHIP DUES-ELLEN OWENS</v>
      </c>
    </row>
    <row r="1048" spans="1:8" x14ac:dyDescent="0.25">
      <c r="A1048" t="s">
        <v>301</v>
      </c>
      <c r="B1048">
        <v>134496</v>
      </c>
      <c r="C1048" s="4">
        <v>2</v>
      </c>
      <c r="D1048" s="1">
        <v>44221</v>
      </c>
      <c r="E1048" t="str">
        <f>"202101191220"</f>
        <v>202101191220</v>
      </c>
      <c r="F1048" t="str">
        <f>"TEXAS DEPT OF MOTOR VEHICLES"</f>
        <v>TEXAS DEPT OF MOTOR VEHICLES</v>
      </c>
      <c r="G1048" s="4">
        <v>2</v>
      </c>
      <c r="H1048" t="str">
        <f>""</f>
        <v/>
      </c>
    </row>
    <row r="1049" spans="1:8" x14ac:dyDescent="0.25">
      <c r="A1049" t="s">
        <v>302</v>
      </c>
      <c r="B1049">
        <v>134497</v>
      </c>
      <c r="C1049" s="4">
        <v>14</v>
      </c>
      <c r="D1049" s="1">
        <v>44221</v>
      </c>
      <c r="E1049" t="str">
        <f>"202012-206988"</f>
        <v>202012-206988</v>
      </c>
      <c r="F1049" t="str">
        <f>"SECURE SITE CCH NAME SEARCH"</f>
        <v>SECURE SITE CCH NAME SEARCH</v>
      </c>
      <c r="G1049" s="4">
        <v>14</v>
      </c>
      <c r="H1049" t="str">
        <f>"SECURE SITE CCH NAME SEARCH"</f>
        <v>SECURE SITE CCH NAME SEARCH</v>
      </c>
    </row>
    <row r="1050" spans="1:8" x14ac:dyDescent="0.25">
      <c r="A1050" t="s">
        <v>303</v>
      </c>
      <c r="B1050">
        <v>134363</v>
      </c>
      <c r="C1050" s="4">
        <v>155</v>
      </c>
      <c r="D1050" s="1">
        <v>44207</v>
      </c>
      <c r="E1050" t="str">
        <f>"5740366"</f>
        <v>5740366</v>
      </c>
      <c r="F1050" t="str">
        <f>"CUST#1-238865/TAHITIAN VILLAGE"</f>
        <v>CUST#1-238865/TAHITIAN VILLAGE</v>
      </c>
      <c r="G1050" s="4">
        <v>155</v>
      </c>
      <c r="H1050" t="str">
        <f>"CUST#1-238865/TAHITIAN VILLAGE"</f>
        <v>CUST#1-238865/TAHITIAN VILLAGE</v>
      </c>
    </row>
    <row r="1051" spans="1:8" x14ac:dyDescent="0.25">
      <c r="A1051" t="s">
        <v>304</v>
      </c>
      <c r="B1051">
        <v>134498</v>
      </c>
      <c r="C1051" s="4">
        <v>1980</v>
      </c>
      <c r="D1051" s="1">
        <v>44221</v>
      </c>
      <c r="E1051" t="str">
        <f>"4338"</f>
        <v>4338</v>
      </c>
      <c r="F1051" t="str">
        <f>"INV 4338"</f>
        <v>INV 4338</v>
      </c>
      <c r="G1051" s="4">
        <v>1190</v>
      </c>
      <c r="H1051" t="str">
        <f>"A. EADES"</f>
        <v>A. EADES</v>
      </c>
    </row>
    <row r="1052" spans="1:8" x14ac:dyDescent="0.25">
      <c r="E1052" t="str">
        <f>""</f>
        <v/>
      </c>
      <c r="F1052" t="str">
        <f>""</f>
        <v/>
      </c>
      <c r="H1052" t="str">
        <f>"A. YOUNG"</f>
        <v>A. YOUNG</v>
      </c>
    </row>
    <row r="1053" spans="1:8" x14ac:dyDescent="0.25">
      <c r="E1053" t="str">
        <f>"4342"</f>
        <v>4342</v>
      </c>
      <c r="F1053" t="str">
        <f>"INV 4342"</f>
        <v>INV 4342</v>
      </c>
      <c r="G1053" s="4">
        <v>790</v>
      </c>
      <c r="H1053" t="str">
        <f>"A. EADES"</f>
        <v>A. EADES</v>
      </c>
    </row>
    <row r="1054" spans="1:8" x14ac:dyDescent="0.25">
      <c r="E1054" t="str">
        <f>""</f>
        <v/>
      </c>
      <c r="F1054" t="str">
        <f>""</f>
        <v/>
      </c>
      <c r="H1054" t="str">
        <f>"A. YOUNG"</f>
        <v>A. YOUNG</v>
      </c>
    </row>
    <row r="1055" spans="1:8" x14ac:dyDescent="0.25">
      <c r="A1055" t="s">
        <v>305</v>
      </c>
      <c r="B1055">
        <v>134499</v>
      </c>
      <c r="C1055" s="4">
        <v>50</v>
      </c>
      <c r="D1055" s="1">
        <v>44221</v>
      </c>
      <c r="E1055" t="str">
        <f>"53844"</f>
        <v>53844</v>
      </c>
      <c r="F1055" t="str">
        <f>"REGISTRATION FEE/ J WILHELM"</f>
        <v>REGISTRATION FEE/ J WILHELM</v>
      </c>
      <c r="G1055" s="4">
        <v>50</v>
      </c>
      <c r="H1055" t="str">
        <f>"REGISTRATION FEE/ J WILHELM"</f>
        <v>REGISTRATION FEE/ J WILHELM</v>
      </c>
    </row>
    <row r="1056" spans="1:8" x14ac:dyDescent="0.25">
      <c r="A1056" t="s">
        <v>307</v>
      </c>
      <c r="B1056">
        <v>134364</v>
      </c>
      <c r="C1056" s="4">
        <v>2934</v>
      </c>
      <c r="D1056" s="1">
        <v>44207</v>
      </c>
      <c r="E1056" t="str">
        <f>"200924532"</f>
        <v>200924532</v>
      </c>
      <c r="F1056" t="str">
        <f>"CUST#255120/PCT#2"</f>
        <v>CUST#255120/PCT#2</v>
      </c>
      <c r="G1056" s="4">
        <v>2934</v>
      </c>
      <c r="H1056" t="str">
        <f>"CUST#255120/PCT#2"</f>
        <v>CUST#255120/PCT#2</v>
      </c>
    </row>
    <row r="1057" spans="1:8" x14ac:dyDescent="0.25">
      <c r="A1057" t="s">
        <v>308</v>
      </c>
      <c r="B1057">
        <v>134365</v>
      </c>
      <c r="C1057" s="4">
        <v>229.5</v>
      </c>
      <c r="D1057" s="1">
        <v>44207</v>
      </c>
      <c r="E1057" t="str">
        <f>"J2-50047"</f>
        <v>J2-50047</v>
      </c>
      <c r="F1057" t="str">
        <f>"A8207030 - J.D. FISHER III"</f>
        <v>A8207030 - J.D. FISHER III</v>
      </c>
      <c r="G1057" s="4">
        <v>114.75</v>
      </c>
      <c r="H1057" t="str">
        <f>"A8207030 - J.D. FISHER III"</f>
        <v>A8207030 - J.D. FISHER III</v>
      </c>
    </row>
    <row r="1058" spans="1:8" x14ac:dyDescent="0.25">
      <c r="E1058" t="str">
        <f>"J2-68200"</f>
        <v>J2-68200</v>
      </c>
      <c r="F1058" t="str">
        <f>"A8329842 - A.M. WEISHEIMER"</f>
        <v>A8329842 - A.M. WEISHEIMER</v>
      </c>
      <c r="G1058" s="4">
        <v>114.75</v>
      </c>
      <c r="H1058" t="str">
        <f>"A8329842 - A.M. WEISHEIMER"</f>
        <v>A8329842 - A.M. WEISHEIMER</v>
      </c>
    </row>
    <row r="1059" spans="1:8" x14ac:dyDescent="0.25">
      <c r="A1059" t="s">
        <v>308</v>
      </c>
      <c r="B1059">
        <v>134500</v>
      </c>
      <c r="C1059" s="4">
        <v>229.5</v>
      </c>
      <c r="D1059" s="1">
        <v>44221</v>
      </c>
      <c r="E1059" t="str">
        <f>"20-1496J4"</f>
        <v>20-1496J4</v>
      </c>
      <c r="F1059" t="str">
        <f>"A8329868- E. CALLEJA"</f>
        <v>A8329868- E. CALLEJA</v>
      </c>
      <c r="G1059" s="4">
        <v>114.75</v>
      </c>
      <c r="H1059" t="str">
        <f>"A8329868- E. CALLEJA"</f>
        <v>A8329868- E. CALLEJA</v>
      </c>
    </row>
    <row r="1060" spans="1:8" x14ac:dyDescent="0.25">
      <c r="E1060" t="str">
        <f>"J2-68344"</f>
        <v>J2-68344</v>
      </c>
      <c r="F1060" t="str">
        <f>"A8286555 - L. J. BARRERA"</f>
        <v>A8286555 - L. J. BARRERA</v>
      </c>
      <c r="G1060" s="4">
        <v>114.75</v>
      </c>
      <c r="H1060" t="str">
        <f>"A8286555 - L. J. BARRERA"</f>
        <v>A8286555 - L. J. BARRERA</v>
      </c>
    </row>
    <row r="1061" spans="1:8" x14ac:dyDescent="0.25">
      <c r="A1061" t="s">
        <v>309</v>
      </c>
      <c r="B1061">
        <v>134501</v>
      </c>
      <c r="C1061" s="4">
        <v>223.24</v>
      </c>
      <c r="D1061" s="1">
        <v>44221</v>
      </c>
      <c r="E1061" t="str">
        <f>"210110"</f>
        <v>210110</v>
      </c>
      <c r="F1061" t="str">
        <f>"JOHN THOMAS GARRETT"</f>
        <v>JOHN THOMAS GARRETT</v>
      </c>
      <c r="G1061" s="4">
        <v>223.24</v>
      </c>
      <c r="H1061" t="str">
        <f>"JOHN THOMAS GARRETT"</f>
        <v>JOHN THOMAS GARRETT</v>
      </c>
    </row>
    <row r="1062" spans="1:8" x14ac:dyDescent="0.25">
      <c r="A1062" t="s">
        <v>310</v>
      </c>
      <c r="B1062">
        <v>134366</v>
      </c>
      <c r="C1062" s="4">
        <v>895</v>
      </c>
      <c r="D1062" s="1">
        <v>44207</v>
      </c>
      <c r="E1062" t="str">
        <f>"202101061036"</f>
        <v>202101061036</v>
      </c>
      <c r="F1062" t="str">
        <f>"REGISTRATION"</f>
        <v>REGISTRATION</v>
      </c>
      <c r="G1062" s="4">
        <v>895</v>
      </c>
      <c r="H1062" t="str">
        <f>"REGISTRATION"</f>
        <v>REGISTRATION</v>
      </c>
    </row>
    <row r="1063" spans="1:8" x14ac:dyDescent="0.25">
      <c r="A1063" t="s">
        <v>306</v>
      </c>
      <c r="B1063">
        <v>134502</v>
      </c>
      <c r="C1063" s="4">
        <v>29274.959999999999</v>
      </c>
      <c r="D1063" s="1">
        <v>44221</v>
      </c>
      <c r="E1063" t="str">
        <f>"9-4035"</f>
        <v>9-4035</v>
      </c>
      <c r="F1063" t="str">
        <f>"Task Order #4"</f>
        <v>Task Order #4</v>
      </c>
      <c r="G1063" s="4">
        <v>29274.959999999999</v>
      </c>
      <c r="H1063" t="str">
        <f>"Inv. #9-4121-85"</f>
        <v>Inv. #9-4121-85</v>
      </c>
    </row>
    <row r="1064" spans="1:8" x14ac:dyDescent="0.25">
      <c r="E1064" t="str">
        <f>""</f>
        <v/>
      </c>
      <c r="F1064" t="str">
        <f>""</f>
        <v/>
      </c>
      <c r="H1064" t="str">
        <f>"Inv. #9-3908"</f>
        <v>Inv. #9-3908</v>
      </c>
    </row>
    <row r="1065" spans="1:8" x14ac:dyDescent="0.25">
      <c r="E1065" t="str">
        <f>""</f>
        <v/>
      </c>
      <c r="F1065" t="str">
        <f>""</f>
        <v/>
      </c>
      <c r="H1065" t="str">
        <f>"Inv. #9-4035"</f>
        <v>Inv. #9-4035</v>
      </c>
    </row>
    <row r="1066" spans="1:8" x14ac:dyDescent="0.25">
      <c r="A1066" t="s">
        <v>311</v>
      </c>
      <c r="B1066">
        <v>134367</v>
      </c>
      <c r="C1066" s="4">
        <v>600</v>
      </c>
      <c r="D1066" s="1">
        <v>44207</v>
      </c>
      <c r="E1066" t="str">
        <f>"202101061039"</f>
        <v>202101061039</v>
      </c>
      <c r="F1066" t="str">
        <f>"TRAINING"</f>
        <v>TRAINING</v>
      </c>
      <c r="G1066" s="4">
        <v>600</v>
      </c>
      <c r="H1066" t="str">
        <f>"TRAINING"</f>
        <v>TRAINING</v>
      </c>
    </row>
    <row r="1067" spans="1:8" x14ac:dyDescent="0.25">
      <c r="A1067" t="s">
        <v>312</v>
      </c>
      <c r="B1067">
        <v>134503</v>
      </c>
      <c r="C1067" s="4">
        <v>440</v>
      </c>
      <c r="D1067" s="1">
        <v>44221</v>
      </c>
      <c r="E1067" t="str">
        <f>"300001419"</f>
        <v>300001419</v>
      </c>
      <c r="F1067" t="str">
        <f>"CVB/COC/EDC/CONVCTR: BUDGET"</f>
        <v>CVB/COC/EDC/CONVCTR: BUDGET</v>
      </c>
      <c r="G1067" s="4">
        <v>440</v>
      </c>
      <c r="H1067" t="str">
        <f>"CVB/COC/EDC/CONVCTR: BUDGET"</f>
        <v>CVB/COC/EDC/CONVCTR: BUDGET</v>
      </c>
    </row>
    <row r="1068" spans="1:8" x14ac:dyDescent="0.25">
      <c r="A1068" t="s">
        <v>313</v>
      </c>
      <c r="B1068">
        <v>3850</v>
      </c>
      <c r="C1068" s="4">
        <v>134.44999999999999</v>
      </c>
      <c r="D1068" s="1">
        <v>44222</v>
      </c>
      <c r="E1068" t="str">
        <f>"202101191243"</f>
        <v>202101191243</v>
      </c>
      <c r="F1068" t="str">
        <f>"INDIGENT HEALTH"</f>
        <v>INDIGENT HEALTH</v>
      </c>
      <c r="G1068" s="4">
        <v>134.44999999999999</v>
      </c>
      <c r="H1068" t="str">
        <f>"INDIGENT HEALTH"</f>
        <v>INDIGENT HEALTH</v>
      </c>
    </row>
    <row r="1069" spans="1:8" x14ac:dyDescent="0.25">
      <c r="A1069" t="s">
        <v>314</v>
      </c>
      <c r="B1069">
        <v>3783</v>
      </c>
      <c r="C1069" s="4">
        <v>700.5</v>
      </c>
      <c r="D1069" s="1">
        <v>44208</v>
      </c>
      <c r="E1069" t="str">
        <f>"198432"</f>
        <v>198432</v>
      </c>
      <c r="F1069" t="str">
        <f>"ACC# 188757 PCT 4 RD&amp;BRIDGE"</f>
        <v>ACC# 188757 PCT 4 RD&amp;BRIDGE</v>
      </c>
      <c r="G1069" s="4">
        <v>95.5</v>
      </c>
      <c r="H1069" t="str">
        <f>"ACC# 188757 PCT 4 RD&amp;BRIDGE"</f>
        <v>ACC# 188757 PCT 4 RD&amp;BRIDGE</v>
      </c>
    </row>
    <row r="1070" spans="1:8" x14ac:dyDescent="0.25">
      <c r="E1070" t="str">
        <f>"198444"</f>
        <v>198444</v>
      </c>
      <c r="F1070" t="str">
        <f>"ACC# 188757 LBG BLDG/HLTH DEPT"</f>
        <v>ACC# 188757 LBG BLDG/HLTH DEPT</v>
      </c>
      <c r="G1070" s="4">
        <v>69</v>
      </c>
      <c r="H1070" t="str">
        <f>"ACC# 188757 LBG BLDG/HLTH DEPT"</f>
        <v>ACC# 188757 LBG BLDG/HLTH DEPT</v>
      </c>
    </row>
    <row r="1071" spans="1:8" x14ac:dyDescent="0.25">
      <c r="E1071" t="str">
        <f>"198445"</f>
        <v>198445</v>
      </c>
      <c r="F1071" t="str">
        <f>"ACC# 188757 TAX OFFICE"</f>
        <v>ACC# 188757 TAX OFFICE</v>
      </c>
      <c r="G1071" s="4">
        <v>102</v>
      </c>
      <c r="H1071" t="str">
        <f>"ACC# 188757 TAX OFFICE"</f>
        <v>ACC# 188757 TAX OFFICE</v>
      </c>
    </row>
    <row r="1072" spans="1:8" x14ac:dyDescent="0.25">
      <c r="E1072" t="str">
        <f>"198927"</f>
        <v>198927</v>
      </c>
      <c r="F1072" t="str">
        <f>"ACCT#188757/EXT HABITAT BLDG"</f>
        <v>ACCT#188757/EXT HABITAT BLDG</v>
      </c>
      <c r="G1072" s="4">
        <v>89</v>
      </c>
      <c r="H1072" t="str">
        <f>"ACCT#188757/EXT HABITAT BLDG"</f>
        <v>ACCT#188757/EXT HABITAT BLDG</v>
      </c>
    </row>
    <row r="1073" spans="1:8" x14ac:dyDescent="0.25">
      <c r="E1073" t="str">
        <f>"198935"</f>
        <v>198935</v>
      </c>
      <c r="F1073" t="str">
        <f>"ACCT#188757/HISTORIC JAIL"</f>
        <v>ACCT#188757/HISTORIC JAIL</v>
      </c>
      <c r="G1073" s="4">
        <v>76</v>
      </c>
      <c r="H1073" t="str">
        <f>"ACCT#188757/HISTORIC JAIL"</f>
        <v>ACCT#188757/HISTORIC JAIL</v>
      </c>
    </row>
    <row r="1074" spans="1:8" x14ac:dyDescent="0.25">
      <c r="E1074" t="str">
        <f>"198936"</f>
        <v>198936</v>
      </c>
      <c r="F1074" t="str">
        <f>"ACCT#188757/CT HOUSE MAIN/ANNE"</f>
        <v>ACCT#188757/CT HOUSE MAIN/ANNE</v>
      </c>
      <c r="G1074" s="4">
        <v>137</v>
      </c>
      <c r="H1074" t="str">
        <f>"ACCT#188757/CT HOUSE MAIN/ANNE"</f>
        <v>ACCT#188757/CT HOUSE MAIN/ANNE</v>
      </c>
    </row>
    <row r="1075" spans="1:8" x14ac:dyDescent="0.25">
      <c r="E1075" t="str">
        <f>"198942"</f>
        <v>198942</v>
      </c>
      <c r="F1075" t="str">
        <f>"ACCT#188757/JUVENILE PROBATION"</f>
        <v>ACCT#188757/JUVENILE PROBATION</v>
      </c>
      <c r="G1075" s="4">
        <v>132</v>
      </c>
      <c r="H1075" t="str">
        <f>"ACCT#188757/JUVENILE PROBATION"</f>
        <v>ACCT#188757/JUVENILE PROBATION</v>
      </c>
    </row>
    <row r="1076" spans="1:8" x14ac:dyDescent="0.25">
      <c r="A1076" t="s">
        <v>314</v>
      </c>
      <c r="B1076">
        <v>3841</v>
      </c>
      <c r="C1076" s="4">
        <v>296</v>
      </c>
      <c r="D1076" s="1">
        <v>44222</v>
      </c>
      <c r="E1076" t="str">
        <f>"201032"</f>
        <v>201032</v>
      </c>
      <c r="F1076" t="str">
        <f>"ACCT#188757 CEDAR CREEK PRK"</f>
        <v>ACCT#188757 CEDAR CREEK PRK</v>
      </c>
      <c r="G1076" s="4">
        <v>125</v>
      </c>
      <c r="H1076" t="str">
        <f>"ACCT#188757"</f>
        <v>ACCT#188757</v>
      </c>
    </row>
    <row r="1077" spans="1:8" x14ac:dyDescent="0.25">
      <c r="E1077" t="str">
        <f>"201691"</f>
        <v>201691</v>
      </c>
      <c r="F1077" t="str">
        <f>"ACCT#188757/DPS/TDL"</f>
        <v>ACCT#188757/DPS/TDL</v>
      </c>
      <c r="G1077" s="4">
        <v>76</v>
      </c>
      <c r="H1077" t="str">
        <f>"ACCT#188757/DPS/TDL"</f>
        <v>ACCT#188757/DPS/TDL</v>
      </c>
    </row>
    <row r="1078" spans="1:8" x14ac:dyDescent="0.25">
      <c r="E1078" t="str">
        <f>"202051"</f>
        <v>202051</v>
      </c>
      <c r="F1078" t="str">
        <f>"ACCT#188757/JP#3"</f>
        <v>ACCT#188757/JP#3</v>
      </c>
      <c r="G1078" s="4">
        <v>95</v>
      </c>
      <c r="H1078" t="str">
        <f>"ACCT#188757/JP#3"</f>
        <v>ACCT#188757/JP#3</v>
      </c>
    </row>
    <row r="1079" spans="1:8" x14ac:dyDescent="0.25">
      <c r="A1079" t="s">
        <v>315</v>
      </c>
      <c r="B1079">
        <v>3773</v>
      </c>
      <c r="C1079" s="4">
        <v>550</v>
      </c>
      <c r="D1079" s="1">
        <v>44208</v>
      </c>
      <c r="E1079" t="str">
        <f>"202101040950"</f>
        <v>202101040950</v>
      </c>
      <c r="F1079" t="str">
        <f>"16 965"</f>
        <v>16 965</v>
      </c>
      <c r="G1079" s="4">
        <v>550</v>
      </c>
      <c r="H1079" t="str">
        <f>"16 965"</f>
        <v>16 965</v>
      </c>
    </row>
    <row r="1080" spans="1:8" x14ac:dyDescent="0.25">
      <c r="A1080" t="s">
        <v>315</v>
      </c>
      <c r="B1080">
        <v>3829</v>
      </c>
      <c r="C1080" s="4">
        <v>1500</v>
      </c>
      <c r="D1080" s="1">
        <v>44222</v>
      </c>
      <c r="E1080" t="str">
        <f>"202101121171"</f>
        <v>202101121171</v>
      </c>
      <c r="F1080" t="str">
        <f>"17-264 19-156"</f>
        <v>17-264 19-156</v>
      </c>
      <c r="G1080" s="4">
        <v>1500</v>
      </c>
      <c r="H1080" t="str">
        <f>"17-264 19-156"</f>
        <v>17-264 19-156</v>
      </c>
    </row>
    <row r="1081" spans="1:8" x14ac:dyDescent="0.25">
      <c r="A1081" t="s">
        <v>316</v>
      </c>
      <c r="B1081">
        <v>3880</v>
      </c>
      <c r="C1081" s="4">
        <v>2949</v>
      </c>
      <c r="D1081" s="1">
        <v>44222</v>
      </c>
      <c r="E1081" t="str">
        <f>"202101121185"</f>
        <v>202101121185</v>
      </c>
      <c r="F1081" t="str">
        <f>"TRAVELERS COM AUTO AUDIT"</f>
        <v>TRAVELERS COM AUTO AUDIT</v>
      </c>
      <c r="G1081" s="4">
        <v>2949</v>
      </c>
      <c r="H1081" t="str">
        <f>"TRAVELERS COM AUTO AUDIT"</f>
        <v>TRAVELERS COM AUTO AUDIT</v>
      </c>
    </row>
    <row r="1082" spans="1:8" x14ac:dyDescent="0.25">
      <c r="A1082" t="s">
        <v>317</v>
      </c>
      <c r="B1082">
        <v>134504</v>
      </c>
      <c r="C1082" s="4">
        <v>17500</v>
      </c>
      <c r="D1082" s="1">
        <v>44221</v>
      </c>
      <c r="E1082" t="str">
        <f>"0005020"</f>
        <v>0005020</v>
      </c>
      <c r="F1082" t="str">
        <f>"PHASE ONE -PREPARATION/SUBMITT"</f>
        <v>PHASE ONE -PREPARATION/SUBMITT</v>
      </c>
      <c r="G1082" s="4">
        <v>17500</v>
      </c>
      <c r="H1082" t="str">
        <f>"PHASE ONE -PREPARATION/SUBMITT"</f>
        <v>PHASE ONE -PREPARATION/SUBMITT</v>
      </c>
    </row>
    <row r="1083" spans="1:8" x14ac:dyDescent="0.25">
      <c r="A1083" t="s">
        <v>318</v>
      </c>
      <c r="B1083">
        <v>134368</v>
      </c>
      <c r="C1083" s="4">
        <v>4747.5</v>
      </c>
      <c r="D1083" s="1">
        <v>44207</v>
      </c>
      <c r="E1083" t="str">
        <f>"000588770"</f>
        <v>000588770</v>
      </c>
      <c r="F1083" t="str">
        <f>"THE TRAVELERS INDEMNITY COMPAN"</f>
        <v>THE TRAVELERS INDEMNITY COMPAN</v>
      </c>
      <c r="G1083" s="4">
        <v>4747.5</v>
      </c>
      <c r="H1083" t="str">
        <f>"Travelers"</f>
        <v>Travelers</v>
      </c>
    </row>
    <row r="1084" spans="1:8" x14ac:dyDescent="0.25">
      <c r="A1084" t="s">
        <v>319</v>
      </c>
      <c r="B1084">
        <v>134369</v>
      </c>
      <c r="C1084" s="4">
        <v>1200</v>
      </c>
      <c r="D1084" s="1">
        <v>44207</v>
      </c>
      <c r="E1084" t="str">
        <f>"843401099"</f>
        <v>843401099</v>
      </c>
      <c r="F1084" t="str">
        <f>"ACCT#1000648597/WEST INFO CHRG"</f>
        <v>ACCT#1000648597/WEST INFO CHRG</v>
      </c>
      <c r="G1084" s="4">
        <v>600</v>
      </c>
      <c r="H1084" t="str">
        <f>"ACCT#1000648597/WEST INFO CHRG"</f>
        <v>ACCT#1000648597/WEST INFO CHRG</v>
      </c>
    </row>
    <row r="1085" spans="1:8" x14ac:dyDescent="0.25">
      <c r="E1085" t="str">
        <f>"843569909"</f>
        <v>843569909</v>
      </c>
      <c r="F1085" t="str">
        <f>"ACCT#1000648597/WEST INFO CHRG"</f>
        <v>ACCT#1000648597/WEST INFO CHRG</v>
      </c>
      <c r="G1085" s="4">
        <v>600</v>
      </c>
      <c r="H1085" t="str">
        <f>"ACCT#1000648597WEST INFO CHRGS"</f>
        <v>ACCT#1000648597WEST INFO CHRGS</v>
      </c>
    </row>
    <row r="1086" spans="1:8" x14ac:dyDescent="0.25">
      <c r="A1086" t="s">
        <v>319</v>
      </c>
      <c r="B1086">
        <v>134505</v>
      </c>
      <c r="C1086" s="4">
        <v>856.59</v>
      </c>
      <c r="D1086" s="1">
        <v>44221</v>
      </c>
      <c r="E1086" t="str">
        <f>"843587935"</f>
        <v>843587935</v>
      </c>
      <c r="F1086" t="str">
        <f>"ACCT#100310962/WEST INFO CHRGS"</f>
        <v>ACCT#100310962/WEST INFO CHRGS</v>
      </c>
      <c r="G1086" s="4">
        <v>856.59</v>
      </c>
      <c r="H1086" t="str">
        <f>"ACCT#100310962/WEST INFO CHRGS"</f>
        <v>ACCT#100310962/WEST INFO CHRGS</v>
      </c>
    </row>
    <row r="1087" spans="1:8" x14ac:dyDescent="0.25">
      <c r="A1087" t="s">
        <v>320</v>
      </c>
      <c r="B1087">
        <v>134370</v>
      </c>
      <c r="C1087" s="4">
        <v>2152.94</v>
      </c>
      <c r="D1087" s="1">
        <v>44207</v>
      </c>
      <c r="E1087" t="str">
        <f>"0155923121220"</f>
        <v>0155923121220</v>
      </c>
      <c r="F1087" t="str">
        <f>"ACCT#8260 16 017 0155923"</f>
        <v>ACCT#8260 16 017 0155923</v>
      </c>
      <c r="G1087" s="4">
        <v>69.010000000000005</v>
      </c>
      <c r="H1087" t="str">
        <f>"ACCT#8260 16 017 0155923"</f>
        <v>ACCT#8260 16 017 0155923</v>
      </c>
    </row>
    <row r="1088" spans="1:8" x14ac:dyDescent="0.25">
      <c r="E1088" t="str">
        <f>"016431420920"</f>
        <v>016431420920</v>
      </c>
      <c r="F1088" t="str">
        <f>"ACCT#8260 16 111 0164314"</f>
        <v>ACCT#8260 16 111 0164314</v>
      </c>
      <c r="G1088" s="4">
        <v>806.88</v>
      </c>
      <c r="H1088" t="str">
        <f>"ACCT#8260 16 111 0164314"</f>
        <v>ACCT#8260 16 111 0164314</v>
      </c>
    </row>
    <row r="1089" spans="1:8" x14ac:dyDescent="0.25">
      <c r="E1089" t="str">
        <f>"0167100121620"</f>
        <v>0167100121620</v>
      </c>
      <c r="F1089" t="str">
        <f>"ACCT#8260 16 017 0167100"</f>
        <v>ACCT#8260 16 017 0167100</v>
      </c>
      <c r="G1089" s="4">
        <v>1277.05</v>
      </c>
      <c r="H1089" t="str">
        <f>"ACCT#8260 16 017 0167100"</f>
        <v>ACCT#8260 16 017 0167100</v>
      </c>
    </row>
    <row r="1090" spans="1:8" x14ac:dyDescent="0.25">
      <c r="A1090" t="s">
        <v>320</v>
      </c>
      <c r="B1090">
        <v>134506</v>
      </c>
      <c r="C1090" s="4">
        <v>3743.94</v>
      </c>
      <c r="D1090" s="1">
        <v>44221</v>
      </c>
      <c r="E1090" t="str">
        <f>"0003669010821"</f>
        <v>0003669010821</v>
      </c>
      <c r="F1090" t="str">
        <f>"ACCT#8260163000003669"</f>
        <v>ACCT#8260163000003669</v>
      </c>
      <c r="G1090" s="4">
        <v>3066.1</v>
      </c>
      <c r="H1090" t="str">
        <f>"ACCT#8260163000003669"</f>
        <v>ACCT#8260163000003669</v>
      </c>
    </row>
    <row r="1091" spans="1:8" x14ac:dyDescent="0.25">
      <c r="E1091" t="str">
        <f>""</f>
        <v/>
      </c>
      <c r="F1091" t="str">
        <f>""</f>
        <v/>
      </c>
      <c r="H1091" t="str">
        <f>"ACCT#8260163000003669"</f>
        <v>ACCT#8260163000003669</v>
      </c>
    </row>
    <row r="1092" spans="1:8" x14ac:dyDescent="0.25">
      <c r="E1092" t="str">
        <f>"0164314010921"</f>
        <v>0164314010921</v>
      </c>
      <c r="F1092" t="str">
        <f>"ACCT#8260 16 11 0164314/FIBER"</f>
        <v>ACCT#8260 16 11 0164314/FIBER</v>
      </c>
      <c r="G1092" s="4">
        <v>677.84</v>
      </c>
      <c r="H1092" t="str">
        <f>"ACCT#8260 16 11 0164314/FIBER"</f>
        <v>ACCT#8260 16 11 0164314/FIBER</v>
      </c>
    </row>
    <row r="1093" spans="1:8" x14ac:dyDescent="0.25">
      <c r="A1093" t="s">
        <v>321</v>
      </c>
      <c r="B1093">
        <v>134371</v>
      </c>
      <c r="C1093" s="4">
        <v>702.77</v>
      </c>
      <c r="D1093" s="1">
        <v>44207</v>
      </c>
      <c r="E1093" t="str">
        <f>"030860"</f>
        <v>030860</v>
      </c>
      <c r="F1093" t="str">
        <f>"KV-DRWED"</f>
        <v>KV-DRWED</v>
      </c>
      <c r="G1093" s="4">
        <v>111.28</v>
      </c>
      <c r="H1093" t="str">
        <f>"KV-DRWED DOOR WEDGIE"</f>
        <v>KV-DRWED DOOR WEDGIE</v>
      </c>
    </row>
    <row r="1094" spans="1:8" x14ac:dyDescent="0.25">
      <c r="E1094" t="str">
        <f>""</f>
        <v/>
      </c>
      <c r="F1094" t="str">
        <f>""</f>
        <v/>
      </c>
      <c r="H1094" t="str">
        <f>"FREIGHT"</f>
        <v>FREIGHT</v>
      </c>
    </row>
    <row r="1095" spans="1:8" x14ac:dyDescent="0.25">
      <c r="E1095" t="str">
        <f>"031773"</f>
        <v>031773</v>
      </c>
      <c r="F1095" t="str">
        <f>"CUST#0001725/FILTERS"</f>
        <v>CUST#0001725/FILTERS</v>
      </c>
      <c r="G1095" s="4">
        <v>591.49</v>
      </c>
      <c r="H1095" t="str">
        <f>"CUST#0001725/FILTERS"</f>
        <v>CUST#0001725/FILTERS</v>
      </c>
    </row>
    <row r="1096" spans="1:8" x14ac:dyDescent="0.25">
      <c r="A1096" t="s">
        <v>321</v>
      </c>
      <c r="B1096">
        <v>134507</v>
      </c>
      <c r="C1096" s="4">
        <v>733.2</v>
      </c>
      <c r="D1096" s="1">
        <v>44221</v>
      </c>
      <c r="E1096" t="str">
        <f>"031890"</f>
        <v>031890</v>
      </c>
      <c r="F1096" t="str">
        <f>"CUST#123120/GENERAL SVCS"</f>
        <v>CUST#123120/GENERAL SVCS</v>
      </c>
      <c r="G1096" s="4">
        <v>366.6</v>
      </c>
      <c r="H1096" t="str">
        <f>"CUST#123120/GENERAL SVCS"</f>
        <v>CUST#123120/GENERAL SVCS</v>
      </c>
    </row>
    <row r="1097" spans="1:8" x14ac:dyDescent="0.25">
      <c r="E1097" t="str">
        <f>"202101201252"</f>
        <v>202101201252</v>
      </c>
      <c r="F1097" t="str">
        <f>"Invoice"</f>
        <v>Invoice</v>
      </c>
      <c r="G1097" s="4">
        <v>366.6</v>
      </c>
      <c r="H1097" t="str">
        <f>"TK-3339W"</f>
        <v>TK-3339W</v>
      </c>
    </row>
    <row r="1098" spans="1:8" x14ac:dyDescent="0.25">
      <c r="E1098" t="str">
        <f>""</f>
        <v/>
      </c>
      <c r="F1098" t="str">
        <f>""</f>
        <v/>
      </c>
      <c r="H1098" t="str">
        <f>"JW-4578"</f>
        <v>JW-4578</v>
      </c>
    </row>
    <row r="1099" spans="1:8" x14ac:dyDescent="0.25">
      <c r="A1099" t="s">
        <v>322</v>
      </c>
      <c r="B1099">
        <v>134372</v>
      </c>
      <c r="C1099" s="4">
        <v>186.75</v>
      </c>
      <c r="D1099" s="1">
        <v>44207</v>
      </c>
      <c r="E1099" t="str">
        <f>"202101061025"</f>
        <v>202101061025</v>
      </c>
      <c r="F1099" t="str">
        <f>"REIMBURSE UNIFORM JEANS/PCT#3"</f>
        <v>REIMBURSE UNIFORM JEANS/PCT#3</v>
      </c>
      <c r="G1099" s="4">
        <v>186.75</v>
      </c>
      <c r="H1099" t="str">
        <f>"REIMBURSE UNIFORM JEANS/PCT#3"</f>
        <v>REIMBURSE UNIFORM JEANS/PCT#3</v>
      </c>
    </row>
    <row r="1100" spans="1:8" x14ac:dyDescent="0.25">
      <c r="A1100" t="s">
        <v>323</v>
      </c>
      <c r="B1100">
        <v>134373</v>
      </c>
      <c r="C1100" s="4">
        <v>105.4</v>
      </c>
      <c r="D1100" s="1">
        <v>44207</v>
      </c>
      <c r="E1100" t="str">
        <f>"4748*98082*1"</f>
        <v>4748*98082*1</v>
      </c>
      <c r="F1100" t="str">
        <f>"JAIL MEDICAL"</f>
        <v>JAIL MEDICAL</v>
      </c>
      <c r="G1100" s="4">
        <v>105.4</v>
      </c>
      <c r="H1100" t="str">
        <f>"JAIL MEDICAL"</f>
        <v>JAIL MEDICAL</v>
      </c>
    </row>
    <row r="1101" spans="1:8" x14ac:dyDescent="0.25">
      <c r="A1101" t="s">
        <v>324</v>
      </c>
      <c r="B1101">
        <v>134508</v>
      </c>
      <c r="C1101" s="4">
        <v>29000</v>
      </c>
      <c r="D1101" s="1">
        <v>44221</v>
      </c>
      <c r="E1101" t="str">
        <f>"3300004201"</f>
        <v>3300004201</v>
      </c>
      <c r="F1101" t="str">
        <f>"CUST#100733/INV#3300004201"</f>
        <v>CUST#100733/INV#3300004201</v>
      </c>
      <c r="G1101" s="4">
        <v>8700</v>
      </c>
      <c r="H1101" t="str">
        <f>"CUST#100733/INV#3300004201"</f>
        <v>CUST#100733/INV#3300004201</v>
      </c>
    </row>
    <row r="1102" spans="1:8" x14ac:dyDescent="0.25">
      <c r="E1102" t="str">
        <f>"3300004208"</f>
        <v>3300004208</v>
      </c>
      <c r="F1102" t="str">
        <f>"CUST#100010/INV#3300004208"</f>
        <v>CUST#100010/INV#3300004208</v>
      </c>
      <c r="G1102" s="4">
        <v>14500</v>
      </c>
      <c r="H1102" t="str">
        <f>"CUST#100010/INV#3300004208"</f>
        <v>CUST#100010/INV#3300004208</v>
      </c>
    </row>
    <row r="1103" spans="1:8" x14ac:dyDescent="0.25">
      <c r="E1103" t="str">
        <f>"3300004212"</f>
        <v>3300004212</v>
      </c>
      <c r="F1103" t="str">
        <f>"CUST#100009/INV#3300004212"</f>
        <v>CUST#100009/INV#3300004212</v>
      </c>
      <c r="G1103" s="4">
        <v>2900</v>
      </c>
      <c r="H1103" t="str">
        <f>"CUST#100009/INV#3300004212"</f>
        <v>CUST#100009/INV#3300004212</v>
      </c>
    </row>
    <row r="1104" spans="1:8" x14ac:dyDescent="0.25">
      <c r="E1104" t="str">
        <f>"3300004214"</f>
        <v>3300004214</v>
      </c>
      <c r="F1104" t="str">
        <f>"CUST#100011/JP#4"</f>
        <v>CUST#100011/JP#4</v>
      </c>
      <c r="G1104" s="4">
        <v>2900</v>
      </c>
      <c r="H1104" t="str">
        <f>"CUST#100011/JP#4"</f>
        <v>CUST#100011/JP#4</v>
      </c>
    </row>
    <row r="1105" spans="1:8" x14ac:dyDescent="0.25">
      <c r="A1105" t="s">
        <v>325</v>
      </c>
      <c r="B1105">
        <v>134509</v>
      </c>
      <c r="C1105" s="4">
        <v>33.270000000000003</v>
      </c>
      <c r="D1105" s="1">
        <v>44221</v>
      </c>
      <c r="E1105" t="str">
        <f>"202101191236"</f>
        <v>202101191236</v>
      </c>
      <c r="F1105" t="str">
        <f>"INDIGENT HEALTH"</f>
        <v>INDIGENT HEALTH</v>
      </c>
      <c r="G1105" s="4">
        <v>33.270000000000003</v>
      </c>
      <c r="H1105" t="str">
        <f>"INDIGENT HEALTH"</f>
        <v>INDIGENT HEALTH</v>
      </c>
    </row>
    <row r="1106" spans="1:8" x14ac:dyDescent="0.25">
      <c r="A1106" t="s">
        <v>326</v>
      </c>
      <c r="B1106">
        <v>3811</v>
      </c>
      <c r="C1106" s="4">
        <v>1150</v>
      </c>
      <c r="D1106" s="1">
        <v>44208</v>
      </c>
      <c r="E1106" t="str">
        <f>"202101040957"</f>
        <v>202101040957</v>
      </c>
      <c r="F1106" t="str">
        <f>"16 911"</f>
        <v>16 911</v>
      </c>
      <c r="G1106" s="4">
        <v>750</v>
      </c>
      <c r="H1106" t="str">
        <f>"16 911"</f>
        <v>16 911</v>
      </c>
    </row>
    <row r="1107" spans="1:8" x14ac:dyDescent="0.25">
      <c r="E1107" t="str">
        <f>"202101040958"</f>
        <v>202101040958</v>
      </c>
      <c r="F1107" t="str">
        <f>"CM20191102B"</f>
        <v>CM20191102B</v>
      </c>
      <c r="G1107" s="4">
        <v>400</v>
      </c>
      <c r="H1107" t="str">
        <f>"CM20191102B"</f>
        <v>CM20191102B</v>
      </c>
    </row>
    <row r="1108" spans="1:8" x14ac:dyDescent="0.25">
      <c r="A1108" t="s">
        <v>326</v>
      </c>
      <c r="B1108">
        <v>3887</v>
      </c>
      <c r="C1108" s="4">
        <v>250</v>
      </c>
      <c r="D1108" s="1">
        <v>44222</v>
      </c>
      <c r="E1108" t="str">
        <f>"202101201323"</f>
        <v>202101201323</v>
      </c>
      <c r="F1108" t="str">
        <f>"57-681"</f>
        <v>57-681</v>
      </c>
      <c r="G1108" s="4">
        <v>250</v>
      </c>
      <c r="H1108" t="str">
        <f>"57-681"</f>
        <v>57-681</v>
      </c>
    </row>
    <row r="1109" spans="1:8" x14ac:dyDescent="0.25">
      <c r="A1109" t="s">
        <v>327</v>
      </c>
      <c r="B1109">
        <v>134510</v>
      </c>
      <c r="C1109" s="4">
        <v>15737</v>
      </c>
      <c r="D1109" s="1">
        <v>44221</v>
      </c>
      <c r="E1109" t="str">
        <f>"020-27470"</f>
        <v>020-27470</v>
      </c>
      <c r="F1109" t="str">
        <f>"CUST#42161/ORD#101256"</f>
        <v>CUST#42161/ORD#101256</v>
      </c>
      <c r="G1109" s="4">
        <v>15737</v>
      </c>
      <c r="H1109" t="str">
        <f>"CUST#42161/ORD#101256"</f>
        <v>CUST#42161/ORD#101256</v>
      </c>
    </row>
    <row r="1110" spans="1:8" x14ac:dyDescent="0.25">
      <c r="A1110" t="s">
        <v>328</v>
      </c>
      <c r="B1110">
        <v>3821</v>
      </c>
      <c r="C1110" s="4">
        <v>427.67</v>
      </c>
      <c r="D1110" s="1">
        <v>44222</v>
      </c>
      <c r="E1110" t="str">
        <f>"128313984"</f>
        <v>128313984</v>
      </c>
      <c r="F1110" t="str">
        <f>"BCAS Bogus Paper"</f>
        <v>BCAS Bogus Paper</v>
      </c>
      <c r="G1110" s="4">
        <v>427.67</v>
      </c>
      <c r="H1110" t="str">
        <f>"BCAS Bogus Paper"</f>
        <v>BCAS Bogus Paper</v>
      </c>
    </row>
    <row r="1111" spans="1:8" x14ac:dyDescent="0.25">
      <c r="E1111" t="str">
        <f>""</f>
        <v/>
      </c>
      <c r="F1111" t="str">
        <f>""</f>
        <v/>
      </c>
      <c r="H1111" t="str">
        <f>"Shipping Cost"</f>
        <v>Shipping Cost</v>
      </c>
    </row>
    <row r="1112" spans="1:8" x14ac:dyDescent="0.25">
      <c r="A1112" t="s">
        <v>329</v>
      </c>
      <c r="B1112">
        <v>134374</v>
      </c>
      <c r="C1112" s="4">
        <v>25</v>
      </c>
      <c r="D1112" s="1">
        <v>44207</v>
      </c>
      <c r="E1112" t="str">
        <f>"202101050997"</f>
        <v>202101050997</v>
      </c>
      <c r="F1112" t="str">
        <f>"DRIVEWAY PERMIT FEE REFUND"</f>
        <v>DRIVEWAY PERMIT FEE REFUND</v>
      </c>
      <c r="G1112" s="4">
        <v>25</v>
      </c>
      <c r="H1112" t="str">
        <f>"DRIVEWAY PERMIT FEE REFUND"</f>
        <v>DRIVEWAY PERMIT FEE REFUND</v>
      </c>
    </row>
    <row r="1113" spans="1:8" x14ac:dyDescent="0.25">
      <c r="A1113" t="s">
        <v>330</v>
      </c>
      <c r="B1113">
        <v>134375</v>
      </c>
      <c r="C1113" s="4">
        <v>79.62</v>
      </c>
      <c r="D1113" s="1">
        <v>44207</v>
      </c>
      <c r="E1113" t="str">
        <f>"4747*08014*1"</f>
        <v>4747*08014*1</v>
      </c>
      <c r="F1113" t="str">
        <f>"JAIL MEDICAL"</f>
        <v>JAIL MEDICAL</v>
      </c>
      <c r="G1113" s="4">
        <v>79.62</v>
      </c>
      <c r="H1113" t="str">
        <f>"JAIL MEDICAL"</f>
        <v>JAIL MEDICAL</v>
      </c>
    </row>
    <row r="1114" spans="1:8" x14ac:dyDescent="0.25">
      <c r="A1114" t="s">
        <v>331</v>
      </c>
      <c r="B1114">
        <v>134511</v>
      </c>
      <c r="C1114" s="4">
        <v>137.25</v>
      </c>
      <c r="D1114" s="1">
        <v>44221</v>
      </c>
      <c r="E1114" t="str">
        <f>"2012518"</f>
        <v>2012518</v>
      </c>
      <c r="F1114" t="str">
        <f>"ACCT#17460002268 REMOTE BIRTH"</f>
        <v>ACCT#17460002268 REMOTE BIRTH</v>
      </c>
      <c r="G1114" s="4">
        <v>137.25</v>
      </c>
      <c r="H1114" t="str">
        <f>"ACCT#17460002268 REMOTE BIRTH"</f>
        <v>ACCT#17460002268 REMOTE BIRTH</v>
      </c>
    </row>
    <row r="1115" spans="1:8" x14ac:dyDescent="0.25">
      <c r="A1115" t="s">
        <v>332</v>
      </c>
      <c r="B1115">
        <v>3789</v>
      </c>
      <c r="C1115" s="4">
        <v>37758.120000000003</v>
      </c>
      <c r="D1115" s="1">
        <v>44208</v>
      </c>
      <c r="E1115" t="str">
        <f>"869395921052"</f>
        <v>869395921052</v>
      </c>
      <c r="F1115" t="str">
        <f>"Statement"</f>
        <v>Statement</v>
      </c>
      <c r="G1115" s="4">
        <v>37758.120000000003</v>
      </c>
      <c r="H1115" t="str">
        <f>"rebate"</f>
        <v>rebate</v>
      </c>
    </row>
    <row r="1116" spans="1:8" x14ac:dyDescent="0.25">
      <c r="E1116" t="str">
        <f>""</f>
        <v/>
      </c>
      <c r="F1116" t="str">
        <f>""</f>
        <v/>
      </c>
      <c r="H1116" t="str">
        <f>"fuel"</f>
        <v>fuel</v>
      </c>
    </row>
    <row r="1117" spans="1:8" x14ac:dyDescent="0.25">
      <c r="E1117" t="str">
        <f>""</f>
        <v/>
      </c>
      <c r="F1117" t="str">
        <f>""</f>
        <v/>
      </c>
      <c r="H1117" t="str">
        <f>"tax"</f>
        <v>tax</v>
      </c>
    </row>
    <row r="1118" spans="1:8" x14ac:dyDescent="0.25">
      <c r="E1118" t="str">
        <f>""</f>
        <v/>
      </c>
      <c r="F1118" t="str">
        <f>""</f>
        <v/>
      </c>
      <c r="H1118" t="str">
        <f>"maintenance"</f>
        <v>maintenance</v>
      </c>
    </row>
    <row r="1119" spans="1:8" x14ac:dyDescent="0.25">
      <c r="E1119" t="str">
        <f>""</f>
        <v/>
      </c>
      <c r="F1119" t="str">
        <f>""</f>
        <v/>
      </c>
      <c r="H1119" t="str">
        <f>"fuel"</f>
        <v>fuel</v>
      </c>
    </row>
    <row r="1120" spans="1:8" x14ac:dyDescent="0.25">
      <c r="E1120" t="str">
        <f>""</f>
        <v/>
      </c>
      <c r="F1120" t="str">
        <f>""</f>
        <v/>
      </c>
      <c r="H1120" t="str">
        <f>"tax"</f>
        <v>tax</v>
      </c>
    </row>
    <row r="1121" spans="5:8" x14ac:dyDescent="0.25">
      <c r="E1121" t="str">
        <f>""</f>
        <v/>
      </c>
      <c r="F1121" t="str">
        <f>""</f>
        <v/>
      </c>
      <c r="H1121" t="str">
        <f>"maintenance"</f>
        <v>maintenance</v>
      </c>
    </row>
    <row r="1122" spans="5:8" x14ac:dyDescent="0.25">
      <c r="E1122" t="str">
        <f>""</f>
        <v/>
      </c>
      <c r="F1122" t="str">
        <f>""</f>
        <v/>
      </c>
      <c r="H1122" t="str">
        <f>"fuel"</f>
        <v>fuel</v>
      </c>
    </row>
    <row r="1123" spans="5:8" x14ac:dyDescent="0.25">
      <c r="E1123" t="str">
        <f>""</f>
        <v/>
      </c>
      <c r="F1123" t="str">
        <f>""</f>
        <v/>
      </c>
      <c r="H1123" t="str">
        <f>"tax"</f>
        <v>tax</v>
      </c>
    </row>
    <row r="1124" spans="5:8" x14ac:dyDescent="0.25">
      <c r="E1124" t="str">
        <f>""</f>
        <v/>
      </c>
      <c r="F1124" t="str">
        <f>""</f>
        <v/>
      </c>
      <c r="H1124" t="str">
        <f>"maintenance"</f>
        <v>maintenance</v>
      </c>
    </row>
    <row r="1125" spans="5:8" x14ac:dyDescent="0.25">
      <c r="E1125" t="str">
        <f>""</f>
        <v/>
      </c>
      <c r="F1125" t="str">
        <f>""</f>
        <v/>
      </c>
      <c r="H1125" t="str">
        <f>"fuel"</f>
        <v>fuel</v>
      </c>
    </row>
    <row r="1126" spans="5:8" x14ac:dyDescent="0.25">
      <c r="E1126" t="str">
        <f>""</f>
        <v/>
      </c>
      <c r="F1126" t="str">
        <f>""</f>
        <v/>
      </c>
      <c r="H1126" t="str">
        <f>"tax"</f>
        <v>tax</v>
      </c>
    </row>
    <row r="1127" spans="5:8" x14ac:dyDescent="0.25">
      <c r="E1127" t="str">
        <f>""</f>
        <v/>
      </c>
      <c r="F1127" t="str">
        <f>""</f>
        <v/>
      </c>
      <c r="H1127" t="str">
        <f>"maintenance"</f>
        <v>maintenance</v>
      </c>
    </row>
    <row r="1128" spans="5:8" x14ac:dyDescent="0.25">
      <c r="E1128" t="str">
        <f>""</f>
        <v/>
      </c>
      <c r="F1128" t="str">
        <f>""</f>
        <v/>
      </c>
      <c r="H1128" t="str">
        <f>"fuel"</f>
        <v>fuel</v>
      </c>
    </row>
    <row r="1129" spans="5:8" x14ac:dyDescent="0.25">
      <c r="E1129" t="str">
        <f>""</f>
        <v/>
      </c>
      <c r="F1129" t="str">
        <f>""</f>
        <v/>
      </c>
      <c r="H1129" t="str">
        <f>"maintenance"</f>
        <v>maintenance</v>
      </c>
    </row>
    <row r="1130" spans="5:8" x14ac:dyDescent="0.25">
      <c r="E1130" t="str">
        <f>""</f>
        <v/>
      </c>
      <c r="F1130" t="str">
        <f>""</f>
        <v/>
      </c>
      <c r="H1130" t="str">
        <f>"fuel"</f>
        <v>fuel</v>
      </c>
    </row>
    <row r="1131" spans="5:8" x14ac:dyDescent="0.25">
      <c r="E1131" t="str">
        <f>""</f>
        <v/>
      </c>
      <c r="F1131" t="str">
        <f>""</f>
        <v/>
      </c>
      <c r="H1131" t="str">
        <f>"tax"</f>
        <v>tax</v>
      </c>
    </row>
    <row r="1132" spans="5:8" x14ac:dyDescent="0.25">
      <c r="E1132" t="str">
        <f>""</f>
        <v/>
      </c>
      <c r="F1132" t="str">
        <f>""</f>
        <v/>
      </c>
      <c r="H1132" t="str">
        <f>"maintenance"</f>
        <v>maintenance</v>
      </c>
    </row>
    <row r="1133" spans="5:8" x14ac:dyDescent="0.25">
      <c r="E1133" t="str">
        <f>""</f>
        <v/>
      </c>
      <c r="F1133" t="str">
        <f>""</f>
        <v/>
      </c>
      <c r="H1133" t="str">
        <f>"fuel"</f>
        <v>fuel</v>
      </c>
    </row>
    <row r="1134" spans="5:8" x14ac:dyDescent="0.25">
      <c r="E1134" t="str">
        <f>""</f>
        <v/>
      </c>
      <c r="F1134" t="str">
        <f>""</f>
        <v/>
      </c>
      <c r="H1134" t="str">
        <f>"tax"</f>
        <v>tax</v>
      </c>
    </row>
    <row r="1135" spans="5:8" x14ac:dyDescent="0.25">
      <c r="E1135" t="str">
        <f>""</f>
        <v/>
      </c>
      <c r="F1135" t="str">
        <f>""</f>
        <v/>
      </c>
      <c r="H1135" t="str">
        <f>"maintenance"</f>
        <v>maintenance</v>
      </c>
    </row>
    <row r="1136" spans="5:8" x14ac:dyDescent="0.25">
      <c r="E1136" t="str">
        <f>""</f>
        <v/>
      </c>
      <c r="F1136" t="str">
        <f>""</f>
        <v/>
      </c>
      <c r="H1136" t="str">
        <f>"fuel"</f>
        <v>fuel</v>
      </c>
    </row>
    <row r="1137" spans="1:8" x14ac:dyDescent="0.25">
      <c r="E1137" t="str">
        <f>""</f>
        <v/>
      </c>
      <c r="F1137" t="str">
        <f>""</f>
        <v/>
      </c>
      <c r="H1137" t="str">
        <f>"tax"</f>
        <v>tax</v>
      </c>
    </row>
    <row r="1138" spans="1:8" x14ac:dyDescent="0.25">
      <c r="E1138" t="str">
        <f>""</f>
        <v/>
      </c>
      <c r="F1138" t="str">
        <f>""</f>
        <v/>
      </c>
      <c r="H1138" t="str">
        <f>"fuel"</f>
        <v>fuel</v>
      </c>
    </row>
    <row r="1139" spans="1:8" x14ac:dyDescent="0.25">
      <c r="E1139" t="str">
        <f>""</f>
        <v/>
      </c>
      <c r="F1139" t="str">
        <f>""</f>
        <v/>
      </c>
      <c r="H1139" t="str">
        <f>"tax"</f>
        <v>tax</v>
      </c>
    </row>
    <row r="1140" spans="1:8" x14ac:dyDescent="0.25">
      <c r="E1140" t="str">
        <f>""</f>
        <v/>
      </c>
      <c r="F1140" t="str">
        <f>""</f>
        <v/>
      </c>
      <c r="H1140" t="str">
        <f>"maintenance"</f>
        <v>maintenance</v>
      </c>
    </row>
    <row r="1141" spans="1:8" x14ac:dyDescent="0.25">
      <c r="E1141" t="str">
        <f>""</f>
        <v/>
      </c>
      <c r="F1141" t="str">
        <f>""</f>
        <v/>
      </c>
      <c r="H1141" t="str">
        <f>"maintenance"</f>
        <v>maintenance</v>
      </c>
    </row>
    <row r="1142" spans="1:8" x14ac:dyDescent="0.25">
      <c r="A1142" t="s">
        <v>333</v>
      </c>
      <c r="B1142">
        <v>134376</v>
      </c>
      <c r="C1142" s="4">
        <v>90</v>
      </c>
      <c r="D1142" s="1">
        <v>44207</v>
      </c>
      <c r="E1142" t="str">
        <f>"10379939"</f>
        <v>10379939</v>
      </c>
      <c r="F1142" t="str">
        <f>"ACCT#00010699-4/PCT#3"</f>
        <v>ACCT#00010699-4/PCT#3</v>
      </c>
      <c r="G1142" s="4">
        <v>90</v>
      </c>
      <c r="H1142" t="str">
        <f>"ACCT#00010699-4/PCT#3"</f>
        <v>ACCT#00010699-4/PCT#3</v>
      </c>
    </row>
    <row r="1143" spans="1:8" x14ac:dyDescent="0.25">
      <c r="A1143" t="s">
        <v>334</v>
      </c>
      <c r="B1143">
        <v>3888</v>
      </c>
      <c r="C1143" s="4">
        <v>1226.5</v>
      </c>
      <c r="D1143" s="1">
        <v>44222</v>
      </c>
      <c r="E1143" t="str">
        <f>"363049"</f>
        <v>363049</v>
      </c>
      <c r="F1143" t="str">
        <f>"Sign Shop Material"</f>
        <v>Sign Shop Material</v>
      </c>
      <c r="G1143" s="4">
        <v>1226.5</v>
      </c>
      <c r="H1143" t="str">
        <f>"6 x1.12# Green UCHan"</f>
        <v>6 x1.12# Green UCHan</v>
      </c>
    </row>
    <row r="1144" spans="1:8" x14ac:dyDescent="0.25">
      <c r="E1144" t="str">
        <f>""</f>
        <v/>
      </c>
      <c r="F1144" t="str">
        <f>""</f>
        <v/>
      </c>
      <c r="H1144" t="str">
        <f>"5 1/4 Blade Holder"</f>
        <v>5 1/4 Blade Holder</v>
      </c>
    </row>
    <row r="1145" spans="1:8" x14ac:dyDescent="0.25">
      <c r="E1145" t="str">
        <f>""</f>
        <v/>
      </c>
      <c r="F1145" t="str">
        <f>""</f>
        <v/>
      </c>
      <c r="H1145" t="str">
        <f>"5 1/4 Blade Holder"</f>
        <v>5 1/4 Blade Holder</v>
      </c>
    </row>
    <row r="1146" spans="1:8" x14ac:dyDescent="0.25">
      <c r="E1146" t="str">
        <f>""</f>
        <v/>
      </c>
      <c r="F1146" t="str">
        <f>""</f>
        <v/>
      </c>
      <c r="H1146" t="str">
        <f>"5 1/4 Blade Holder"</f>
        <v>5 1/4 Blade Holder</v>
      </c>
    </row>
    <row r="1147" spans="1:8" x14ac:dyDescent="0.25">
      <c r="A1147" t="s">
        <v>335</v>
      </c>
      <c r="B1147">
        <v>134512</v>
      </c>
      <c r="C1147" s="4">
        <v>86.7</v>
      </c>
      <c r="D1147" s="1">
        <v>44221</v>
      </c>
      <c r="E1147" t="str">
        <f>"1220-DR14926"</f>
        <v>1220-DR14926</v>
      </c>
      <c r="F1147" t="str">
        <f>"CLIENT ID:CXD 14926"</f>
        <v>CLIENT ID:CXD 14926</v>
      </c>
      <c r="G1147" s="4">
        <v>86.7</v>
      </c>
      <c r="H1147" t="str">
        <f>"CLIENT ID:CXD 14926"</f>
        <v>CLIENT ID:CXD 14926</v>
      </c>
    </row>
    <row r="1148" spans="1:8" x14ac:dyDescent="0.25">
      <c r="A1148" t="s">
        <v>336</v>
      </c>
      <c r="B1148">
        <v>3835</v>
      </c>
      <c r="C1148" s="4">
        <v>4458.41</v>
      </c>
      <c r="D1148" s="1">
        <v>44222</v>
      </c>
      <c r="E1148" t="str">
        <f>"20005"</f>
        <v>20005</v>
      </c>
      <c r="F1148" t="str">
        <f>"COLD MIX/FRIGHT PCT#4"</f>
        <v>COLD MIX/FRIGHT PCT#4</v>
      </c>
      <c r="G1148" s="4">
        <v>2374.79</v>
      </c>
      <c r="H1148" t="str">
        <f>"COLD MIX/FRIGHT PCT#4"</f>
        <v>COLD MIX/FRIGHT PCT#4</v>
      </c>
    </row>
    <row r="1149" spans="1:8" x14ac:dyDescent="0.25">
      <c r="E1149" t="str">
        <f>"20038"</f>
        <v>20038</v>
      </c>
      <c r="F1149" t="str">
        <f>"COLD MIX/PCT#1"</f>
        <v>COLD MIX/PCT#1</v>
      </c>
      <c r="G1149" s="4">
        <v>2083.62</v>
      </c>
      <c r="H1149" t="str">
        <f>"COLD MIX/PCT#1"</f>
        <v>COLD MIX/PCT#1</v>
      </c>
    </row>
    <row r="1150" spans="1:8" x14ac:dyDescent="0.25">
      <c r="A1150" t="s">
        <v>337</v>
      </c>
      <c r="B1150">
        <v>134244</v>
      </c>
      <c r="C1150" s="4">
        <v>8085.85</v>
      </c>
      <c r="D1150" s="1">
        <v>44203</v>
      </c>
      <c r="E1150" t="str">
        <f>"10918647"</f>
        <v>10918647</v>
      </c>
      <c r="F1150" t="str">
        <f>"ACCT#5150-005117630/01012021"</f>
        <v>ACCT#5150-005117630/01012021</v>
      </c>
      <c r="G1150" s="4">
        <v>262.81</v>
      </c>
      <c r="H1150" t="str">
        <f>"WASTE CONNECTIONS LONE STAR. I"</f>
        <v>WASTE CONNECTIONS LONE STAR. I</v>
      </c>
    </row>
    <row r="1151" spans="1:8" x14ac:dyDescent="0.25">
      <c r="E1151" t="str">
        <f>"10918654"</f>
        <v>10918654</v>
      </c>
      <c r="F1151" t="str">
        <f>"ACCT#5150-005117766/01012021"</f>
        <v>ACCT#5150-005117766/01012021</v>
      </c>
      <c r="G1151" s="4">
        <v>115.36</v>
      </c>
      <c r="H1151" t="str">
        <f>"ACCT#5150-005117766/01012021"</f>
        <v>ACCT#5150-005117766/01012021</v>
      </c>
    </row>
    <row r="1152" spans="1:8" x14ac:dyDescent="0.25">
      <c r="E1152" t="str">
        <f>"10918658"</f>
        <v>10918658</v>
      </c>
      <c r="F1152" t="str">
        <f>"ACCT#5150-005117838/01012021"</f>
        <v>ACCT#5150-005117838/01012021</v>
      </c>
      <c r="G1152" s="4">
        <v>106.76</v>
      </c>
      <c r="H1152" t="str">
        <f>"ACCT#5150-005117838/01012021"</f>
        <v>ACCT#5150-005117838/01012021</v>
      </c>
    </row>
    <row r="1153" spans="1:8" x14ac:dyDescent="0.25">
      <c r="E1153" t="str">
        <f>"10918660"</f>
        <v>10918660</v>
      </c>
      <c r="F1153" t="str">
        <f>"ACCT#5150-005117882/01012021"</f>
        <v>ACCT#5150-005117882/01012021</v>
      </c>
      <c r="G1153" s="4">
        <v>144.19</v>
      </c>
      <c r="H1153" t="str">
        <f>"ACCT#5150-005117882/01012021"</f>
        <v>ACCT#5150-005117882/01012021</v>
      </c>
    </row>
    <row r="1154" spans="1:8" x14ac:dyDescent="0.25">
      <c r="E1154" t="str">
        <f>"10918668"</f>
        <v>10918668</v>
      </c>
      <c r="F1154" t="str">
        <f>"ACCT#5150-005118183/01012021"</f>
        <v>ACCT#5150-005118183/01012021</v>
      </c>
      <c r="G1154" s="4">
        <v>618.96</v>
      </c>
      <c r="H1154" t="str">
        <f>"WASTE CONNECTIONS LONE STAR. I"</f>
        <v>WASTE CONNECTIONS LONE STAR. I</v>
      </c>
    </row>
    <row r="1155" spans="1:8" x14ac:dyDescent="0.25">
      <c r="E1155" t="str">
        <f>"10918699"</f>
        <v>10918699</v>
      </c>
      <c r="F1155" t="str">
        <f>"ACCT#5150-005129483/01012021"</f>
        <v>ACCT#5150-005129483/01012021</v>
      </c>
      <c r="G1155" s="4">
        <v>6725.4</v>
      </c>
      <c r="H1155" t="str">
        <f>"WASTE CONNECTIONS LONE STAR. I"</f>
        <v>WASTE CONNECTIONS LONE STAR. I</v>
      </c>
    </row>
    <row r="1156" spans="1:8" x14ac:dyDescent="0.25">
      <c r="E1156" t="str">
        <f>"10922753"</f>
        <v>10922753</v>
      </c>
      <c r="F1156" t="str">
        <f>"ACCT#5150-16203415/01012021"</f>
        <v>ACCT#5150-16203415/01012021</v>
      </c>
      <c r="G1156" s="4">
        <v>83.48</v>
      </c>
      <c r="H1156" t="str">
        <f>"ACCT#5150-16203415/01012021"</f>
        <v>ACCT#5150-16203415/01012021</v>
      </c>
    </row>
    <row r="1157" spans="1:8" x14ac:dyDescent="0.25">
      <c r="E1157" t="str">
        <f>"10922754"</f>
        <v>10922754</v>
      </c>
      <c r="F1157" t="str">
        <f>"ACCT#5150-16203417/01012021"</f>
        <v>ACCT#5150-16203417/01012021</v>
      </c>
      <c r="G1157" s="4">
        <v>28.89</v>
      </c>
      <c r="H1157" t="str">
        <f>"ACCT#5150-16203417/01012021"</f>
        <v>ACCT#5150-16203417/01012021</v>
      </c>
    </row>
    <row r="1158" spans="1:8" x14ac:dyDescent="0.25">
      <c r="A1158" t="s">
        <v>338</v>
      </c>
      <c r="B1158">
        <v>134377</v>
      </c>
      <c r="C1158" s="4">
        <v>440.28</v>
      </c>
      <c r="D1158" s="1">
        <v>44207</v>
      </c>
      <c r="E1158" t="str">
        <f>"0105047-2161-3"</f>
        <v>0105047-2161-3</v>
      </c>
      <c r="F1158" t="str">
        <f>"CUST ID:2-56581-95066/ANIMAL C"</f>
        <v>CUST ID:2-56581-95066/ANIMAL C</v>
      </c>
      <c r="G1158" s="4">
        <v>440.28</v>
      </c>
      <c r="H1158" t="str">
        <f>"CUST ID:2-56581-95066/ANIMAL C"</f>
        <v>CUST ID:2-56581-95066/ANIMAL C</v>
      </c>
    </row>
    <row r="1159" spans="1:8" x14ac:dyDescent="0.25">
      <c r="A1159" t="s">
        <v>338</v>
      </c>
      <c r="B1159">
        <v>134513</v>
      </c>
      <c r="C1159" s="4">
        <v>6496.08</v>
      </c>
      <c r="D1159" s="1">
        <v>44221</v>
      </c>
      <c r="E1159" t="str">
        <f>"0030239-2161-6"</f>
        <v>0030239-2161-6</v>
      </c>
      <c r="F1159" t="str">
        <f>"CUST ID:2-57060-55062 PCT#4"</f>
        <v>CUST ID:2-57060-55062 PCT#4</v>
      </c>
      <c r="G1159" s="4">
        <v>5473.52</v>
      </c>
      <c r="H1159" t="str">
        <f>"CUST ID:2-57060-55062 PCT#4"</f>
        <v>CUST ID:2-57060-55062 PCT#4</v>
      </c>
    </row>
    <row r="1160" spans="1:8" x14ac:dyDescent="0.25">
      <c r="E1160" t="str">
        <f>"6708638-2161-7"</f>
        <v>6708638-2161-7</v>
      </c>
      <c r="F1160" t="str">
        <f>"CUST IS:23-90244-23005 PCT#4"</f>
        <v>CUST IS:23-90244-23005 PCT#4</v>
      </c>
      <c r="G1160" s="4">
        <v>1022.56</v>
      </c>
      <c r="H1160" t="str">
        <f>"CUST IS:23-90244-23005 PCT#4"</f>
        <v>CUST IS:23-90244-23005 PCT#4</v>
      </c>
    </row>
    <row r="1161" spans="1:8" x14ac:dyDescent="0.25">
      <c r="A1161" t="s">
        <v>339</v>
      </c>
      <c r="B1161">
        <v>3784</v>
      </c>
      <c r="C1161" s="4">
        <v>505</v>
      </c>
      <c r="D1161" s="1">
        <v>44208</v>
      </c>
      <c r="E1161" t="str">
        <f>"5990"</f>
        <v>5990</v>
      </c>
      <c r="F1161" t="str">
        <f>"INV 5990"</f>
        <v>INV 5990</v>
      </c>
      <c r="G1161" s="4">
        <v>50</v>
      </c>
      <c r="H1161" t="str">
        <f>"INV 5990"</f>
        <v>INV 5990</v>
      </c>
    </row>
    <row r="1162" spans="1:8" x14ac:dyDescent="0.25">
      <c r="E1162" t="str">
        <f>"6008"</f>
        <v>6008</v>
      </c>
      <c r="F1162" t="str">
        <f>"EMBROIDERY/ELECTIONS"</f>
        <v>EMBROIDERY/ELECTIONS</v>
      </c>
      <c r="G1162" s="4">
        <v>455</v>
      </c>
      <c r="H1162" t="str">
        <f>"EMBROIDERY/ELECTIONS"</f>
        <v>EMBROIDERY/ELECTIONS</v>
      </c>
    </row>
    <row r="1163" spans="1:8" x14ac:dyDescent="0.25">
      <c r="A1163" t="s">
        <v>339</v>
      </c>
      <c r="B1163">
        <v>3843</v>
      </c>
      <c r="C1163" s="4">
        <v>397</v>
      </c>
      <c r="D1163" s="1">
        <v>44222</v>
      </c>
      <c r="E1163" t="str">
        <f>"5998"</f>
        <v>5998</v>
      </c>
      <c r="F1163" t="str">
        <f>"SHIRTS PCT #1"</f>
        <v>SHIRTS PCT #1</v>
      </c>
      <c r="G1163" s="4">
        <v>147</v>
      </c>
      <c r="H1163" t="str">
        <f>"SHIRTS PCT #1"</f>
        <v>SHIRTS PCT #1</v>
      </c>
    </row>
    <row r="1164" spans="1:8" x14ac:dyDescent="0.25">
      <c r="E1164" t="str">
        <f>"6049"</f>
        <v>6049</v>
      </c>
      <c r="F1164" t="str">
        <f>"HATS/PCT#3"</f>
        <v>HATS/PCT#3</v>
      </c>
      <c r="G1164" s="4">
        <v>250</v>
      </c>
      <c r="H1164" t="str">
        <f>"HATS/PCT#3"</f>
        <v>HATS/PCT#3</v>
      </c>
    </row>
    <row r="1165" spans="1:8" x14ac:dyDescent="0.25">
      <c r="A1165" t="s">
        <v>340</v>
      </c>
      <c r="B1165">
        <v>134514</v>
      </c>
      <c r="C1165" s="4">
        <v>200</v>
      </c>
      <c r="D1165" s="1">
        <v>44221</v>
      </c>
      <c r="E1165" t="str">
        <f>"202101201324"</f>
        <v>202101201324</v>
      </c>
      <c r="F1165" t="str">
        <f>"17-18556"</f>
        <v>17-18556</v>
      </c>
      <c r="G1165" s="4">
        <v>200</v>
      </c>
      <c r="H1165" t="str">
        <f>"17-18556"</f>
        <v>17-18556</v>
      </c>
    </row>
    <row r="1166" spans="1:8" x14ac:dyDescent="0.25">
      <c r="A1166" t="s">
        <v>341</v>
      </c>
      <c r="B1166">
        <v>3838</v>
      </c>
      <c r="C1166" s="4">
        <v>11460.31</v>
      </c>
      <c r="D1166" s="1">
        <v>44222</v>
      </c>
      <c r="E1166" t="str">
        <f>"26639"</f>
        <v>26639</v>
      </c>
      <c r="F1166" t="str">
        <f>"INV 26639"</f>
        <v>INV 26639</v>
      </c>
      <c r="G1166" s="4">
        <v>11460.31</v>
      </c>
      <c r="H1166" t="str">
        <f>"INV 26639"</f>
        <v>INV 26639</v>
      </c>
    </row>
    <row r="1167" spans="1:8" x14ac:dyDescent="0.25">
      <c r="A1167" t="s">
        <v>342</v>
      </c>
      <c r="B1167">
        <v>134515</v>
      </c>
      <c r="C1167" s="4">
        <v>70</v>
      </c>
      <c r="D1167" s="1">
        <v>44221</v>
      </c>
      <c r="E1167" t="str">
        <f>"13377"</f>
        <v>13377</v>
      </c>
      <c r="F1167" t="str">
        <f>"SERVICE"</f>
        <v>SERVICE</v>
      </c>
      <c r="G1167" s="4">
        <v>70</v>
      </c>
      <c r="H1167" t="str">
        <f>"SERVICE"</f>
        <v>SERVICE</v>
      </c>
    </row>
    <row r="1168" spans="1:8" x14ac:dyDescent="0.25">
      <c r="A1168" t="s">
        <v>343</v>
      </c>
      <c r="B1168">
        <v>134516</v>
      </c>
      <c r="C1168" s="4">
        <v>367.28</v>
      </c>
      <c r="D1168" s="1">
        <v>44221</v>
      </c>
      <c r="E1168" t="str">
        <f>"202101121178"</f>
        <v>202101121178</v>
      </c>
      <c r="F1168" t="str">
        <f>"423-5844"</f>
        <v>423-5844</v>
      </c>
      <c r="G1168" s="4">
        <v>367.28</v>
      </c>
      <c r="H1168" t="str">
        <f>"423-5844"</f>
        <v>423-5844</v>
      </c>
    </row>
    <row r="1169" spans="1:8" x14ac:dyDescent="0.25">
      <c r="A1169" t="s">
        <v>344</v>
      </c>
      <c r="B1169">
        <v>134378</v>
      </c>
      <c r="C1169" s="4">
        <v>25</v>
      </c>
      <c r="D1169" s="1">
        <v>44207</v>
      </c>
      <c r="E1169" t="s">
        <v>97</v>
      </c>
      <c r="F1169" s="4" t="str">
        <f>"RESTITUTION - M. MANZANARES"</f>
        <v>RESTITUTION - M. MANZANARES</v>
      </c>
      <c r="G1169">
        <v>25</v>
      </c>
      <c r="H1169" s="4" t="str">
        <f>"RESTITUTION - M. MANZANARES"</f>
        <v>RESTITUTION - M. MANZANARES</v>
      </c>
    </row>
    <row r="1170" spans="1:8" x14ac:dyDescent="0.25">
      <c r="A1170" t="s">
        <v>345</v>
      </c>
      <c r="B1170">
        <v>134517</v>
      </c>
      <c r="C1170" s="4">
        <v>4682.6000000000004</v>
      </c>
      <c r="D1170" s="1">
        <v>44221</v>
      </c>
      <c r="E1170" t="str">
        <f>"9012159915"</f>
        <v>9012159915</v>
      </c>
      <c r="F1170" t="str">
        <f>"CUST#1000113183/ANIMAL SVCS"</f>
        <v>CUST#1000113183/ANIMAL SVCS</v>
      </c>
      <c r="G1170" s="4">
        <v>982</v>
      </c>
      <c r="H1170" t="str">
        <f t="shared" ref="H1170:H1175" si="14">"CUST#1000113183/ANIMAL SVCS"</f>
        <v>CUST#1000113183/ANIMAL SVCS</v>
      </c>
    </row>
    <row r="1171" spans="1:8" x14ac:dyDescent="0.25">
      <c r="E1171" t="str">
        <f>"9012182792"</f>
        <v>9012182792</v>
      </c>
      <c r="F1171" t="str">
        <f>"CUST#1000113183/ANIMAL SVCS"</f>
        <v>CUST#1000113183/ANIMAL SVCS</v>
      </c>
      <c r="G1171" s="4">
        <v>327.10000000000002</v>
      </c>
      <c r="H1171" t="str">
        <f t="shared" si="14"/>
        <v>CUST#1000113183/ANIMAL SVCS</v>
      </c>
    </row>
    <row r="1172" spans="1:8" x14ac:dyDescent="0.25">
      <c r="E1172" t="str">
        <f>"9012222607"</f>
        <v>9012222607</v>
      </c>
      <c r="F1172" t="str">
        <f>"CUST#1000113183/ANIMAL SVCS"</f>
        <v>CUST#1000113183/ANIMAL SVCS</v>
      </c>
      <c r="G1172" s="4">
        <v>752</v>
      </c>
      <c r="H1172" t="str">
        <f t="shared" si="14"/>
        <v>CUST#1000113183/ANIMAL SVCS</v>
      </c>
    </row>
    <row r="1173" spans="1:8" x14ac:dyDescent="0.25">
      <c r="E1173" t="str">
        <f>"9012247078"</f>
        <v>9012247078</v>
      </c>
      <c r="F1173" t="str">
        <f>"CUST#1000113183/ANIMAL SVCS"</f>
        <v>CUST#1000113183/ANIMAL SVCS</v>
      </c>
      <c r="G1173" s="4">
        <v>1350.8</v>
      </c>
      <c r="H1173" t="str">
        <f t="shared" si="14"/>
        <v>CUST#1000113183/ANIMAL SVCS</v>
      </c>
    </row>
    <row r="1174" spans="1:8" x14ac:dyDescent="0.25">
      <c r="E1174" t="str">
        <f>"9012266308"</f>
        <v>9012266308</v>
      </c>
      <c r="F1174" t="str">
        <f>"CUST#1000113183/ANIMAL SVCS"</f>
        <v>CUST#1000113183/ANIMAL SVCS</v>
      </c>
      <c r="G1174" s="4">
        <v>1270.7</v>
      </c>
      <c r="H1174" t="str">
        <f t="shared" si="14"/>
        <v>CUST#1000113183/ANIMAL SVCS</v>
      </c>
    </row>
    <row r="1175" spans="1:8" x14ac:dyDescent="0.25">
      <c r="E1175" t="str">
        <f>""</f>
        <v/>
      </c>
      <c r="F1175" t="str">
        <f>""</f>
        <v/>
      </c>
      <c r="H1175" t="str">
        <f t="shared" si="14"/>
        <v>CUST#1000113183/ANIMAL SVCS</v>
      </c>
    </row>
    <row r="1176" spans="1:8" x14ac:dyDescent="0.25">
      <c r="A1176" t="s">
        <v>27</v>
      </c>
      <c r="B1176">
        <v>134379</v>
      </c>
      <c r="C1176" s="4">
        <v>29.49</v>
      </c>
      <c r="D1176" s="1">
        <v>44207</v>
      </c>
      <c r="E1176" t="str">
        <f>"202101061024"</f>
        <v>202101061024</v>
      </c>
      <c r="F1176" t="str">
        <f>"ACCT#015397/JUVENILE BOOT CAMP"</f>
        <v>ACCT#015397/JUVENILE BOOT CAMP</v>
      </c>
      <c r="G1176" s="4">
        <v>29.49</v>
      </c>
      <c r="H1176" t="str">
        <f>"ACCT#015397/JUVENILE BOOT CAMP"</f>
        <v>ACCT#015397/JUVENILE BOOT CAMP</v>
      </c>
    </row>
    <row r="1177" spans="1:8" x14ac:dyDescent="0.25">
      <c r="A1177" t="s">
        <v>31</v>
      </c>
      <c r="B1177">
        <v>134380</v>
      </c>
      <c r="C1177" s="4">
        <v>753.98</v>
      </c>
      <c r="D1177" s="1">
        <v>44207</v>
      </c>
      <c r="E1177" t="str">
        <f>"287290524359X1227"</f>
        <v>287290524359X1227</v>
      </c>
      <c r="F1177" t="str">
        <f>"ACCT#287290524359/FAN#5814353B"</f>
        <v>ACCT#287290524359/FAN#5814353B</v>
      </c>
      <c r="G1177" s="4">
        <v>753.98</v>
      </c>
      <c r="H1177" t="str">
        <f>"ACCT#287290524359/FAN#5814353B"</f>
        <v>ACCT#287290524359/FAN#5814353B</v>
      </c>
    </row>
    <row r="1178" spans="1:8" x14ac:dyDescent="0.25">
      <c r="A1178" t="s">
        <v>55</v>
      </c>
      <c r="B1178">
        <v>134385</v>
      </c>
      <c r="C1178" s="4">
        <v>320.3</v>
      </c>
      <c r="D1178" s="1">
        <v>44217</v>
      </c>
      <c r="E1178" t="str">
        <f>"202101211362"</f>
        <v>202101211362</v>
      </c>
      <c r="F1178" t="str">
        <f>"ACCT#5000057374 / 01042021"</f>
        <v>ACCT#5000057374 / 01042021</v>
      </c>
      <c r="G1178" s="4">
        <v>320.3</v>
      </c>
      <c r="H1178" t="str">
        <f>"ACCT#5000057374 / 01042021"</f>
        <v>ACCT#5000057374 / 01042021</v>
      </c>
    </row>
    <row r="1179" spans="1:8" x14ac:dyDescent="0.25">
      <c r="A1179" t="s">
        <v>62</v>
      </c>
      <c r="B1179">
        <v>855</v>
      </c>
      <c r="C1179" s="4">
        <v>624.98</v>
      </c>
      <c r="D1179" s="1">
        <v>44207</v>
      </c>
      <c r="E1179" t="str">
        <f>"202101061050"</f>
        <v>202101061050</v>
      </c>
      <c r="F1179" t="str">
        <f>"Statement"</f>
        <v>Statement</v>
      </c>
      <c r="G1179" s="4">
        <v>624.98</v>
      </c>
      <c r="H1179" t="str">
        <f>"best buy"</f>
        <v>best buy</v>
      </c>
    </row>
    <row r="1180" spans="1:8" x14ac:dyDescent="0.25">
      <c r="A1180" t="s">
        <v>346</v>
      </c>
      <c r="B1180">
        <v>3816</v>
      </c>
      <c r="C1180" s="4">
        <v>5000</v>
      </c>
      <c r="D1180" s="1">
        <v>44209</v>
      </c>
      <c r="E1180" t="str">
        <f>"202101121162"</f>
        <v>202101121162</v>
      </c>
      <c r="F1180" t="str">
        <f>"DAVID CONTI"</f>
        <v>DAVID CONTI</v>
      </c>
      <c r="G1180" s="4">
        <v>5000</v>
      </c>
      <c r="H1180" t="str">
        <f>"Boot Camp Office"</f>
        <v>Boot Camp Office</v>
      </c>
    </row>
    <row r="1181" spans="1:8" x14ac:dyDescent="0.25">
      <c r="A1181" t="s">
        <v>347</v>
      </c>
      <c r="B1181">
        <v>856</v>
      </c>
      <c r="C1181" s="4">
        <v>41150</v>
      </c>
      <c r="D1181" s="1">
        <v>44207</v>
      </c>
      <c r="E1181" t="str">
        <f>"202101040990"</f>
        <v>202101040990</v>
      </c>
      <c r="F1181" t="str">
        <f>"DEBT SERVICE PMT - SERIES 2015"</f>
        <v>DEBT SERVICE PMT - SERIES 2015</v>
      </c>
      <c r="G1181" s="4">
        <v>41150</v>
      </c>
      <c r="H1181" t="str">
        <f>"DEBT SERVICE PMT - SERIES 2015"</f>
        <v>DEBT SERVICE PMT - SERIES 2015</v>
      </c>
    </row>
    <row r="1182" spans="1:8" x14ac:dyDescent="0.25">
      <c r="A1182" t="s">
        <v>347</v>
      </c>
      <c r="B1182">
        <v>863</v>
      </c>
      <c r="C1182" s="4">
        <v>432822.46</v>
      </c>
      <c r="D1182" s="1">
        <v>44221</v>
      </c>
      <c r="E1182" t="str">
        <f>"1697728"</f>
        <v>1697728</v>
      </c>
      <c r="F1182" t="str">
        <f>"DEBT SERVICE PMT - SERIES 2017"</f>
        <v>DEBT SERVICE PMT - SERIES 2017</v>
      </c>
      <c r="G1182" s="4">
        <v>127275</v>
      </c>
      <c r="H1182" t="str">
        <f>"DEBT SERVICE PMT - SERIES 2017"</f>
        <v>DEBT SERVICE PMT - SERIES 2017</v>
      </c>
    </row>
    <row r="1183" spans="1:8" x14ac:dyDescent="0.25">
      <c r="E1183" t="str">
        <f>"1697731"</f>
        <v>1697731</v>
      </c>
      <c r="F1183" t="str">
        <f>"DEBT SERVICE PMT -SERIES 2018"</f>
        <v>DEBT SERVICE PMT -SERIES 2018</v>
      </c>
      <c r="G1183" s="4">
        <v>166843.76</v>
      </c>
      <c r="H1183" t="str">
        <f>"DEBT SERVICE PMT -SERIES 2018"</f>
        <v>DEBT SERVICE PMT -SERIES 2018</v>
      </c>
    </row>
    <row r="1184" spans="1:8" x14ac:dyDescent="0.25">
      <c r="E1184" t="str">
        <f>"1697732"</f>
        <v>1697732</v>
      </c>
      <c r="F1184" t="str">
        <f>"DEBT SERVICE PMT - SERIES 2014"</f>
        <v>DEBT SERVICE PMT - SERIES 2014</v>
      </c>
      <c r="G1184" s="4">
        <v>131318.75</v>
      </c>
      <c r="H1184" t="str">
        <f>"DEBT SERVICE PMT - SERIES 2014"</f>
        <v>DEBT SERVICE PMT - SERIES 2014</v>
      </c>
    </row>
    <row r="1185" spans="1:8" x14ac:dyDescent="0.25">
      <c r="E1185" t="str">
        <f>"202101131208"</f>
        <v>202101131208</v>
      </c>
      <c r="F1185" t="str">
        <f>"DEBT SERVICE PMT - SERIES 2020"</f>
        <v>DEBT SERVICE PMT - SERIES 2020</v>
      </c>
      <c r="G1185" s="4">
        <v>7384.95</v>
      </c>
      <c r="H1185" t="str">
        <f>"DEBT SERVICE PMT - SERIES 2020"</f>
        <v>DEBT SERVICE PMT - SERIES 2020</v>
      </c>
    </row>
    <row r="1186" spans="1:8" x14ac:dyDescent="0.25">
      <c r="A1186" t="s">
        <v>348</v>
      </c>
      <c r="B1186">
        <v>3812</v>
      </c>
      <c r="C1186" s="4">
        <v>32821.82</v>
      </c>
      <c r="D1186" s="1">
        <v>44208</v>
      </c>
      <c r="E1186" t="str">
        <f>"4787"</f>
        <v>4787</v>
      </c>
      <c r="F1186" t="str">
        <f>"RFB 19BCP11A"</f>
        <v>RFB 19BCP11A</v>
      </c>
      <c r="G1186" s="4">
        <v>32821.82</v>
      </c>
      <c r="H1186" t="str">
        <f>"Tower &amp; Ice Bridge"</f>
        <v>Tower &amp; Ice Bridge</v>
      </c>
    </row>
    <row r="1187" spans="1:8" x14ac:dyDescent="0.25">
      <c r="E1187" t="str">
        <f>""</f>
        <v/>
      </c>
      <c r="F1187" t="str">
        <f>""</f>
        <v/>
      </c>
      <c r="H1187" t="str">
        <f>"Ice Bridge Kit"</f>
        <v>Ice Bridge Kit</v>
      </c>
    </row>
    <row r="1188" spans="1:8" x14ac:dyDescent="0.25">
      <c r="E1188" t="str">
        <f>""</f>
        <v/>
      </c>
      <c r="F1188" t="str">
        <f>""</f>
        <v/>
      </c>
      <c r="H1188" t="str">
        <f>"Shipping"</f>
        <v>Shipping</v>
      </c>
    </row>
    <row r="1189" spans="1:8" x14ac:dyDescent="0.25">
      <c r="A1189" t="s">
        <v>349</v>
      </c>
      <c r="B1189">
        <v>3813</v>
      </c>
      <c r="C1189" s="4">
        <v>36271.01</v>
      </c>
      <c r="D1189" s="1">
        <v>44208</v>
      </c>
      <c r="E1189" t="str">
        <f>"4152"</f>
        <v>4152</v>
      </c>
      <c r="F1189" t="str">
        <f>"GLO ADMIN &amp; PROJ/BUYOUT CONTRA"</f>
        <v>GLO ADMIN &amp; PROJ/BUYOUT CONTRA</v>
      </c>
      <c r="G1189" s="4">
        <v>36271.01</v>
      </c>
      <c r="H1189" t="str">
        <f>"GLO ADMIN &amp; PROJ/BUYOUT CONTRA"</f>
        <v>GLO ADMIN &amp; PROJ/BUYOUT CONTRA</v>
      </c>
    </row>
    <row r="1190" spans="1:8" x14ac:dyDescent="0.25">
      <c r="A1190" t="s">
        <v>350</v>
      </c>
      <c r="B1190">
        <v>134518</v>
      </c>
      <c r="C1190" s="4">
        <v>27845</v>
      </c>
      <c r="D1190" s="1">
        <v>44221</v>
      </c>
      <c r="E1190" t="str">
        <f>"1220077"</f>
        <v>1220077</v>
      </c>
      <c r="F1190" t="str">
        <f>"PROJECT#008027"</f>
        <v>PROJECT#008027</v>
      </c>
      <c r="G1190" s="4">
        <v>27845</v>
      </c>
      <c r="H1190" t="str">
        <f>"PROJECT#008027"</f>
        <v>PROJECT#008027</v>
      </c>
    </row>
    <row r="1191" spans="1:8" x14ac:dyDescent="0.25">
      <c r="A1191" t="s">
        <v>351</v>
      </c>
      <c r="B1191">
        <v>134521</v>
      </c>
      <c r="C1191" s="4">
        <v>4676.33</v>
      </c>
      <c r="D1191" s="1">
        <v>44222</v>
      </c>
      <c r="E1191" t="str">
        <f>"202101261363"</f>
        <v>202101261363</v>
      </c>
      <c r="F1191" t="str">
        <f>"CARES NON-PROFIT GRANT REISSUE"</f>
        <v>CARES NON-PROFIT GRANT REISSUE</v>
      </c>
      <c r="G1191" s="4">
        <v>4676.33</v>
      </c>
      <c r="H1191" t="str">
        <f>"CARES NON-PROFIT GRANT REISSUE"</f>
        <v>CARES NON-PROFIT GRANT REISSUE</v>
      </c>
    </row>
    <row r="1192" spans="1:8" x14ac:dyDescent="0.25">
      <c r="A1192" t="s">
        <v>288</v>
      </c>
      <c r="B1192">
        <v>134519</v>
      </c>
      <c r="C1192" s="4">
        <v>1428.2</v>
      </c>
      <c r="D1192" s="1">
        <v>44221</v>
      </c>
      <c r="E1192" t="str">
        <f>"3464517003"</f>
        <v>3464517003</v>
      </c>
      <c r="F1192" t="str">
        <f>"Statement"</f>
        <v>Statement</v>
      </c>
      <c r="G1192" s="4">
        <v>1428.2</v>
      </c>
      <c r="H1192" t="str">
        <f>"3464517003"</f>
        <v>3464517003</v>
      </c>
    </row>
    <row r="1193" spans="1:8" x14ac:dyDescent="0.25">
      <c r="A1193" t="s">
        <v>300</v>
      </c>
      <c r="B1193">
        <v>134381</v>
      </c>
      <c r="C1193" s="4">
        <v>48.3</v>
      </c>
      <c r="D1193" s="1">
        <v>44207</v>
      </c>
      <c r="E1193" t="str">
        <f>"D-2021-1-0110 APTF"</f>
        <v>D-2021-1-0110 APTF</v>
      </c>
      <c r="F1193" t="str">
        <f>"UNEMPLOYMENT QTR END 12/31/20"</f>
        <v>UNEMPLOYMENT QTR END 12/31/20</v>
      </c>
      <c r="G1193" s="4">
        <v>48.3</v>
      </c>
      <c r="H1193" t="str">
        <f>"UNEMPLOYMENT QTR END 12/31/20"</f>
        <v>UNEMPLOYMENT QTR END 12/31/20</v>
      </c>
    </row>
    <row r="1194" spans="1:8" x14ac:dyDescent="0.25">
      <c r="E1194" t="str">
        <f>""</f>
        <v/>
      </c>
      <c r="F1194" t="str">
        <f>""</f>
        <v/>
      </c>
      <c r="H1194" t="str">
        <f>"UNEMPLOYMENT QTR END 12/31/20"</f>
        <v>UNEMPLOYMENT QTR END 12/31/20</v>
      </c>
    </row>
    <row r="1195" spans="1:8" x14ac:dyDescent="0.25">
      <c r="A1195" t="s">
        <v>306</v>
      </c>
      <c r="B1195">
        <v>134520</v>
      </c>
      <c r="C1195" s="4">
        <v>48022</v>
      </c>
      <c r="D1195" s="1">
        <v>44221</v>
      </c>
      <c r="E1195" t="str">
        <f>"9-4641"</f>
        <v>9-4641</v>
      </c>
      <c r="F1195" t="str">
        <f>"Biological Monitor TO#6"</f>
        <v>Biological Monitor TO#6</v>
      </c>
      <c r="G1195" s="4">
        <v>48022</v>
      </c>
      <c r="H1195" t="str">
        <f>"TS Invoice #9-4641"</f>
        <v>TS Invoice #9-4641</v>
      </c>
    </row>
    <row r="1196" spans="1:8" x14ac:dyDescent="0.25">
      <c r="A1196" t="s">
        <v>339</v>
      </c>
      <c r="B1196">
        <v>3889</v>
      </c>
      <c r="C1196" s="4">
        <v>373</v>
      </c>
      <c r="D1196" s="1">
        <v>44222</v>
      </c>
      <c r="E1196" t="str">
        <f>"6054"</f>
        <v>6054</v>
      </c>
      <c r="F1196" t="str">
        <f>"UNIFORMS/JEVENILE BOOTCAMP"</f>
        <v>UNIFORMS/JEVENILE BOOTCAMP</v>
      </c>
      <c r="G1196" s="4">
        <v>373</v>
      </c>
      <c r="H1196" t="str">
        <f>"UNIFORMS/JEVENILE BOOTCAMP"</f>
        <v>UNIFORMS/JEVENILE BOOTCAMP</v>
      </c>
    </row>
    <row r="1197" spans="1:8" x14ac:dyDescent="0.25">
      <c r="A1197" t="s">
        <v>352</v>
      </c>
      <c r="B1197">
        <v>867</v>
      </c>
      <c r="C1197" s="4">
        <v>4608.1899999999996</v>
      </c>
      <c r="D1197" s="1">
        <v>44223</v>
      </c>
      <c r="E1197" t="str">
        <f>"202101271381"</f>
        <v>202101271381</v>
      </c>
      <c r="F1197" t="str">
        <f>"ROUNDING - JANUARY 2021"</f>
        <v>ROUNDING - JANUARY 2021</v>
      </c>
      <c r="G1197" s="4">
        <v>0.03</v>
      </c>
      <c r="H1197" t="str">
        <f>"ROUNDING - JANUARY 2021"</f>
        <v>ROUNDING - JANUARY 2021</v>
      </c>
    </row>
    <row r="1198" spans="1:8" x14ac:dyDescent="0.25">
      <c r="E1198" t="str">
        <f>"AS 202101061055"</f>
        <v>AS 202101061055</v>
      </c>
      <c r="F1198" t="str">
        <f t="shared" ref="F1198:F1211" si="15">"ALLSTATE"</f>
        <v>ALLSTATE</v>
      </c>
      <c r="G1198" s="4">
        <v>420.09</v>
      </c>
      <c r="H1198" t="str">
        <f t="shared" ref="H1198:H1211" si="16">"ALLSTATE"</f>
        <v>ALLSTATE</v>
      </c>
    </row>
    <row r="1199" spans="1:8" x14ac:dyDescent="0.25">
      <c r="E1199" t="str">
        <f>"AS 202101061056"</f>
        <v>AS 202101061056</v>
      </c>
      <c r="F1199" t="str">
        <f t="shared" si="15"/>
        <v>ALLSTATE</v>
      </c>
      <c r="G1199" s="4">
        <v>27.14</v>
      </c>
      <c r="H1199" t="str">
        <f t="shared" si="16"/>
        <v>ALLSTATE</v>
      </c>
    </row>
    <row r="1200" spans="1:8" x14ac:dyDescent="0.25">
      <c r="E1200" t="str">
        <f>"AS 202101201263"</f>
        <v>AS 202101201263</v>
      </c>
      <c r="F1200" t="str">
        <f t="shared" si="15"/>
        <v>ALLSTATE</v>
      </c>
      <c r="G1200" s="4">
        <v>420.09</v>
      </c>
      <c r="H1200" t="str">
        <f t="shared" si="16"/>
        <v>ALLSTATE</v>
      </c>
    </row>
    <row r="1201" spans="1:8" x14ac:dyDescent="0.25">
      <c r="E1201" t="str">
        <f>"AS 202101201264"</f>
        <v>AS 202101201264</v>
      </c>
      <c r="F1201" t="str">
        <f t="shared" si="15"/>
        <v>ALLSTATE</v>
      </c>
      <c r="G1201" s="4">
        <v>27.14</v>
      </c>
      <c r="H1201" t="str">
        <f t="shared" si="16"/>
        <v>ALLSTATE</v>
      </c>
    </row>
    <row r="1202" spans="1:8" x14ac:dyDescent="0.25">
      <c r="E1202" t="str">
        <f>"ASD202101061055"</f>
        <v>ASD202101061055</v>
      </c>
      <c r="F1202" t="str">
        <f t="shared" si="15"/>
        <v>ALLSTATE</v>
      </c>
      <c r="G1202" s="4">
        <v>170.21</v>
      </c>
      <c r="H1202" t="str">
        <f t="shared" si="16"/>
        <v>ALLSTATE</v>
      </c>
    </row>
    <row r="1203" spans="1:8" x14ac:dyDescent="0.25">
      <c r="E1203" t="str">
        <f>"ASD202101201263"</f>
        <v>ASD202101201263</v>
      </c>
      <c r="F1203" t="str">
        <f t="shared" si="15"/>
        <v>ALLSTATE</v>
      </c>
      <c r="G1203" s="4">
        <v>170.21</v>
      </c>
      <c r="H1203" t="str">
        <f t="shared" si="16"/>
        <v>ALLSTATE</v>
      </c>
    </row>
    <row r="1204" spans="1:8" x14ac:dyDescent="0.25">
      <c r="E1204" t="str">
        <f>"ASI202101061055"</f>
        <v>ASI202101061055</v>
      </c>
      <c r="F1204" t="str">
        <f t="shared" si="15"/>
        <v>ALLSTATE</v>
      </c>
      <c r="G1204" s="4">
        <v>566.87</v>
      </c>
      <c r="H1204" t="str">
        <f t="shared" si="16"/>
        <v>ALLSTATE</v>
      </c>
    </row>
    <row r="1205" spans="1:8" x14ac:dyDescent="0.25">
      <c r="E1205" t="str">
        <f>"ASI202101061056"</f>
        <v>ASI202101061056</v>
      </c>
      <c r="F1205" t="str">
        <f t="shared" si="15"/>
        <v>ALLSTATE</v>
      </c>
      <c r="G1205" s="4">
        <v>67.150000000000006</v>
      </c>
      <c r="H1205" t="str">
        <f t="shared" si="16"/>
        <v>ALLSTATE</v>
      </c>
    </row>
    <row r="1206" spans="1:8" x14ac:dyDescent="0.25">
      <c r="E1206" t="str">
        <f>"ASI202101201263"</f>
        <v>ASI202101201263</v>
      </c>
      <c r="F1206" t="str">
        <f t="shared" si="15"/>
        <v>ALLSTATE</v>
      </c>
      <c r="G1206" s="4">
        <v>547.51</v>
      </c>
      <c r="H1206" t="str">
        <f t="shared" si="16"/>
        <v>ALLSTATE</v>
      </c>
    </row>
    <row r="1207" spans="1:8" x14ac:dyDescent="0.25">
      <c r="E1207" t="str">
        <f>"ASI202101201264"</f>
        <v>ASI202101201264</v>
      </c>
      <c r="F1207" t="str">
        <f t="shared" si="15"/>
        <v>ALLSTATE</v>
      </c>
      <c r="G1207" s="4">
        <v>67.150000000000006</v>
      </c>
      <c r="H1207" t="str">
        <f t="shared" si="16"/>
        <v>ALLSTATE</v>
      </c>
    </row>
    <row r="1208" spans="1:8" x14ac:dyDescent="0.25">
      <c r="E1208" t="str">
        <f>"AST202101061055"</f>
        <v>AST202101061055</v>
      </c>
      <c r="F1208" t="str">
        <f t="shared" si="15"/>
        <v>ALLSTATE</v>
      </c>
      <c r="G1208" s="4">
        <v>1030.8900000000001</v>
      </c>
      <c r="H1208" t="str">
        <f t="shared" si="16"/>
        <v>ALLSTATE</v>
      </c>
    </row>
    <row r="1209" spans="1:8" x14ac:dyDescent="0.25">
      <c r="E1209" t="str">
        <f>"AST202101061056"</f>
        <v>AST202101061056</v>
      </c>
      <c r="F1209" t="str">
        <f t="shared" si="15"/>
        <v>ALLSTATE</v>
      </c>
      <c r="G1209" s="4">
        <v>31.41</v>
      </c>
      <c r="H1209" t="str">
        <f t="shared" si="16"/>
        <v>ALLSTATE</v>
      </c>
    </row>
    <row r="1210" spans="1:8" x14ac:dyDescent="0.25">
      <c r="E1210" t="str">
        <f>"AST202101201263"</f>
        <v>AST202101201263</v>
      </c>
      <c r="F1210" t="str">
        <f t="shared" si="15"/>
        <v>ALLSTATE</v>
      </c>
      <c r="G1210" s="4">
        <v>1030.8900000000001</v>
      </c>
      <c r="H1210" t="str">
        <f t="shared" si="16"/>
        <v>ALLSTATE</v>
      </c>
    </row>
    <row r="1211" spans="1:8" x14ac:dyDescent="0.25">
      <c r="E1211" t="str">
        <f>"AST202101201264"</f>
        <v>AST202101201264</v>
      </c>
      <c r="F1211" t="str">
        <f t="shared" si="15"/>
        <v>ALLSTATE</v>
      </c>
      <c r="G1211" s="4">
        <v>31.41</v>
      </c>
      <c r="H1211" t="str">
        <f t="shared" si="16"/>
        <v>ALLSTATE</v>
      </c>
    </row>
    <row r="1212" spans="1:8" x14ac:dyDescent="0.25">
      <c r="A1212" t="s">
        <v>353</v>
      </c>
      <c r="B1212">
        <v>882</v>
      </c>
      <c r="C1212" s="4">
        <v>25962.76</v>
      </c>
      <c r="D1212" s="1">
        <v>44223</v>
      </c>
      <c r="E1212" t="str">
        <f>"202101271406"</f>
        <v>202101271406</v>
      </c>
      <c r="F1212" t="str">
        <f>"RETIREE INS - JANUARY 2021"</f>
        <v>RETIREE INS - JANUARY 2021</v>
      </c>
      <c r="G1212" s="4">
        <v>25962.76</v>
      </c>
      <c r="H1212" t="str">
        <f>"RETIREE INS - JANUARY 2021"</f>
        <v>RETIREE INS - JANUARY 2021</v>
      </c>
    </row>
    <row r="1213" spans="1:8" x14ac:dyDescent="0.25">
      <c r="A1213" t="s">
        <v>354</v>
      </c>
      <c r="B1213">
        <v>849</v>
      </c>
      <c r="C1213" s="4">
        <v>1935.1</v>
      </c>
      <c r="D1213" s="1">
        <v>44204</v>
      </c>
      <c r="E1213" t="str">
        <f>"DHM202101061057"</f>
        <v>DHM202101061057</v>
      </c>
      <c r="F1213" t="str">
        <f>"AP - DENTAL HMO"</f>
        <v>AP - DENTAL HMO</v>
      </c>
      <c r="G1213" s="4">
        <v>33.590000000000003</v>
      </c>
      <c r="H1213" t="str">
        <f>"AP - DENTAL HMO"</f>
        <v>AP - DENTAL HMO</v>
      </c>
    </row>
    <row r="1214" spans="1:8" x14ac:dyDescent="0.25">
      <c r="E1214" t="str">
        <f>"DTX202101061057"</f>
        <v>DTX202101061057</v>
      </c>
      <c r="F1214" t="str">
        <f>"AP - TEXAS DENTAL"</f>
        <v>AP - TEXAS DENTAL</v>
      </c>
      <c r="G1214" s="4">
        <v>359.12</v>
      </c>
      <c r="H1214" t="str">
        <f>"AP - TEXAS DENTAL"</f>
        <v>AP - TEXAS DENTAL</v>
      </c>
    </row>
    <row r="1215" spans="1:8" x14ac:dyDescent="0.25">
      <c r="E1215" t="str">
        <f>"FD 202101061057"</f>
        <v>FD 202101061057</v>
      </c>
      <c r="F1215" t="str">
        <f>"AP - FT DEARBORN PRE-TAX"</f>
        <v>AP - FT DEARBORN PRE-TAX</v>
      </c>
      <c r="G1215" s="4">
        <v>91.21</v>
      </c>
      <c r="H1215" t="str">
        <f>"AP - FT DEARBORN PRE-TAX"</f>
        <v>AP - FT DEARBORN PRE-TAX</v>
      </c>
    </row>
    <row r="1216" spans="1:8" x14ac:dyDescent="0.25">
      <c r="E1216" t="str">
        <f>"FDT202101061057"</f>
        <v>FDT202101061057</v>
      </c>
      <c r="F1216" t="str">
        <f>"AP - FT DEARBORN AFTER TAX"</f>
        <v>AP - FT DEARBORN AFTER TAX</v>
      </c>
      <c r="G1216" s="4">
        <v>65.209999999999994</v>
      </c>
      <c r="H1216" t="str">
        <f>"AP - FT DEARBORN AFTER TAX"</f>
        <v>AP - FT DEARBORN AFTER TAX</v>
      </c>
    </row>
    <row r="1217" spans="1:8" x14ac:dyDescent="0.25">
      <c r="E1217" t="str">
        <f>"FLX202101061057"</f>
        <v>FLX202101061057</v>
      </c>
      <c r="F1217" t="str">
        <f>"AP - TEX FLEX"</f>
        <v>AP - TEX FLEX</v>
      </c>
      <c r="G1217" s="4">
        <v>94.5</v>
      </c>
      <c r="H1217" t="str">
        <f>"AP - TEX FLEX"</f>
        <v>AP - TEX FLEX</v>
      </c>
    </row>
    <row r="1218" spans="1:8" x14ac:dyDescent="0.25">
      <c r="E1218" t="str">
        <f>"HSA202101061057"</f>
        <v>HSA202101061057</v>
      </c>
      <c r="F1218" t="str">
        <f>"AP- HSA"</f>
        <v>AP- HSA</v>
      </c>
      <c r="G1218" s="4">
        <v>20</v>
      </c>
      <c r="H1218" t="str">
        <f>"AP- HSA"</f>
        <v>AP- HSA</v>
      </c>
    </row>
    <row r="1219" spans="1:8" x14ac:dyDescent="0.25">
      <c r="E1219" t="str">
        <f>"MHS202101061057"</f>
        <v>MHS202101061057</v>
      </c>
      <c r="F1219" t="str">
        <f>"AP - HEALTH SELECT MEDICAL"</f>
        <v>AP - HEALTH SELECT MEDICAL</v>
      </c>
      <c r="G1219" s="4">
        <v>837.83</v>
      </c>
      <c r="H1219" t="str">
        <f>"AP - HEALTH SELECT MEDICAL"</f>
        <v>AP - HEALTH SELECT MEDICAL</v>
      </c>
    </row>
    <row r="1220" spans="1:8" x14ac:dyDescent="0.25">
      <c r="E1220" t="str">
        <f>"MSW202101061057"</f>
        <v>MSW202101061057</v>
      </c>
      <c r="F1220" t="str">
        <f>"AP - SCOTT &amp; WHITE MEDICAL"</f>
        <v>AP - SCOTT &amp; WHITE MEDICAL</v>
      </c>
      <c r="G1220" s="4">
        <v>372.42</v>
      </c>
      <c r="H1220" t="str">
        <f>"AP - SCOTT &amp; WHITE MEDICAL"</f>
        <v>AP - SCOTT &amp; WHITE MEDICAL</v>
      </c>
    </row>
    <row r="1221" spans="1:8" x14ac:dyDescent="0.25">
      <c r="E1221" t="str">
        <f>"SPE202101061057"</f>
        <v>SPE202101061057</v>
      </c>
      <c r="F1221" t="str">
        <f>"AP - STATE VISION"</f>
        <v>AP - STATE VISION</v>
      </c>
      <c r="G1221" s="4">
        <v>61.22</v>
      </c>
      <c r="H1221" t="str">
        <f>"AP - STATE VISION"</f>
        <v>AP - STATE VISION</v>
      </c>
    </row>
    <row r="1222" spans="1:8" x14ac:dyDescent="0.25">
      <c r="A1222" t="s">
        <v>354</v>
      </c>
      <c r="B1222">
        <v>858</v>
      </c>
      <c r="C1222" s="4">
        <v>1935.1</v>
      </c>
      <c r="D1222" s="1">
        <v>44218</v>
      </c>
      <c r="E1222" t="str">
        <f>"DHM202101201265"</f>
        <v>DHM202101201265</v>
      </c>
      <c r="F1222" t="str">
        <f>"AP - DENTAL HMO"</f>
        <v>AP - DENTAL HMO</v>
      </c>
      <c r="G1222" s="4">
        <v>33.590000000000003</v>
      </c>
      <c r="H1222" t="str">
        <f>"AP - DENTAL HMO"</f>
        <v>AP - DENTAL HMO</v>
      </c>
    </row>
    <row r="1223" spans="1:8" x14ac:dyDescent="0.25">
      <c r="E1223" t="str">
        <f>"DTX202101201265"</f>
        <v>DTX202101201265</v>
      </c>
      <c r="F1223" t="str">
        <f>"AP - TEXAS DENTAL"</f>
        <v>AP - TEXAS DENTAL</v>
      </c>
      <c r="G1223" s="4">
        <v>359.12</v>
      </c>
      <c r="H1223" t="str">
        <f>"AP - TEXAS DENTAL"</f>
        <v>AP - TEXAS DENTAL</v>
      </c>
    </row>
    <row r="1224" spans="1:8" x14ac:dyDescent="0.25">
      <c r="E1224" t="str">
        <f>"FD 202101201265"</f>
        <v>FD 202101201265</v>
      </c>
      <c r="F1224" t="str">
        <f>"AP - FT DEARBORN PRE-TAX"</f>
        <v>AP - FT DEARBORN PRE-TAX</v>
      </c>
      <c r="G1224" s="4">
        <v>91.21</v>
      </c>
      <c r="H1224" t="str">
        <f>"AP - FT DEARBORN PRE-TAX"</f>
        <v>AP - FT DEARBORN PRE-TAX</v>
      </c>
    </row>
    <row r="1225" spans="1:8" x14ac:dyDescent="0.25">
      <c r="E1225" t="str">
        <f>"FDT202101201265"</f>
        <v>FDT202101201265</v>
      </c>
      <c r="F1225" t="str">
        <f>"AP - FT DEARBORN AFTER TAX"</f>
        <v>AP - FT DEARBORN AFTER TAX</v>
      </c>
      <c r="G1225" s="4">
        <v>65.209999999999994</v>
      </c>
      <c r="H1225" t="str">
        <f>"AP - FT DEARBORN AFTER TAX"</f>
        <v>AP - FT DEARBORN AFTER TAX</v>
      </c>
    </row>
    <row r="1226" spans="1:8" x14ac:dyDescent="0.25">
      <c r="E1226" t="str">
        <f>"FLX202101201265"</f>
        <v>FLX202101201265</v>
      </c>
      <c r="F1226" t="str">
        <f>"AP - TEX FLEX"</f>
        <v>AP - TEX FLEX</v>
      </c>
      <c r="G1226" s="4">
        <v>94.5</v>
      </c>
      <c r="H1226" t="str">
        <f>"AP - TEX FLEX"</f>
        <v>AP - TEX FLEX</v>
      </c>
    </row>
    <row r="1227" spans="1:8" x14ac:dyDescent="0.25">
      <c r="E1227" t="str">
        <f>"HSA202101201265"</f>
        <v>HSA202101201265</v>
      </c>
      <c r="F1227" t="str">
        <f>"AP- HSA"</f>
        <v>AP- HSA</v>
      </c>
      <c r="G1227" s="4">
        <v>20</v>
      </c>
      <c r="H1227" t="str">
        <f>"AP- HSA"</f>
        <v>AP- HSA</v>
      </c>
    </row>
    <row r="1228" spans="1:8" x14ac:dyDescent="0.25">
      <c r="E1228" t="str">
        <f>"MHS202101201265"</f>
        <v>MHS202101201265</v>
      </c>
      <c r="F1228" t="str">
        <f>"AP - HEALTH SELECT MEDICAL"</f>
        <v>AP - HEALTH SELECT MEDICAL</v>
      </c>
      <c r="G1228" s="4">
        <v>837.83</v>
      </c>
      <c r="H1228" t="str">
        <f>"AP - HEALTH SELECT MEDICAL"</f>
        <v>AP - HEALTH SELECT MEDICAL</v>
      </c>
    </row>
    <row r="1229" spans="1:8" x14ac:dyDescent="0.25">
      <c r="E1229" t="str">
        <f>"MSW202101201265"</f>
        <v>MSW202101201265</v>
      </c>
      <c r="F1229" t="str">
        <f>"AP - SCOTT &amp; WHITE MEDICAL"</f>
        <v>AP - SCOTT &amp; WHITE MEDICAL</v>
      </c>
      <c r="G1229" s="4">
        <v>372.42</v>
      </c>
      <c r="H1229" t="str">
        <f>"AP - SCOTT &amp; WHITE MEDICAL"</f>
        <v>AP - SCOTT &amp; WHITE MEDICAL</v>
      </c>
    </row>
    <row r="1230" spans="1:8" x14ac:dyDescent="0.25">
      <c r="E1230" t="str">
        <f>"SPE202101201265"</f>
        <v>SPE202101201265</v>
      </c>
      <c r="F1230" t="str">
        <f>"AP - STATE VISION"</f>
        <v>AP - STATE VISION</v>
      </c>
      <c r="G1230" s="4">
        <v>61.22</v>
      </c>
      <c r="H1230" t="str">
        <f>"AP - STATE VISION"</f>
        <v>AP - STATE VISION</v>
      </c>
    </row>
    <row r="1231" spans="1:8" x14ac:dyDescent="0.25">
      <c r="A1231" t="s">
        <v>355</v>
      </c>
      <c r="B1231">
        <v>868</v>
      </c>
      <c r="C1231" s="4">
        <v>4308.46</v>
      </c>
      <c r="D1231" s="1">
        <v>44223</v>
      </c>
      <c r="E1231" t="str">
        <f>"202101271380"</f>
        <v>202101271380</v>
      </c>
      <c r="F1231" t="str">
        <f>"ROUNDING - JANUARY 2021"</f>
        <v>ROUNDING - JANUARY 2021</v>
      </c>
      <c r="G1231" s="4">
        <v>0.44</v>
      </c>
      <c r="H1231" t="str">
        <f>"ROUNDING - JANUARY 2021"</f>
        <v>ROUNDING - JANUARY 2021</v>
      </c>
    </row>
    <row r="1232" spans="1:8" x14ac:dyDescent="0.25">
      <c r="E1232" t="str">
        <f>"CL 202101061055"</f>
        <v>CL 202101061055</v>
      </c>
      <c r="F1232" t="str">
        <f t="shared" ref="F1232:F1251" si="17">"COLONIAL"</f>
        <v>COLONIAL</v>
      </c>
      <c r="G1232" s="4">
        <v>539.33000000000004</v>
      </c>
      <c r="H1232" t="str">
        <f t="shared" ref="H1232:H1251" si="18">"COLONIAL"</f>
        <v>COLONIAL</v>
      </c>
    </row>
    <row r="1233" spans="5:8" x14ac:dyDescent="0.25">
      <c r="E1233" t="str">
        <f>"CL 202101061056"</f>
        <v>CL 202101061056</v>
      </c>
      <c r="F1233" t="str">
        <f t="shared" si="17"/>
        <v>COLONIAL</v>
      </c>
      <c r="G1233" s="4">
        <v>14.49</v>
      </c>
      <c r="H1233" t="str">
        <f t="shared" si="18"/>
        <v>COLONIAL</v>
      </c>
    </row>
    <row r="1234" spans="5:8" x14ac:dyDescent="0.25">
      <c r="E1234" t="str">
        <f>"CL 202101201263"</f>
        <v>CL 202101201263</v>
      </c>
      <c r="F1234" t="str">
        <f t="shared" si="17"/>
        <v>COLONIAL</v>
      </c>
      <c r="G1234" s="4">
        <v>539.33000000000004</v>
      </c>
      <c r="H1234" t="str">
        <f t="shared" si="18"/>
        <v>COLONIAL</v>
      </c>
    </row>
    <row r="1235" spans="5:8" x14ac:dyDescent="0.25">
      <c r="E1235" t="str">
        <f>"CL 202101201264"</f>
        <v>CL 202101201264</v>
      </c>
      <c r="F1235" t="str">
        <f t="shared" si="17"/>
        <v>COLONIAL</v>
      </c>
      <c r="G1235" s="4">
        <v>14.49</v>
      </c>
      <c r="H1235" t="str">
        <f t="shared" si="18"/>
        <v>COLONIAL</v>
      </c>
    </row>
    <row r="1236" spans="5:8" x14ac:dyDescent="0.25">
      <c r="E1236" t="str">
        <f>"CLC202101061055"</f>
        <v>CLC202101061055</v>
      </c>
      <c r="F1236" t="str">
        <f t="shared" si="17"/>
        <v>COLONIAL</v>
      </c>
      <c r="G1236" s="4">
        <v>33.99</v>
      </c>
      <c r="H1236" t="str">
        <f t="shared" si="18"/>
        <v>COLONIAL</v>
      </c>
    </row>
    <row r="1237" spans="5:8" x14ac:dyDescent="0.25">
      <c r="E1237" t="str">
        <f>"CLC202101201263"</f>
        <v>CLC202101201263</v>
      </c>
      <c r="F1237" t="str">
        <f t="shared" si="17"/>
        <v>COLONIAL</v>
      </c>
      <c r="G1237" s="4">
        <v>33.99</v>
      </c>
      <c r="H1237" t="str">
        <f t="shared" si="18"/>
        <v>COLONIAL</v>
      </c>
    </row>
    <row r="1238" spans="5:8" x14ac:dyDescent="0.25">
      <c r="E1238" t="str">
        <f>"CLI202101061055"</f>
        <v>CLI202101061055</v>
      </c>
      <c r="F1238" t="str">
        <f t="shared" si="17"/>
        <v>COLONIAL</v>
      </c>
      <c r="G1238" s="4">
        <v>534.04</v>
      </c>
      <c r="H1238" t="str">
        <f t="shared" si="18"/>
        <v>COLONIAL</v>
      </c>
    </row>
    <row r="1239" spans="5:8" x14ac:dyDescent="0.25">
      <c r="E1239" t="str">
        <f>"CLI202101201263"</f>
        <v>CLI202101201263</v>
      </c>
      <c r="F1239" t="str">
        <f t="shared" si="17"/>
        <v>COLONIAL</v>
      </c>
      <c r="G1239" s="4">
        <v>534.04</v>
      </c>
      <c r="H1239" t="str">
        <f t="shared" si="18"/>
        <v>COLONIAL</v>
      </c>
    </row>
    <row r="1240" spans="5:8" x14ac:dyDescent="0.25">
      <c r="E1240" t="str">
        <f>"CLK202101061055"</f>
        <v>CLK202101061055</v>
      </c>
      <c r="F1240" t="str">
        <f t="shared" si="17"/>
        <v>COLONIAL</v>
      </c>
      <c r="G1240" s="4">
        <v>27.09</v>
      </c>
      <c r="H1240" t="str">
        <f t="shared" si="18"/>
        <v>COLONIAL</v>
      </c>
    </row>
    <row r="1241" spans="5:8" x14ac:dyDescent="0.25">
      <c r="E1241" t="str">
        <f>"CLK202101201263"</f>
        <v>CLK202101201263</v>
      </c>
      <c r="F1241" t="str">
        <f t="shared" si="17"/>
        <v>COLONIAL</v>
      </c>
      <c r="G1241" s="4">
        <v>27.09</v>
      </c>
      <c r="H1241" t="str">
        <f t="shared" si="18"/>
        <v>COLONIAL</v>
      </c>
    </row>
    <row r="1242" spans="5:8" x14ac:dyDescent="0.25">
      <c r="E1242" t="str">
        <f>"CLS202101061055"</f>
        <v>CLS202101061055</v>
      </c>
      <c r="F1242" t="str">
        <f t="shared" si="17"/>
        <v>COLONIAL</v>
      </c>
      <c r="G1242" s="4">
        <v>350.78</v>
      </c>
      <c r="H1242" t="str">
        <f t="shared" si="18"/>
        <v>COLONIAL</v>
      </c>
    </row>
    <row r="1243" spans="5:8" x14ac:dyDescent="0.25">
      <c r="E1243" t="str">
        <f>"CLS202101061056"</f>
        <v>CLS202101061056</v>
      </c>
      <c r="F1243" t="str">
        <f t="shared" si="17"/>
        <v>COLONIAL</v>
      </c>
      <c r="G1243" s="4">
        <v>15.73</v>
      </c>
      <c r="H1243" t="str">
        <f t="shared" si="18"/>
        <v>COLONIAL</v>
      </c>
    </row>
    <row r="1244" spans="5:8" x14ac:dyDescent="0.25">
      <c r="E1244" t="str">
        <f>"CLS202101201263"</f>
        <v>CLS202101201263</v>
      </c>
      <c r="F1244" t="str">
        <f t="shared" si="17"/>
        <v>COLONIAL</v>
      </c>
      <c r="G1244" s="4">
        <v>350.78</v>
      </c>
      <c r="H1244" t="str">
        <f t="shared" si="18"/>
        <v>COLONIAL</v>
      </c>
    </row>
    <row r="1245" spans="5:8" x14ac:dyDescent="0.25">
      <c r="E1245" t="str">
        <f>"CLS202101201264"</f>
        <v>CLS202101201264</v>
      </c>
      <c r="F1245" t="str">
        <f t="shared" si="17"/>
        <v>COLONIAL</v>
      </c>
      <c r="G1245" s="4">
        <v>15.73</v>
      </c>
      <c r="H1245" t="str">
        <f t="shared" si="18"/>
        <v>COLONIAL</v>
      </c>
    </row>
    <row r="1246" spans="5:8" x14ac:dyDescent="0.25">
      <c r="E1246" t="str">
        <f>"CLT202101061055"</f>
        <v>CLT202101061055</v>
      </c>
      <c r="F1246" t="str">
        <f t="shared" si="17"/>
        <v>COLONIAL</v>
      </c>
      <c r="G1246" s="4">
        <v>260.32</v>
      </c>
      <c r="H1246" t="str">
        <f t="shared" si="18"/>
        <v>COLONIAL</v>
      </c>
    </row>
    <row r="1247" spans="5:8" x14ac:dyDescent="0.25">
      <c r="E1247" t="str">
        <f>"CLT202101201263"</f>
        <v>CLT202101201263</v>
      </c>
      <c r="F1247" t="str">
        <f t="shared" si="17"/>
        <v>COLONIAL</v>
      </c>
      <c r="G1247" s="4">
        <v>260.32</v>
      </c>
      <c r="H1247" t="str">
        <f t="shared" si="18"/>
        <v>COLONIAL</v>
      </c>
    </row>
    <row r="1248" spans="5:8" x14ac:dyDescent="0.25">
      <c r="E1248" t="str">
        <f>"CLU202101061055"</f>
        <v>CLU202101061055</v>
      </c>
      <c r="F1248" t="str">
        <f t="shared" si="17"/>
        <v>COLONIAL</v>
      </c>
      <c r="G1248" s="4">
        <v>111.55</v>
      </c>
      <c r="H1248" t="str">
        <f t="shared" si="18"/>
        <v>COLONIAL</v>
      </c>
    </row>
    <row r="1249" spans="1:8" x14ac:dyDescent="0.25">
      <c r="E1249" t="str">
        <f>"CLU202101201263"</f>
        <v>CLU202101201263</v>
      </c>
      <c r="F1249" t="str">
        <f t="shared" si="17"/>
        <v>COLONIAL</v>
      </c>
      <c r="G1249" s="4">
        <v>111.55</v>
      </c>
      <c r="H1249" t="str">
        <f t="shared" si="18"/>
        <v>COLONIAL</v>
      </c>
    </row>
    <row r="1250" spans="1:8" x14ac:dyDescent="0.25">
      <c r="E1250" t="str">
        <f>"CLW202101061055"</f>
        <v>CLW202101061055</v>
      </c>
      <c r="F1250" t="str">
        <f t="shared" si="17"/>
        <v>COLONIAL</v>
      </c>
      <c r="G1250" s="4">
        <v>266.69</v>
      </c>
      <c r="H1250" t="str">
        <f t="shared" si="18"/>
        <v>COLONIAL</v>
      </c>
    </row>
    <row r="1251" spans="1:8" x14ac:dyDescent="0.25">
      <c r="E1251" t="str">
        <f>"CLW202101201263"</f>
        <v>CLW202101201263</v>
      </c>
      <c r="F1251" t="str">
        <f t="shared" si="17"/>
        <v>COLONIAL</v>
      </c>
      <c r="G1251" s="4">
        <v>266.69</v>
      </c>
      <c r="H1251" t="str">
        <f t="shared" si="18"/>
        <v>COLONIAL</v>
      </c>
    </row>
    <row r="1252" spans="1:8" x14ac:dyDescent="0.25">
      <c r="A1252" t="s">
        <v>356</v>
      </c>
      <c r="B1252">
        <v>850</v>
      </c>
      <c r="C1252" s="4">
        <v>7653.07</v>
      </c>
      <c r="D1252" s="1">
        <v>44204</v>
      </c>
      <c r="E1252" t="str">
        <f>"CPI202101061055"</f>
        <v>CPI202101061055</v>
      </c>
      <c r="F1252" t="str">
        <f>"DEFERRED COMP 457B PAYABLE"</f>
        <v>DEFERRED COMP 457B PAYABLE</v>
      </c>
      <c r="G1252" s="4">
        <v>7558.07</v>
      </c>
      <c r="H1252" t="str">
        <f>"DEFERRED COMP 457B PAYABLE"</f>
        <v>DEFERRED COMP 457B PAYABLE</v>
      </c>
    </row>
    <row r="1253" spans="1:8" x14ac:dyDescent="0.25">
      <c r="E1253" t="str">
        <f>"CPI202101061056"</f>
        <v>CPI202101061056</v>
      </c>
      <c r="F1253" t="str">
        <f>"DEFERRED COMP 457B PAYABLE"</f>
        <v>DEFERRED COMP 457B PAYABLE</v>
      </c>
      <c r="G1253" s="4">
        <v>95</v>
      </c>
      <c r="H1253" t="str">
        <f>"DEFERRED COMP 457B PAYABLE"</f>
        <v>DEFERRED COMP 457B PAYABLE</v>
      </c>
    </row>
    <row r="1254" spans="1:8" x14ac:dyDescent="0.25">
      <c r="A1254" t="s">
        <v>356</v>
      </c>
      <c r="B1254">
        <v>859</v>
      </c>
      <c r="C1254" s="4">
        <v>7653.07</v>
      </c>
      <c r="D1254" s="1">
        <v>44218</v>
      </c>
      <c r="E1254" t="str">
        <f>"CPI202101201263"</f>
        <v>CPI202101201263</v>
      </c>
      <c r="F1254" t="str">
        <f>"DEFERRED COMP 457B PAYABLE"</f>
        <v>DEFERRED COMP 457B PAYABLE</v>
      </c>
      <c r="G1254" s="4">
        <v>7558.07</v>
      </c>
      <c r="H1254" t="str">
        <f>"DEFERRED COMP 457B PAYABLE"</f>
        <v>DEFERRED COMP 457B PAYABLE</v>
      </c>
    </row>
    <row r="1255" spans="1:8" x14ac:dyDescent="0.25">
      <c r="E1255" t="str">
        <f>"CPI202101201264"</f>
        <v>CPI202101201264</v>
      </c>
      <c r="F1255" t="str">
        <f>"DEFERRED COMP 457B PAYABLE"</f>
        <v>DEFERRED COMP 457B PAYABLE</v>
      </c>
      <c r="G1255" s="4">
        <v>95</v>
      </c>
      <c r="H1255" t="str">
        <f>"DEFERRED COMP 457B PAYABLE"</f>
        <v>DEFERRED COMP 457B PAYABLE</v>
      </c>
    </row>
    <row r="1256" spans="1:8" x14ac:dyDescent="0.25">
      <c r="A1256" t="s">
        <v>357</v>
      </c>
      <c r="B1256">
        <v>883</v>
      </c>
      <c r="C1256" s="4">
        <v>42142.33</v>
      </c>
      <c r="D1256" s="1">
        <v>44223</v>
      </c>
      <c r="E1256" t="str">
        <f>"202101271402"</f>
        <v>202101271402</v>
      </c>
      <c r="F1256" t="str">
        <f>"ADJ - GARY BUCKWALTER"</f>
        <v>ADJ - GARY BUCKWALTER</v>
      </c>
      <c r="G1256" s="4">
        <v>-1.5</v>
      </c>
      <c r="H1256" t="str">
        <f>"ADJ - GARY BUCKWALTER"</f>
        <v>ADJ - GARY BUCKWALTER</v>
      </c>
    </row>
    <row r="1257" spans="1:8" x14ac:dyDescent="0.25">
      <c r="E1257" t="str">
        <f>"202101271403"</f>
        <v>202101271403</v>
      </c>
      <c r="F1257" t="str">
        <f>"ADJ - OLIVIA HANNA"</f>
        <v>ADJ - OLIVIA HANNA</v>
      </c>
      <c r="G1257" s="4">
        <v>32.5</v>
      </c>
      <c r="H1257" t="str">
        <f>"ADJ - OLIVIA HANNA"</f>
        <v>ADJ - OLIVIA HANNA</v>
      </c>
    </row>
    <row r="1258" spans="1:8" x14ac:dyDescent="0.25">
      <c r="E1258" t="str">
        <f>"202101271404"</f>
        <v>202101271404</v>
      </c>
      <c r="F1258" t="str">
        <f>"RETIREE - JANUARY 2021"</f>
        <v>RETIREE - JANUARY 2021</v>
      </c>
      <c r="G1258" s="4">
        <v>3270.72</v>
      </c>
      <c r="H1258" t="str">
        <f>"RETIREE - JANUARY 2021"</f>
        <v>RETIREE - JANUARY 2021</v>
      </c>
    </row>
    <row r="1259" spans="1:8" x14ac:dyDescent="0.25">
      <c r="E1259" t="str">
        <f>"202101271405"</f>
        <v>202101271405</v>
      </c>
      <c r="F1259" t="str">
        <f>"COBRA - JANUARY 2020"</f>
        <v>COBRA - JANUARY 2020</v>
      </c>
      <c r="G1259" s="4">
        <v>240.2</v>
      </c>
      <c r="H1259" t="str">
        <f>"COBRA - JANUARY 2020"</f>
        <v>COBRA - JANUARY 2020</v>
      </c>
    </row>
    <row r="1260" spans="1:8" x14ac:dyDescent="0.25">
      <c r="E1260" t="str">
        <f>"ADC202101061055"</f>
        <v>ADC202101061055</v>
      </c>
      <c r="F1260" t="str">
        <f t="shared" ref="F1260:F1272" si="19">"GUARDIAN"</f>
        <v>GUARDIAN</v>
      </c>
      <c r="G1260" s="4">
        <v>4.62</v>
      </c>
      <c r="H1260" t="str">
        <f t="shared" ref="H1260:H1323" si="20">"GUARDIAN"</f>
        <v>GUARDIAN</v>
      </c>
    </row>
    <row r="1261" spans="1:8" x14ac:dyDescent="0.25">
      <c r="E1261" t="str">
        <f>"ADC202101061056"</f>
        <v>ADC202101061056</v>
      </c>
      <c r="F1261" t="str">
        <f t="shared" si="19"/>
        <v>GUARDIAN</v>
      </c>
      <c r="G1261" s="4">
        <v>0.16</v>
      </c>
      <c r="H1261" t="str">
        <f t="shared" si="20"/>
        <v>GUARDIAN</v>
      </c>
    </row>
    <row r="1262" spans="1:8" x14ac:dyDescent="0.25">
      <c r="E1262" t="str">
        <f>"ADC202101201263"</f>
        <v>ADC202101201263</v>
      </c>
      <c r="F1262" t="str">
        <f t="shared" si="19"/>
        <v>GUARDIAN</v>
      </c>
      <c r="G1262" s="4">
        <v>4.62</v>
      </c>
      <c r="H1262" t="str">
        <f t="shared" si="20"/>
        <v>GUARDIAN</v>
      </c>
    </row>
    <row r="1263" spans="1:8" x14ac:dyDescent="0.25">
      <c r="E1263" t="str">
        <f>"ADC202101201264"</f>
        <v>ADC202101201264</v>
      </c>
      <c r="F1263" t="str">
        <f t="shared" si="19"/>
        <v>GUARDIAN</v>
      </c>
      <c r="G1263" s="4">
        <v>0.16</v>
      </c>
      <c r="H1263" t="str">
        <f t="shared" si="20"/>
        <v>GUARDIAN</v>
      </c>
    </row>
    <row r="1264" spans="1:8" x14ac:dyDescent="0.25">
      <c r="E1264" t="str">
        <f>"ADE202101061055"</f>
        <v>ADE202101061055</v>
      </c>
      <c r="F1264" t="str">
        <f t="shared" si="19"/>
        <v>GUARDIAN</v>
      </c>
      <c r="G1264" s="4">
        <v>226.63</v>
      </c>
      <c r="H1264" t="str">
        <f t="shared" si="20"/>
        <v>GUARDIAN</v>
      </c>
    </row>
    <row r="1265" spans="5:8" x14ac:dyDescent="0.25">
      <c r="E1265" t="str">
        <f>"ADE202101061056"</f>
        <v>ADE202101061056</v>
      </c>
      <c r="F1265" t="str">
        <f t="shared" si="19"/>
        <v>GUARDIAN</v>
      </c>
      <c r="G1265" s="4">
        <v>6.3</v>
      </c>
      <c r="H1265" t="str">
        <f t="shared" si="20"/>
        <v>GUARDIAN</v>
      </c>
    </row>
    <row r="1266" spans="5:8" x14ac:dyDescent="0.25">
      <c r="E1266" t="str">
        <f>"ADE202101201263"</f>
        <v>ADE202101201263</v>
      </c>
      <c r="F1266" t="str">
        <f t="shared" si="19"/>
        <v>GUARDIAN</v>
      </c>
      <c r="G1266" s="4">
        <v>226.63</v>
      </c>
      <c r="H1266" t="str">
        <f t="shared" si="20"/>
        <v>GUARDIAN</v>
      </c>
    </row>
    <row r="1267" spans="5:8" x14ac:dyDescent="0.25">
      <c r="E1267" t="str">
        <f>"ADE202101201264"</f>
        <v>ADE202101201264</v>
      </c>
      <c r="F1267" t="str">
        <f t="shared" si="19"/>
        <v>GUARDIAN</v>
      </c>
      <c r="G1267" s="4">
        <v>6.3</v>
      </c>
      <c r="H1267" t="str">
        <f t="shared" si="20"/>
        <v>GUARDIAN</v>
      </c>
    </row>
    <row r="1268" spans="5:8" x14ac:dyDescent="0.25">
      <c r="E1268" t="str">
        <f>"ADS202101061055"</f>
        <v>ADS202101061055</v>
      </c>
      <c r="F1268" t="str">
        <f t="shared" si="19"/>
        <v>GUARDIAN</v>
      </c>
      <c r="G1268" s="4">
        <v>40.39</v>
      </c>
      <c r="H1268" t="str">
        <f t="shared" si="20"/>
        <v>GUARDIAN</v>
      </c>
    </row>
    <row r="1269" spans="5:8" x14ac:dyDescent="0.25">
      <c r="E1269" t="str">
        <f>"ADS202101061056"</f>
        <v>ADS202101061056</v>
      </c>
      <c r="F1269" t="str">
        <f t="shared" si="19"/>
        <v>GUARDIAN</v>
      </c>
      <c r="G1269" s="4">
        <v>0.53</v>
      </c>
      <c r="H1269" t="str">
        <f t="shared" si="20"/>
        <v>GUARDIAN</v>
      </c>
    </row>
    <row r="1270" spans="5:8" x14ac:dyDescent="0.25">
      <c r="E1270" t="str">
        <f>"ADS202101201263"</f>
        <v>ADS202101201263</v>
      </c>
      <c r="F1270" t="str">
        <f t="shared" si="19"/>
        <v>GUARDIAN</v>
      </c>
      <c r="G1270" s="4">
        <v>40.39</v>
      </c>
      <c r="H1270" t="str">
        <f t="shared" si="20"/>
        <v>GUARDIAN</v>
      </c>
    </row>
    <row r="1271" spans="5:8" x14ac:dyDescent="0.25">
      <c r="E1271" t="str">
        <f>"ADS202101201264"</f>
        <v>ADS202101201264</v>
      </c>
      <c r="F1271" t="str">
        <f t="shared" si="19"/>
        <v>GUARDIAN</v>
      </c>
      <c r="G1271" s="4">
        <v>0.53</v>
      </c>
      <c r="H1271" t="str">
        <f t="shared" si="20"/>
        <v>GUARDIAN</v>
      </c>
    </row>
    <row r="1272" spans="5:8" x14ac:dyDescent="0.25">
      <c r="E1272" t="str">
        <f>"GDC202101061055"</f>
        <v>GDC202101061055</v>
      </c>
      <c r="F1272" t="str">
        <f t="shared" si="19"/>
        <v>GUARDIAN</v>
      </c>
      <c r="G1272" s="4">
        <v>2852.64</v>
      </c>
      <c r="H1272" t="str">
        <f t="shared" si="20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20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20"/>
        <v>GUARDIAN</v>
      </c>
    </row>
    <row r="1275" spans="5:8" x14ac:dyDescent="0.25">
      <c r="E1275" t="str">
        <f>""</f>
        <v/>
      </c>
      <c r="F1275" t="str">
        <f>""</f>
        <v/>
      </c>
      <c r="H1275" t="str">
        <f t="shared" si="20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20"/>
        <v>GUARDIAN</v>
      </c>
    </row>
    <row r="1277" spans="5:8" x14ac:dyDescent="0.25">
      <c r="E1277" t="str">
        <f>""</f>
        <v/>
      </c>
      <c r="F1277" t="str">
        <f>""</f>
        <v/>
      </c>
      <c r="H1277" t="str">
        <f t="shared" si="20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20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20"/>
        <v>GUARDIAN</v>
      </c>
    </row>
    <row r="1280" spans="5:8" x14ac:dyDescent="0.25">
      <c r="E1280" t="str">
        <f>""</f>
        <v/>
      </c>
      <c r="F1280" t="str">
        <f>""</f>
        <v/>
      </c>
      <c r="H1280" t="str">
        <f t="shared" si="20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20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20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20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si="20"/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0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0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0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0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0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0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0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0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si="20"/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0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0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0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si="20"/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0"/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 t="shared" si="20"/>
        <v>GUARDIAN</v>
      </c>
    </row>
    <row r="1300" spans="5:8" x14ac:dyDescent="0.25">
      <c r="E1300" t="str">
        <f>""</f>
        <v/>
      </c>
      <c r="F1300" t="str">
        <f>""</f>
        <v/>
      </c>
      <c r="H1300" t="str">
        <f t="shared" si="20"/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 t="shared" si="20"/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 t="shared" si="20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0"/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 t="shared" si="20"/>
        <v>GUARDIAN</v>
      </c>
    </row>
    <row r="1305" spans="5:8" x14ac:dyDescent="0.25">
      <c r="E1305" t="str">
        <f>"GDC202101061056"</f>
        <v>GDC202101061056</v>
      </c>
      <c r="F1305" t="str">
        <f>"GUARDIAN"</f>
        <v>GUARDIAN</v>
      </c>
      <c r="G1305" s="4">
        <v>135.84</v>
      </c>
      <c r="H1305" t="str">
        <f t="shared" si="20"/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 t="shared" si="20"/>
        <v>GUARDIAN</v>
      </c>
    </row>
    <row r="1307" spans="5:8" x14ac:dyDescent="0.25">
      <c r="E1307" t="str">
        <f>"GDC202101201263"</f>
        <v>GDC202101201263</v>
      </c>
      <c r="F1307" t="str">
        <f>"GUARDIAN"</f>
        <v>GUARDIAN</v>
      </c>
      <c r="G1307" s="4">
        <v>2803.29</v>
      </c>
      <c r="H1307" t="str">
        <f t="shared" si="20"/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 t="shared" si="20"/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 t="shared" si="20"/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 t="shared" si="20"/>
        <v>GUARDIAN</v>
      </c>
    </row>
    <row r="1311" spans="5:8" x14ac:dyDescent="0.25">
      <c r="E1311" t="str">
        <f>""</f>
        <v/>
      </c>
      <c r="F1311" t="str">
        <f>""</f>
        <v/>
      </c>
      <c r="H1311" t="str">
        <f t="shared" si="20"/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 t="shared" si="20"/>
        <v>GUARDIAN</v>
      </c>
    </row>
    <row r="1313" spans="5:8" x14ac:dyDescent="0.25">
      <c r="E1313" t="str">
        <f>""</f>
        <v/>
      </c>
      <c r="F1313" t="str">
        <f>""</f>
        <v/>
      </c>
      <c r="H1313" t="str">
        <f t="shared" si="20"/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 t="shared" si="20"/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 t="shared" si="20"/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0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0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0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0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0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0"/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 t="shared" si="20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0"/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 t="shared" ref="H1324:H1387" si="21">"GUARDIAN"</f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1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1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si="21"/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1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1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1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1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1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1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1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1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1"/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 t="shared" si="21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1"/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 t="shared" si="21"/>
        <v>GUARDIAN</v>
      </c>
    </row>
    <row r="1340" spans="5:8" x14ac:dyDescent="0.25">
      <c r="E1340" t="str">
        <f>"GDC202101201264"</f>
        <v>GDC202101201264</v>
      </c>
      <c r="F1340" t="str">
        <f>"GUARDIAN"</f>
        <v>GUARDIAN</v>
      </c>
      <c r="G1340" s="4">
        <v>135.84</v>
      </c>
      <c r="H1340" t="str">
        <f t="shared" si="21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1"/>
        <v>GUARDIAN</v>
      </c>
    </row>
    <row r="1342" spans="5:8" x14ac:dyDescent="0.25">
      <c r="E1342" t="str">
        <f>"GDE202101061055"</f>
        <v>GDE202101061055</v>
      </c>
      <c r="F1342" t="str">
        <f>"GUARDIAN"</f>
        <v>GUARDIAN</v>
      </c>
      <c r="G1342" s="4">
        <v>4463.1000000000004</v>
      </c>
      <c r="H1342" t="str">
        <f t="shared" si="21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1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1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1"/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 t="shared" si="21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si="21"/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 t="shared" si="21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1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1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1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1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1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1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1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1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1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1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1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1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21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1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21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21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21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21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21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1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21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1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21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1"/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 t="shared" si="21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1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1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1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1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1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21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1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1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1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1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1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1"/>
        <v>GUARDIAN</v>
      </c>
    </row>
    <row r="1386" spans="5:8" x14ac:dyDescent="0.25">
      <c r="E1386" t="str">
        <f>"GDE202101061056"</f>
        <v>GDE202101061056</v>
      </c>
      <c r="F1386" t="str">
        <f>"GUARDIAN"</f>
        <v>GUARDIAN</v>
      </c>
      <c r="G1386" s="4">
        <v>153.9</v>
      </c>
      <c r="H1386" t="str">
        <f t="shared" si="21"/>
        <v>GUARDIAN</v>
      </c>
    </row>
    <row r="1387" spans="5:8" x14ac:dyDescent="0.25">
      <c r="E1387" t="str">
        <f>"GDE202101201263"</f>
        <v>GDE202101201263</v>
      </c>
      <c r="F1387" t="str">
        <f>"GUARDIAN"</f>
        <v>GUARDIAN</v>
      </c>
      <c r="G1387" s="4">
        <v>4407.3900000000003</v>
      </c>
      <c r="H1387" t="str">
        <f t="shared" si="21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ref="H1388:H1451" si="22">"GUARDIAN"</f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2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2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22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2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22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22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22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2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22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22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22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22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22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22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22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22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22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22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22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22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2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2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22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22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2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2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2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2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2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22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2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22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2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2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2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2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2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2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2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2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2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2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2"/>
        <v>GUARDIAN</v>
      </c>
    </row>
    <row r="1432" spans="5:8" x14ac:dyDescent="0.25">
      <c r="E1432" t="str">
        <f>"GDE202101201264"</f>
        <v>GDE202101201264</v>
      </c>
      <c r="F1432" t="str">
        <f>"GUARDIAN"</f>
        <v>GUARDIAN</v>
      </c>
      <c r="G1432" s="4">
        <v>153.9</v>
      </c>
      <c r="H1432" t="str">
        <f t="shared" si="22"/>
        <v>GUARDIAN</v>
      </c>
    </row>
    <row r="1433" spans="5:8" x14ac:dyDescent="0.25">
      <c r="E1433" t="str">
        <f>"GDF202101061055"</f>
        <v>GDF202101061055</v>
      </c>
      <c r="F1433" t="str">
        <f>"GUARDIAN"</f>
        <v>GUARDIAN</v>
      </c>
      <c r="G1433" s="4">
        <v>2058.61</v>
      </c>
      <c r="H1433" t="str">
        <f t="shared" si="22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2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2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2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2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2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2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2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2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2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2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2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2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2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2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2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2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2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2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ref="H1452:H1515" si="23">"GUARDIAN"</f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3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3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3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3"/>
        <v>GUARDIAN</v>
      </c>
    </row>
    <row r="1457" spans="5:8" x14ac:dyDescent="0.25">
      <c r="E1457" t="str">
        <f>"GDF202101061056"</f>
        <v>GDF202101061056</v>
      </c>
      <c r="F1457" t="str">
        <f>"GUARDIAN"</f>
        <v>GUARDIAN</v>
      </c>
      <c r="G1457" s="4">
        <v>100.42</v>
      </c>
      <c r="H1457" t="str">
        <f t="shared" si="23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3"/>
        <v>GUARDIAN</v>
      </c>
    </row>
    <row r="1459" spans="5:8" x14ac:dyDescent="0.25">
      <c r="E1459" t="str">
        <f>"GDF202101201263"</f>
        <v>GDF202101201263</v>
      </c>
      <c r="F1459" t="str">
        <f>"GUARDIAN"</f>
        <v>GUARDIAN</v>
      </c>
      <c r="G1459" s="4">
        <v>2058.61</v>
      </c>
      <c r="H1459" t="str">
        <f t="shared" si="23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3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3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3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3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3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3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3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3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3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3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3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3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3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3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3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3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3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3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3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3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3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3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3"/>
        <v>GUARDIAN</v>
      </c>
    </row>
    <row r="1483" spans="5:8" x14ac:dyDescent="0.25">
      <c r="E1483" t="str">
        <f>"GDF202101201264"</f>
        <v>GDF202101201264</v>
      </c>
      <c r="F1483" t="str">
        <f>"GUARDIAN"</f>
        <v>GUARDIAN</v>
      </c>
      <c r="G1483" s="4">
        <v>100.42</v>
      </c>
      <c r="H1483" t="str">
        <f t="shared" si="23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3"/>
        <v>GUARDIAN</v>
      </c>
    </row>
    <row r="1485" spans="5:8" x14ac:dyDescent="0.25">
      <c r="E1485" t="str">
        <f>"GDS202101061055"</f>
        <v>GDS202101061055</v>
      </c>
      <c r="F1485" t="str">
        <f>"GUARDIAN"</f>
        <v>GUARDIAN</v>
      </c>
      <c r="G1485" s="4">
        <v>1923.24</v>
      </c>
      <c r="H1485" t="str">
        <f t="shared" si="23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3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3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3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3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3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3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3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3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3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3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3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3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3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3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3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3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3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3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3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3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3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3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3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3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3"/>
        <v>GUARDIAN</v>
      </c>
    </row>
    <row r="1511" spans="5:8" x14ac:dyDescent="0.25">
      <c r="E1511" t="str">
        <f>"GDS202101201263"</f>
        <v>GDS202101201263</v>
      </c>
      <c r="F1511" t="str">
        <f>"GUARDIAN"</f>
        <v>GUARDIAN</v>
      </c>
      <c r="G1511" s="4">
        <v>1923.24</v>
      </c>
      <c r="H1511" t="str">
        <f t="shared" si="23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3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3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3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3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ref="H1516:H1536" si="24">"GUARDIAN"</f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4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4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4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4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4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4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4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4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4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4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4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4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4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4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4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4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4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4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4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4"/>
        <v>GUARDIAN</v>
      </c>
    </row>
    <row r="1537" spans="5:8" x14ac:dyDescent="0.25">
      <c r="E1537" t="str">
        <f>"GV1202101061055"</f>
        <v>GV1202101061055</v>
      </c>
      <c r="F1537" t="str">
        <f>"GUARDIAN VISION"</f>
        <v>GUARDIAN VISION</v>
      </c>
      <c r="G1537" s="4">
        <v>453.6</v>
      </c>
      <c r="H1537" t="str">
        <f>"GUARDIAN VISION"</f>
        <v>GUARDIAN VISION</v>
      </c>
    </row>
    <row r="1538" spans="5:8" x14ac:dyDescent="0.25">
      <c r="E1538" t="str">
        <f>"GV1202101061056"</f>
        <v>GV1202101061056</v>
      </c>
      <c r="F1538" t="str">
        <f>"GUARDIAN VISION"</f>
        <v>GUARDIAN VISION</v>
      </c>
      <c r="G1538" s="4">
        <v>5.6</v>
      </c>
      <c r="H1538" t="str">
        <f>"GUARDIAN VISION"</f>
        <v>GUARDIAN VISION</v>
      </c>
    </row>
    <row r="1539" spans="5:8" x14ac:dyDescent="0.25">
      <c r="E1539" t="str">
        <f>"GV1202101201263"</f>
        <v>GV1202101201263</v>
      </c>
      <c r="F1539" t="str">
        <f>"GUARDIAN VISION"</f>
        <v>GUARDIAN VISION</v>
      </c>
      <c r="G1539" s="4">
        <v>448</v>
      </c>
      <c r="H1539" t="str">
        <f>"GUARDIAN VISION"</f>
        <v>GUARDIAN VISION</v>
      </c>
    </row>
    <row r="1540" spans="5:8" x14ac:dyDescent="0.25">
      <c r="E1540" t="str">
        <f>"GV1202101201264"</f>
        <v>GV1202101201264</v>
      </c>
      <c r="F1540" t="str">
        <f>"GUARDIAN VISION"</f>
        <v>GUARDIAN VISION</v>
      </c>
      <c r="G1540" s="4">
        <v>5.6</v>
      </c>
      <c r="H1540" t="str">
        <f>"GUARDIAN VISION"</f>
        <v>GUARDIAN VISION</v>
      </c>
    </row>
    <row r="1541" spans="5:8" x14ac:dyDescent="0.25">
      <c r="E1541" t="str">
        <f>"GVE202101061055"</f>
        <v>GVE202101061055</v>
      </c>
      <c r="F1541" t="str">
        <f>"GUARDIAN VISION VENDOR"</f>
        <v>GUARDIAN VISION VENDOR</v>
      </c>
      <c r="G1541" s="4">
        <v>601.47</v>
      </c>
      <c r="H1541" t="str">
        <f>"GUARDIAN VISION VENDOR"</f>
        <v>GUARDIAN VISION VENDOR</v>
      </c>
    </row>
    <row r="1542" spans="5:8" x14ac:dyDescent="0.25">
      <c r="E1542" t="str">
        <f>"GVE202101061056"</f>
        <v>GVE202101061056</v>
      </c>
      <c r="F1542" t="str">
        <f>"GUARDIAN VISION VENDOR"</f>
        <v>GUARDIAN VISION VENDOR</v>
      </c>
      <c r="G1542" s="4">
        <v>29.52</v>
      </c>
      <c r="H1542" t="str">
        <f>"GUARDIAN VISION VENDOR"</f>
        <v>GUARDIAN VISION VENDOR</v>
      </c>
    </row>
    <row r="1543" spans="5:8" x14ac:dyDescent="0.25">
      <c r="E1543" t="str">
        <f>"GVE202101201263"</f>
        <v>GVE202101201263</v>
      </c>
      <c r="F1543" t="str">
        <f>"GUARDIAN VISION VENDOR"</f>
        <v>GUARDIAN VISION VENDOR</v>
      </c>
      <c r="G1543" s="4">
        <v>592.04999999999995</v>
      </c>
      <c r="H1543" t="str">
        <f>"GUARDIAN VISION VENDOR"</f>
        <v>GUARDIAN VISION VENDOR</v>
      </c>
    </row>
    <row r="1544" spans="5:8" x14ac:dyDescent="0.25">
      <c r="E1544" t="str">
        <f>"GVE202101201264"</f>
        <v>GVE202101201264</v>
      </c>
      <c r="F1544" t="str">
        <f>"GUARDIAN VISION VENDOR"</f>
        <v>GUARDIAN VISION VENDOR</v>
      </c>
      <c r="G1544" s="4">
        <v>29.52</v>
      </c>
      <c r="H1544" t="str">
        <f>"GUARDIAN VISION VENDOR"</f>
        <v>GUARDIAN VISION VENDOR</v>
      </c>
    </row>
    <row r="1545" spans="5:8" x14ac:dyDescent="0.25">
      <c r="E1545" t="str">
        <f>"GVF202101061055"</f>
        <v>GVF202101061055</v>
      </c>
      <c r="F1545" t="str">
        <f>"GUARDIAN VISION"</f>
        <v>GUARDIAN VISION</v>
      </c>
      <c r="G1545" s="4">
        <v>541.75</v>
      </c>
      <c r="H1545" t="str">
        <f>"GUARDIAN VISION"</f>
        <v>GUARDIAN VISION</v>
      </c>
    </row>
    <row r="1546" spans="5:8" x14ac:dyDescent="0.25">
      <c r="E1546" t="str">
        <f>"GVF202101061056"</f>
        <v>GVF202101061056</v>
      </c>
      <c r="F1546" t="str">
        <f>"GUARDIAN VISION VENDOR"</f>
        <v>GUARDIAN VISION VENDOR</v>
      </c>
      <c r="G1546" s="4">
        <v>29.55</v>
      </c>
      <c r="H1546" t="str">
        <f>"GUARDIAN VISION VENDOR"</f>
        <v>GUARDIAN VISION VENDOR</v>
      </c>
    </row>
    <row r="1547" spans="5:8" x14ac:dyDescent="0.25">
      <c r="E1547" t="str">
        <f>"GVF202101201263"</f>
        <v>GVF202101201263</v>
      </c>
      <c r="F1547" t="str">
        <f>"GUARDIAN VISION"</f>
        <v>GUARDIAN VISION</v>
      </c>
      <c r="G1547" s="4">
        <v>541.75</v>
      </c>
      <c r="H1547" t="str">
        <f>"GUARDIAN VISION"</f>
        <v>GUARDIAN VISION</v>
      </c>
    </row>
    <row r="1548" spans="5:8" x14ac:dyDescent="0.25">
      <c r="E1548" t="str">
        <f>"GVF202101201264"</f>
        <v>GVF202101201264</v>
      </c>
      <c r="F1548" t="str">
        <f>"GUARDIAN VISION VENDOR"</f>
        <v>GUARDIAN VISION VENDOR</v>
      </c>
      <c r="G1548" s="4">
        <v>29.55</v>
      </c>
      <c r="H1548" t="str">
        <f>"GUARDIAN VISION VENDOR"</f>
        <v>GUARDIAN VISION VENDOR</v>
      </c>
    </row>
    <row r="1549" spans="5:8" x14ac:dyDescent="0.25">
      <c r="E1549" t="str">
        <f>"LIA202101061055"</f>
        <v>LIA202101061055</v>
      </c>
      <c r="F1549" t="str">
        <f>"GUARDIAN"</f>
        <v>GUARDIAN</v>
      </c>
      <c r="G1549" s="4">
        <v>231.69</v>
      </c>
      <c r="H1549" t="str">
        <f t="shared" ref="H1549:H1580" si="25">"GUARDIAN"</f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5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5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5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5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5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5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5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5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5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5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5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5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5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5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5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5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5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5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5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5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5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5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5"/>
        <v>GUARDIAN</v>
      </c>
    </row>
    <row r="1573" spans="5:8" x14ac:dyDescent="0.25">
      <c r="E1573" t="str">
        <f>"LIA202101061056"</f>
        <v>LIA202101061056</v>
      </c>
      <c r="F1573" t="str">
        <f>"GUARDIAN"</f>
        <v>GUARDIAN</v>
      </c>
      <c r="G1573" s="4">
        <v>41.37</v>
      </c>
      <c r="H1573" t="str">
        <f t="shared" si="25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5"/>
        <v>GUARDIAN</v>
      </c>
    </row>
    <row r="1575" spans="5:8" x14ac:dyDescent="0.25">
      <c r="E1575" t="str">
        <f>"LIA202101201263"</f>
        <v>LIA202101201263</v>
      </c>
      <c r="F1575" t="str">
        <f>"GUARDIAN"</f>
        <v>GUARDIAN</v>
      </c>
      <c r="G1575" s="4">
        <v>231.69</v>
      </c>
      <c r="H1575" t="str">
        <f t="shared" si="25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5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5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5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5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5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ref="H1581:H1612" si="26">"GUARDIAN"</f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6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6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6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6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6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6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6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6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6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6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6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6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6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6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6"/>
        <v>GUARDIAN</v>
      </c>
    </row>
    <row r="1599" spans="5:8" x14ac:dyDescent="0.25">
      <c r="E1599" t="str">
        <f>"LIA202101201264"</f>
        <v>LIA202101201264</v>
      </c>
      <c r="F1599" t="str">
        <f>"GUARDIAN"</f>
        <v>GUARDIAN</v>
      </c>
      <c r="G1599" s="4">
        <v>40.99</v>
      </c>
      <c r="H1599" t="str">
        <f t="shared" si="26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6"/>
        <v>GUARDIAN</v>
      </c>
    </row>
    <row r="1601" spans="5:8" x14ac:dyDescent="0.25">
      <c r="E1601" t="str">
        <f>"LIC202101061055"</f>
        <v>LIC202101061055</v>
      </c>
      <c r="F1601" t="str">
        <f>"GUARDIAN"</f>
        <v>GUARDIAN</v>
      </c>
      <c r="G1601" s="4">
        <v>34.299999999999997</v>
      </c>
      <c r="H1601" t="str">
        <f t="shared" si="26"/>
        <v>GUARDIAN</v>
      </c>
    </row>
    <row r="1602" spans="5:8" x14ac:dyDescent="0.25">
      <c r="E1602" t="str">
        <f>"LIC202101061056"</f>
        <v>LIC202101061056</v>
      </c>
      <c r="F1602" t="str">
        <f>"GUARDIAN"</f>
        <v>GUARDIAN</v>
      </c>
      <c r="G1602" s="4">
        <v>1.05</v>
      </c>
      <c r="H1602" t="str">
        <f t="shared" si="26"/>
        <v>GUARDIAN</v>
      </c>
    </row>
    <row r="1603" spans="5:8" x14ac:dyDescent="0.25">
      <c r="E1603" t="str">
        <f>"LIC202101201263"</f>
        <v>LIC202101201263</v>
      </c>
      <c r="F1603" t="str">
        <f>"GUARDIAN"</f>
        <v>GUARDIAN</v>
      </c>
      <c r="G1603" s="4">
        <v>32.9</v>
      </c>
      <c r="H1603" t="str">
        <f t="shared" si="26"/>
        <v>GUARDIAN</v>
      </c>
    </row>
    <row r="1604" spans="5:8" x14ac:dyDescent="0.25">
      <c r="E1604" t="str">
        <f>"LIC202101201264"</f>
        <v>LIC202101201264</v>
      </c>
      <c r="F1604" t="str">
        <f>"GUARDIAN"</f>
        <v>GUARDIAN</v>
      </c>
      <c r="G1604" s="4">
        <v>1.05</v>
      </c>
      <c r="H1604" t="str">
        <f t="shared" si="26"/>
        <v>GUARDIAN</v>
      </c>
    </row>
    <row r="1605" spans="5:8" x14ac:dyDescent="0.25">
      <c r="E1605" t="str">
        <f>"LIE202101061055"</f>
        <v>LIE202101061055</v>
      </c>
      <c r="F1605" t="str">
        <f>"GUARDIAN"</f>
        <v>GUARDIAN</v>
      </c>
      <c r="G1605" s="4">
        <v>3857.75</v>
      </c>
      <c r="H1605" t="str">
        <f t="shared" si="26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6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6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6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6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6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6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6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ref="H1613:H1644" si="27">"GUARDIAN"</f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7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7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7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7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7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7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7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ref="H1645:H1676" si="28">"GUARDIAN"</f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8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8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8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8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8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8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8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8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8"/>
        <v>GUARDIAN</v>
      </c>
    </row>
    <row r="1656" spans="5:8" x14ac:dyDescent="0.25">
      <c r="E1656" t="str">
        <f>"LIE202101061056"</f>
        <v>LIE202101061056</v>
      </c>
      <c r="F1656" t="str">
        <f>"GUARDIAN"</f>
        <v>GUARDIAN</v>
      </c>
      <c r="G1656" s="4">
        <v>94.25</v>
      </c>
      <c r="H1656" t="str">
        <f t="shared" si="28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8"/>
        <v>GUARDIAN</v>
      </c>
    </row>
    <row r="1658" spans="5:8" x14ac:dyDescent="0.25">
      <c r="E1658" t="str">
        <f>"LIE202101201263"</f>
        <v>LIE202101201263</v>
      </c>
      <c r="F1658" t="str">
        <f>"GUARDIAN"</f>
        <v>GUARDIAN</v>
      </c>
      <c r="G1658" s="4">
        <v>3811.68</v>
      </c>
      <c r="H1658" t="str">
        <f t="shared" si="28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8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8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8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8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8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8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8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8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8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8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8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ref="H1677:H1708" si="29">"GUARDIAN"</f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9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9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9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9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9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9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9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9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9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9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9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9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9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9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9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9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9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9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9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9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9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9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9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9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9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9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9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9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9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9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9"/>
        <v>GUARDIAN</v>
      </c>
    </row>
    <row r="1709" spans="5:8" x14ac:dyDescent="0.25">
      <c r="E1709" t="str">
        <f>"LIE202101201264"</f>
        <v>LIE202101201264</v>
      </c>
      <c r="F1709" t="str">
        <f>"GUARDIAN"</f>
        <v>GUARDIAN</v>
      </c>
      <c r="G1709" s="4">
        <v>94.25</v>
      </c>
      <c r="H1709" t="str">
        <f t="shared" ref="H1709:H1720" si="30">"GUARDIAN"</f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30"/>
        <v>GUARDIAN</v>
      </c>
    </row>
    <row r="1711" spans="5:8" x14ac:dyDescent="0.25">
      <c r="E1711" t="str">
        <f>"LIS202101061055"</f>
        <v>LIS202101061055</v>
      </c>
      <c r="F1711" t="str">
        <f t="shared" ref="F1711:F1720" si="31">"GUARDIAN"</f>
        <v>GUARDIAN</v>
      </c>
      <c r="G1711" s="4">
        <v>511.43</v>
      </c>
      <c r="H1711" t="str">
        <f t="shared" si="30"/>
        <v>GUARDIAN</v>
      </c>
    </row>
    <row r="1712" spans="5:8" x14ac:dyDescent="0.25">
      <c r="E1712" t="str">
        <f>"LIS202101061056"</f>
        <v>LIS202101061056</v>
      </c>
      <c r="F1712" t="str">
        <f t="shared" si="31"/>
        <v>GUARDIAN</v>
      </c>
      <c r="G1712" s="4">
        <v>36.15</v>
      </c>
      <c r="H1712" t="str">
        <f t="shared" si="30"/>
        <v>GUARDIAN</v>
      </c>
    </row>
    <row r="1713" spans="1:8" x14ac:dyDescent="0.25">
      <c r="E1713" t="str">
        <f>"LIS202101201263"</f>
        <v>LIS202101201263</v>
      </c>
      <c r="F1713" t="str">
        <f t="shared" si="31"/>
        <v>GUARDIAN</v>
      </c>
      <c r="G1713" s="4">
        <v>501.17</v>
      </c>
      <c r="H1713" t="str">
        <f t="shared" si="30"/>
        <v>GUARDIAN</v>
      </c>
    </row>
    <row r="1714" spans="1:8" x14ac:dyDescent="0.25">
      <c r="E1714" t="str">
        <f>"LIS202101201264"</f>
        <v>LIS202101201264</v>
      </c>
      <c r="F1714" t="str">
        <f t="shared" si="31"/>
        <v>GUARDIAN</v>
      </c>
      <c r="G1714" s="4">
        <v>36.15</v>
      </c>
      <c r="H1714" t="str">
        <f t="shared" si="30"/>
        <v>GUARDIAN</v>
      </c>
    </row>
    <row r="1715" spans="1:8" x14ac:dyDescent="0.25">
      <c r="E1715" t="str">
        <f>"LTD202101061055"</f>
        <v>LTD202101061055</v>
      </c>
      <c r="F1715" t="str">
        <f t="shared" si="31"/>
        <v>GUARDIAN</v>
      </c>
      <c r="G1715" s="4">
        <v>953.44</v>
      </c>
      <c r="H1715" t="str">
        <f t="shared" si="30"/>
        <v>GUARDIAN</v>
      </c>
    </row>
    <row r="1716" spans="1:8" x14ac:dyDescent="0.25">
      <c r="E1716" t="str">
        <f>"LTD202101201263"</f>
        <v>LTD202101201263</v>
      </c>
      <c r="F1716" t="str">
        <f t="shared" si="31"/>
        <v>GUARDIAN</v>
      </c>
      <c r="G1716" s="4">
        <v>953.44</v>
      </c>
      <c r="H1716" t="str">
        <f t="shared" si="30"/>
        <v>GUARDIAN</v>
      </c>
    </row>
    <row r="1717" spans="1:8" x14ac:dyDescent="0.25">
      <c r="A1717" t="s">
        <v>357</v>
      </c>
      <c r="B1717">
        <v>884</v>
      </c>
      <c r="C1717" s="4">
        <v>98.36</v>
      </c>
      <c r="D1717" s="1">
        <v>44223</v>
      </c>
      <c r="E1717" t="str">
        <f>"AEG202101061055"</f>
        <v>AEG202101061055</v>
      </c>
      <c r="F1717" t="str">
        <f t="shared" si="31"/>
        <v>GUARDIAN</v>
      </c>
      <c r="G1717" s="4">
        <v>6.66</v>
      </c>
      <c r="H1717" t="str">
        <f t="shared" si="30"/>
        <v>GUARDIAN</v>
      </c>
    </row>
    <row r="1718" spans="1:8" x14ac:dyDescent="0.25">
      <c r="E1718" t="str">
        <f>"AEG202101201263"</f>
        <v>AEG202101201263</v>
      </c>
      <c r="F1718" t="str">
        <f t="shared" si="31"/>
        <v>GUARDIAN</v>
      </c>
      <c r="G1718" s="4">
        <v>6.66</v>
      </c>
      <c r="H1718" t="str">
        <f t="shared" si="30"/>
        <v>GUARDIAN</v>
      </c>
    </row>
    <row r="1719" spans="1:8" x14ac:dyDescent="0.25">
      <c r="E1719" t="str">
        <f>"AFG202101061055"</f>
        <v>AFG202101061055</v>
      </c>
      <c r="F1719" t="str">
        <f t="shared" si="31"/>
        <v>GUARDIAN</v>
      </c>
      <c r="G1719" s="4">
        <v>42.52</v>
      </c>
      <c r="H1719" t="str">
        <f t="shared" si="30"/>
        <v>GUARDIAN</v>
      </c>
    </row>
    <row r="1720" spans="1:8" x14ac:dyDescent="0.25">
      <c r="E1720" t="str">
        <f>"AFG202101201263"</f>
        <v>AFG202101201263</v>
      </c>
      <c r="F1720" t="str">
        <f t="shared" si="31"/>
        <v>GUARDIAN</v>
      </c>
      <c r="G1720" s="4">
        <v>42.52</v>
      </c>
      <c r="H1720" t="str">
        <f t="shared" si="30"/>
        <v>GUARDIAN</v>
      </c>
    </row>
    <row r="1721" spans="1:8" x14ac:dyDescent="0.25">
      <c r="A1721" t="s">
        <v>358</v>
      </c>
      <c r="B1721">
        <v>848</v>
      </c>
      <c r="C1721" s="4">
        <v>249394.74</v>
      </c>
      <c r="D1721" s="1">
        <v>44204</v>
      </c>
      <c r="E1721" t="str">
        <f>"T1 202101061055"</f>
        <v>T1 202101061055</v>
      </c>
      <c r="F1721" t="str">
        <f>"FEDERAL WITHHOLDING"</f>
        <v>FEDERAL WITHHOLDING</v>
      </c>
      <c r="G1721" s="4">
        <v>83747.67</v>
      </c>
      <c r="H1721" t="str">
        <f>"FEDERAL WITHHOLDING"</f>
        <v>FEDERAL WITHHOLDING</v>
      </c>
    </row>
    <row r="1722" spans="1:8" x14ac:dyDescent="0.25">
      <c r="E1722" t="str">
        <f>"T1 202101061056"</f>
        <v>T1 202101061056</v>
      </c>
      <c r="F1722" t="str">
        <f>"FEDERAL WITHHOLDING"</f>
        <v>FEDERAL WITHHOLDING</v>
      </c>
      <c r="G1722" s="4">
        <v>2874.42</v>
      </c>
      <c r="H1722" t="str">
        <f>"FEDERAL WITHHOLDING"</f>
        <v>FEDERAL WITHHOLDING</v>
      </c>
    </row>
    <row r="1723" spans="1:8" x14ac:dyDescent="0.25">
      <c r="E1723" t="str">
        <f>"T1 202101061057"</f>
        <v>T1 202101061057</v>
      </c>
      <c r="F1723" t="str">
        <f>"FEDERAL WITHHOLDING"</f>
        <v>FEDERAL WITHHOLDING</v>
      </c>
      <c r="G1723" s="4">
        <v>3188.71</v>
      </c>
      <c r="H1723" t="str">
        <f>"FEDERAL WITHHOLDING"</f>
        <v>FEDERAL WITHHOLDING</v>
      </c>
    </row>
    <row r="1724" spans="1:8" x14ac:dyDescent="0.25">
      <c r="E1724" t="str">
        <f>"T3 202101061055"</f>
        <v>T3 202101061055</v>
      </c>
      <c r="F1724" t="str">
        <f>"SOCIAL SECURITY TAXES"</f>
        <v>SOCIAL SECURITY TAXES</v>
      </c>
      <c r="G1724" s="4">
        <v>120687.7</v>
      </c>
      <c r="H1724" t="str">
        <f t="shared" ref="H1724:H1755" si="32">"SOCIAL SECURITY TAXES"</f>
        <v>SOCIAL SECURITY TAXES</v>
      </c>
    </row>
    <row r="1725" spans="1:8" x14ac:dyDescent="0.25">
      <c r="E1725" t="str">
        <f>""</f>
        <v/>
      </c>
      <c r="F1725" t="str">
        <f>""</f>
        <v/>
      </c>
      <c r="H1725" t="str">
        <f t="shared" si="32"/>
        <v>SOCIAL SECURITY TAXES</v>
      </c>
    </row>
    <row r="1726" spans="1:8" x14ac:dyDescent="0.25">
      <c r="E1726" t="str">
        <f>""</f>
        <v/>
      </c>
      <c r="F1726" t="str">
        <f>""</f>
        <v/>
      </c>
      <c r="H1726" t="str">
        <f t="shared" si="32"/>
        <v>SOCIAL SECURITY TAXES</v>
      </c>
    </row>
    <row r="1727" spans="1:8" x14ac:dyDescent="0.25">
      <c r="E1727" t="str">
        <f>""</f>
        <v/>
      </c>
      <c r="F1727" t="str">
        <f>""</f>
        <v/>
      </c>
      <c r="H1727" t="str">
        <f t="shared" si="32"/>
        <v>SOCIAL SECURITY TAXES</v>
      </c>
    </row>
    <row r="1728" spans="1:8" x14ac:dyDescent="0.25">
      <c r="E1728" t="str">
        <f>""</f>
        <v/>
      </c>
      <c r="F1728" t="str">
        <f>""</f>
        <v/>
      </c>
      <c r="H1728" t="str">
        <f t="shared" si="32"/>
        <v>SOCIAL SECURITY TAXES</v>
      </c>
    </row>
    <row r="1729" spans="5:8" x14ac:dyDescent="0.25">
      <c r="E1729" t="str">
        <f>""</f>
        <v/>
      </c>
      <c r="F1729" t="str">
        <f>""</f>
        <v/>
      </c>
      <c r="H1729" t="str">
        <f t="shared" si="32"/>
        <v>SOCIAL SECURITY TAXES</v>
      </c>
    </row>
    <row r="1730" spans="5:8" x14ac:dyDescent="0.25">
      <c r="E1730" t="str">
        <f>""</f>
        <v/>
      </c>
      <c r="F1730" t="str">
        <f>""</f>
        <v/>
      </c>
      <c r="H1730" t="str">
        <f t="shared" si="32"/>
        <v>SOCIAL SECURITY TAXES</v>
      </c>
    </row>
    <row r="1731" spans="5:8" x14ac:dyDescent="0.25">
      <c r="E1731" t="str">
        <f>""</f>
        <v/>
      </c>
      <c r="F1731" t="str">
        <f>""</f>
        <v/>
      </c>
      <c r="H1731" t="str">
        <f t="shared" si="32"/>
        <v>SOCIAL SECURITY TAXES</v>
      </c>
    </row>
    <row r="1732" spans="5:8" x14ac:dyDescent="0.25">
      <c r="E1732" t="str">
        <f>""</f>
        <v/>
      </c>
      <c r="F1732" t="str">
        <f>""</f>
        <v/>
      </c>
      <c r="H1732" t="str">
        <f t="shared" si="32"/>
        <v>SOCIAL SECURITY TAXES</v>
      </c>
    </row>
    <row r="1733" spans="5:8" x14ac:dyDescent="0.25">
      <c r="E1733" t="str">
        <f>""</f>
        <v/>
      </c>
      <c r="F1733" t="str">
        <f>""</f>
        <v/>
      </c>
      <c r="H1733" t="str">
        <f t="shared" si="32"/>
        <v>SOCIAL SECURITY TAXES</v>
      </c>
    </row>
    <row r="1734" spans="5:8" x14ac:dyDescent="0.25">
      <c r="E1734" t="str">
        <f>""</f>
        <v/>
      </c>
      <c r="F1734" t="str">
        <f>""</f>
        <v/>
      </c>
      <c r="H1734" t="str">
        <f t="shared" si="32"/>
        <v>SOCIAL SECURITY TAXES</v>
      </c>
    </row>
    <row r="1735" spans="5:8" x14ac:dyDescent="0.25">
      <c r="E1735" t="str">
        <f>""</f>
        <v/>
      </c>
      <c r="F1735" t="str">
        <f>""</f>
        <v/>
      </c>
      <c r="H1735" t="str">
        <f t="shared" si="32"/>
        <v>SOCIAL SECURITY TAXES</v>
      </c>
    </row>
    <row r="1736" spans="5:8" x14ac:dyDescent="0.25">
      <c r="E1736" t="str">
        <f>""</f>
        <v/>
      </c>
      <c r="F1736" t="str">
        <f>""</f>
        <v/>
      </c>
      <c r="H1736" t="str">
        <f t="shared" si="32"/>
        <v>SOCIAL SECURITY TAXES</v>
      </c>
    </row>
    <row r="1737" spans="5:8" x14ac:dyDescent="0.25">
      <c r="E1737" t="str">
        <f>""</f>
        <v/>
      </c>
      <c r="F1737" t="str">
        <f>""</f>
        <v/>
      </c>
      <c r="H1737" t="str">
        <f t="shared" si="32"/>
        <v>SOCIAL SECURITY TAXES</v>
      </c>
    </row>
    <row r="1738" spans="5:8" x14ac:dyDescent="0.25">
      <c r="E1738" t="str">
        <f>""</f>
        <v/>
      </c>
      <c r="F1738" t="str">
        <f>""</f>
        <v/>
      </c>
      <c r="H1738" t="str">
        <f t="shared" si="32"/>
        <v>SOCIAL SECURITY TAXES</v>
      </c>
    </row>
    <row r="1739" spans="5:8" x14ac:dyDescent="0.25">
      <c r="E1739" t="str">
        <f>""</f>
        <v/>
      </c>
      <c r="F1739" t="str">
        <f>""</f>
        <v/>
      </c>
      <c r="H1739" t="str">
        <f t="shared" si="32"/>
        <v>SOCIAL SECURITY TAXES</v>
      </c>
    </row>
    <row r="1740" spans="5:8" x14ac:dyDescent="0.25">
      <c r="E1740" t="str">
        <f>""</f>
        <v/>
      </c>
      <c r="F1740" t="str">
        <f>""</f>
        <v/>
      </c>
      <c r="H1740" t="str">
        <f t="shared" si="32"/>
        <v>SOCIAL SECURITY TAXES</v>
      </c>
    </row>
    <row r="1741" spans="5:8" x14ac:dyDescent="0.25">
      <c r="E1741" t="str">
        <f>""</f>
        <v/>
      </c>
      <c r="F1741" t="str">
        <f>""</f>
        <v/>
      </c>
      <c r="H1741" t="str">
        <f t="shared" si="32"/>
        <v>SOCIAL SECURITY TAXES</v>
      </c>
    </row>
    <row r="1742" spans="5:8" x14ac:dyDescent="0.25">
      <c r="E1742" t="str">
        <f>""</f>
        <v/>
      </c>
      <c r="F1742" t="str">
        <f>""</f>
        <v/>
      </c>
      <c r="H1742" t="str">
        <f t="shared" si="32"/>
        <v>SOCIAL SECURITY TAXES</v>
      </c>
    </row>
    <row r="1743" spans="5:8" x14ac:dyDescent="0.25">
      <c r="E1743" t="str">
        <f>""</f>
        <v/>
      </c>
      <c r="F1743" t="str">
        <f>""</f>
        <v/>
      </c>
      <c r="H1743" t="str">
        <f t="shared" si="32"/>
        <v>SOCIAL SECURITY TAXES</v>
      </c>
    </row>
    <row r="1744" spans="5:8" x14ac:dyDescent="0.25">
      <c r="E1744" t="str">
        <f>""</f>
        <v/>
      </c>
      <c r="F1744" t="str">
        <f>""</f>
        <v/>
      </c>
      <c r="H1744" t="str">
        <f t="shared" si="32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32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32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32"/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32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32"/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32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32"/>
        <v>SOCIAL SECURITY TAXES</v>
      </c>
    </row>
    <row r="1752" spans="5:8" x14ac:dyDescent="0.25">
      <c r="E1752" t="str">
        <f>""</f>
        <v/>
      </c>
      <c r="F1752" t="str">
        <f>""</f>
        <v/>
      </c>
      <c r="H1752" t="str">
        <f t="shared" si="32"/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32"/>
        <v>SOCIAL SECURITY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32"/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32"/>
        <v>SOCIAL SECURITY TAXES</v>
      </c>
    </row>
    <row r="1756" spans="5:8" x14ac:dyDescent="0.25">
      <c r="E1756" t="str">
        <f>""</f>
        <v/>
      </c>
      <c r="F1756" t="str">
        <f>""</f>
        <v/>
      </c>
      <c r="H1756" t="str">
        <f t="shared" ref="H1756:H1781" si="33">"SOCIAL SECURITY TAXES"</f>
        <v>SOCIAL SECURITY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33"/>
        <v>SOCIAL SECURITY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33"/>
        <v>SOCIAL SECURITY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33"/>
        <v>SOCIAL SECURITY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33"/>
        <v>SOCIAL SECURITY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33"/>
        <v>SOCIAL SECURITY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33"/>
        <v>SOCIAL SECURITY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33"/>
        <v>SOCIAL SECURITY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33"/>
        <v>SOCIAL SECURITY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33"/>
        <v>SOCIAL SECURITY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33"/>
        <v>SOCIAL SECURITY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33"/>
        <v>SOCIAL SECURITY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33"/>
        <v>SOCIAL SECURITY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33"/>
        <v>SOCIAL SECURITY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33"/>
        <v>SOCIAL SECURITY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33"/>
        <v>SOCIAL SECURITY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33"/>
        <v>SOCIAL SECURITY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33"/>
        <v>SOCIAL SECURITY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33"/>
        <v>SOCIAL SECURITY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33"/>
        <v>SOCIAL SECURITY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33"/>
        <v>SOCIAL SECURITY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33"/>
        <v>SOCIAL SECURITY TAXES</v>
      </c>
    </row>
    <row r="1778" spans="5:8" x14ac:dyDescent="0.25">
      <c r="E1778" t="str">
        <f>"T3 202101061056"</f>
        <v>T3 202101061056</v>
      </c>
      <c r="F1778" t="str">
        <f>"SOCIAL SECURITY TAXES"</f>
        <v>SOCIAL SECURITY TAXES</v>
      </c>
      <c r="G1778" s="4">
        <v>4023.62</v>
      </c>
      <c r="H1778" t="str">
        <f t="shared" si="33"/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33"/>
        <v>SOCIAL SECURITY TAXES</v>
      </c>
    </row>
    <row r="1780" spans="5:8" x14ac:dyDescent="0.25">
      <c r="E1780" t="str">
        <f>"T3 202101061057"</f>
        <v>T3 202101061057</v>
      </c>
      <c r="F1780" t="str">
        <f>"SOCIAL SECURITY TAXES"</f>
        <v>SOCIAL SECURITY TAXES</v>
      </c>
      <c r="G1780" s="4">
        <v>4624.58</v>
      </c>
      <c r="H1780" t="str">
        <f t="shared" si="33"/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33"/>
        <v>SOCIAL SECURITY TAXES</v>
      </c>
    </row>
    <row r="1782" spans="5:8" x14ac:dyDescent="0.25">
      <c r="E1782" t="str">
        <f>"T4 202101061055"</f>
        <v>T4 202101061055</v>
      </c>
      <c r="F1782" t="str">
        <f>"MEDICARE TAXES"</f>
        <v>MEDICARE TAXES</v>
      </c>
      <c r="G1782" s="4">
        <v>28225.38</v>
      </c>
      <c r="H1782" t="str">
        <f t="shared" ref="H1782:H1813" si="34">"MEDICARE TAXES"</f>
        <v>MEDICARE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34"/>
        <v>MEDICARE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34"/>
        <v>MEDICARE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34"/>
        <v>MEDICARE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34"/>
        <v>MEDICARE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34"/>
        <v>MEDICARE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34"/>
        <v>MEDICARE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34"/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34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34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34"/>
        <v>MEDICARE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34"/>
        <v>MEDICARE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34"/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34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34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34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34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34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34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34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34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34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34"/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34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34"/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34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34"/>
        <v>MEDICARE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34"/>
        <v>MEDICARE TAXES</v>
      </c>
    </row>
    <row r="1810" spans="5:8" x14ac:dyDescent="0.25">
      <c r="E1810" t="str">
        <f>""</f>
        <v/>
      </c>
      <c r="F1810" t="str">
        <f>""</f>
        <v/>
      </c>
      <c r="H1810" t="str">
        <f t="shared" si="34"/>
        <v>MEDICARE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34"/>
        <v>MEDICARE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34"/>
        <v>MEDICARE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34"/>
        <v>MEDICARE TAXES</v>
      </c>
    </row>
    <row r="1814" spans="5:8" x14ac:dyDescent="0.25">
      <c r="E1814" t="str">
        <f>""</f>
        <v/>
      </c>
      <c r="F1814" t="str">
        <f>""</f>
        <v/>
      </c>
      <c r="H1814" t="str">
        <f t="shared" ref="H1814:H1839" si="35">"MEDICARE TAXES"</f>
        <v>MEDICARE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35"/>
        <v>MEDICARE TAXES</v>
      </c>
    </row>
    <row r="1816" spans="5:8" x14ac:dyDescent="0.25">
      <c r="E1816" t="str">
        <f>""</f>
        <v/>
      </c>
      <c r="F1816" t="str">
        <f>""</f>
        <v/>
      </c>
      <c r="H1816" t="str">
        <f t="shared" si="35"/>
        <v>MEDICARE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35"/>
        <v>MEDICARE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35"/>
        <v>MEDICARE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35"/>
        <v>MEDICARE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35"/>
        <v>MEDICARE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35"/>
        <v>MEDICARE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35"/>
        <v>MEDICARE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35"/>
        <v>MEDICARE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35"/>
        <v>MEDICARE TAXES</v>
      </c>
    </row>
    <row r="1825" spans="1:8" x14ac:dyDescent="0.25">
      <c r="E1825" t="str">
        <f>""</f>
        <v/>
      </c>
      <c r="F1825" t="str">
        <f>""</f>
        <v/>
      </c>
      <c r="H1825" t="str">
        <f t="shared" si="35"/>
        <v>MEDICARE TAXES</v>
      </c>
    </row>
    <row r="1826" spans="1:8" x14ac:dyDescent="0.25">
      <c r="E1826" t="str">
        <f>""</f>
        <v/>
      </c>
      <c r="F1826" t="str">
        <f>""</f>
        <v/>
      </c>
      <c r="H1826" t="str">
        <f t="shared" si="35"/>
        <v>MEDICARE TAXES</v>
      </c>
    </row>
    <row r="1827" spans="1:8" x14ac:dyDescent="0.25">
      <c r="E1827" t="str">
        <f>""</f>
        <v/>
      </c>
      <c r="F1827" t="str">
        <f>""</f>
        <v/>
      </c>
      <c r="H1827" t="str">
        <f t="shared" si="35"/>
        <v>MEDICARE TAXES</v>
      </c>
    </row>
    <row r="1828" spans="1:8" x14ac:dyDescent="0.25">
      <c r="E1828" t="str">
        <f>""</f>
        <v/>
      </c>
      <c r="F1828" t="str">
        <f>""</f>
        <v/>
      </c>
      <c r="H1828" t="str">
        <f t="shared" si="35"/>
        <v>MEDICARE TAXES</v>
      </c>
    </row>
    <row r="1829" spans="1:8" x14ac:dyDescent="0.25">
      <c r="E1829" t="str">
        <f>""</f>
        <v/>
      </c>
      <c r="F1829" t="str">
        <f>""</f>
        <v/>
      </c>
      <c r="H1829" t="str">
        <f t="shared" si="35"/>
        <v>MEDICARE TAXES</v>
      </c>
    </row>
    <row r="1830" spans="1:8" x14ac:dyDescent="0.25">
      <c r="E1830" t="str">
        <f>""</f>
        <v/>
      </c>
      <c r="F1830" t="str">
        <f>""</f>
        <v/>
      </c>
      <c r="H1830" t="str">
        <f t="shared" si="35"/>
        <v>MEDICARE TAXES</v>
      </c>
    </row>
    <row r="1831" spans="1:8" x14ac:dyDescent="0.25">
      <c r="E1831" t="str">
        <f>""</f>
        <v/>
      </c>
      <c r="F1831" t="str">
        <f>""</f>
        <v/>
      </c>
      <c r="H1831" t="str">
        <f t="shared" si="35"/>
        <v>MEDICARE TAXES</v>
      </c>
    </row>
    <row r="1832" spans="1:8" x14ac:dyDescent="0.25">
      <c r="E1832" t="str">
        <f>""</f>
        <v/>
      </c>
      <c r="F1832" t="str">
        <f>""</f>
        <v/>
      </c>
      <c r="H1832" t="str">
        <f t="shared" si="35"/>
        <v>MEDICARE TAXES</v>
      </c>
    </row>
    <row r="1833" spans="1:8" x14ac:dyDescent="0.25">
      <c r="E1833" t="str">
        <f>""</f>
        <v/>
      </c>
      <c r="F1833" t="str">
        <f>""</f>
        <v/>
      </c>
      <c r="H1833" t="str">
        <f t="shared" si="35"/>
        <v>MEDICARE TAXES</v>
      </c>
    </row>
    <row r="1834" spans="1:8" x14ac:dyDescent="0.25">
      <c r="E1834" t="str">
        <f>""</f>
        <v/>
      </c>
      <c r="F1834" t="str">
        <f>""</f>
        <v/>
      </c>
      <c r="H1834" t="str">
        <f t="shared" si="35"/>
        <v>MEDICARE TAXES</v>
      </c>
    </row>
    <row r="1835" spans="1:8" x14ac:dyDescent="0.25">
      <c r="E1835" t="str">
        <f>""</f>
        <v/>
      </c>
      <c r="F1835" t="str">
        <f>""</f>
        <v/>
      </c>
      <c r="H1835" t="str">
        <f t="shared" si="35"/>
        <v>MEDICARE TAXES</v>
      </c>
    </row>
    <row r="1836" spans="1:8" x14ac:dyDescent="0.25">
      <c r="E1836" t="str">
        <f>"T4 202101061056"</f>
        <v>T4 202101061056</v>
      </c>
      <c r="F1836" t="str">
        <f>"MEDICARE TAXES"</f>
        <v>MEDICARE TAXES</v>
      </c>
      <c r="G1836" s="4">
        <v>941.06</v>
      </c>
      <c r="H1836" t="str">
        <f t="shared" si="35"/>
        <v>MEDICARE TAXES</v>
      </c>
    </row>
    <row r="1837" spans="1:8" x14ac:dyDescent="0.25">
      <c r="E1837" t="str">
        <f>""</f>
        <v/>
      </c>
      <c r="F1837" t="str">
        <f>""</f>
        <v/>
      </c>
      <c r="H1837" t="str">
        <f t="shared" si="35"/>
        <v>MEDICARE TAXES</v>
      </c>
    </row>
    <row r="1838" spans="1:8" x14ac:dyDescent="0.25">
      <c r="E1838" t="str">
        <f>"T4 202101061057"</f>
        <v>T4 202101061057</v>
      </c>
      <c r="F1838" t="str">
        <f>"MEDICARE TAXES"</f>
        <v>MEDICARE TAXES</v>
      </c>
      <c r="G1838" s="4">
        <v>1081.5999999999999</v>
      </c>
      <c r="H1838" t="str">
        <f t="shared" si="35"/>
        <v>MEDICARE TAXES</v>
      </c>
    </row>
    <row r="1839" spans="1:8" x14ac:dyDescent="0.25">
      <c r="E1839" t="str">
        <f>""</f>
        <v/>
      </c>
      <c r="F1839" t="str">
        <f>""</f>
        <v/>
      </c>
      <c r="H1839" t="str">
        <f t="shared" si="35"/>
        <v>MEDICARE TAXES</v>
      </c>
    </row>
    <row r="1840" spans="1:8" x14ac:dyDescent="0.25">
      <c r="A1840" t="s">
        <v>358</v>
      </c>
      <c r="B1840">
        <v>857</v>
      </c>
      <c r="C1840" s="4">
        <v>246757.26</v>
      </c>
      <c r="D1840" s="1">
        <v>44218</v>
      </c>
      <c r="E1840" t="str">
        <f>"T1 202101201263"</f>
        <v>T1 202101201263</v>
      </c>
      <c r="F1840" t="str">
        <f>"FEDERAL WITHHOLDING"</f>
        <v>FEDERAL WITHHOLDING</v>
      </c>
      <c r="G1840" s="4">
        <v>81214.27</v>
      </c>
      <c r="H1840" t="str">
        <f>"FEDERAL WITHHOLDING"</f>
        <v>FEDERAL WITHHOLDING</v>
      </c>
    </row>
    <row r="1841" spans="5:8" x14ac:dyDescent="0.25">
      <c r="E1841" t="str">
        <f>"T1 202101201264"</f>
        <v>T1 202101201264</v>
      </c>
      <c r="F1841" t="str">
        <f>"FEDERAL WITHHOLDING"</f>
        <v>FEDERAL WITHHOLDING</v>
      </c>
      <c r="G1841" s="4">
        <v>3578.52</v>
      </c>
      <c r="H1841" t="str">
        <f>"FEDERAL WITHHOLDING"</f>
        <v>FEDERAL WITHHOLDING</v>
      </c>
    </row>
    <row r="1842" spans="5:8" x14ac:dyDescent="0.25">
      <c r="E1842" t="str">
        <f>"T1 202101201265"</f>
        <v>T1 202101201265</v>
      </c>
      <c r="F1842" t="str">
        <f>"FEDERAL WITHHOLDING"</f>
        <v>FEDERAL WITHHOLDING</v>
      </c>
      <c r="G1842" s="4">
        <v>3163.65</v>
      </c>
      <c r="H1842" t="str">
        <f>"FEDERAL WITHHOLDING"</f>
        <v>FEDERAL WITHHOLDING</v>
      </c>
    </row>
    <row r="1843" spans="5:8" x14ac:dyDescent="0.25">
      <c r="E1843" t="str">
        <f>"T3 202101201263"</f>
        <v>T3 202101201263</v>
      </c>
      <c r="F1843" t="str">
        <f>"SOCIAL SECURITY TAXES"</f>
        <v>SOCIAL SECURITY TAXES</v>
      </c>
      <c r="G1843" s="4">
        <v>119342.76</v>
      </c>
      <c r="H1843" t="str">
        <f t="shared" ref="H1843:H1874" si="36">"SOCIAL SECURITY TAXES"</f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6"/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6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6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6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6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6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6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6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6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6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6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36"/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6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6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6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6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6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6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6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6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6"/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6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6"/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6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6"/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6"/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6"/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6"/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36"/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6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6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ref="H1875:H1900" si="37">"SOCIAL SECURITY TAXES"</f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7"/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7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7"/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7"/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7"/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7"/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7"/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7"/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7"/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7"/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7"/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7"/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7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7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7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7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7"/>
        <v>SOCIAL SECURITY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7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7"/>
        <v>SOCIAL SECURITY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7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7"/>
        <v>SOCIAL SECURITY TAXES</v>
      </c>
    </row>
    <row r="1897" spans="5:8" x14ac:dyDescent="0.25">
      <c r="E1897" t="str">
        <f>"T3 202101201264"</f>
        <v>T3 202101201264</v>
      </c>
      <c r="F1897" t="str">
        <f>"SOCIAL SECURITY TAXES"</f>
        <v>SOCIAL SECURITY TAXES</v>
      </c>
      <c r="G1897" s="4">
        <v>4559.32</v>
      </c>
      <c r="H1897" t="str">
        <f t="shared" si="37"/>
        <v>SOCIAL SECURITY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7"/>
        <v>SOCIAL SECURITY TAXES</v>
      </c>
    </row>
    <row r="1899" spans="5:8" x14ac:dyDescent="0.25">
      <c r="E1899" t="str">
        <f>"T3 202101201265"</f>
        <v>T3 202101201265</v>
      </c>
      <c r="F1899" t="str">
        <f>"SOCIAL SECURITY TAXES"</f>
        <v>SOCIAL SECURITY TAXES</v>
      </c>
      <c r="G1899" s="4">
        <v>4799.1000000000004</v>
      </c>
      <c r="H1899" t="str">
        <f t="shared" si="37"/>
        <v>SOCIAL SECURITY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7"/>
        <v>SOCIAL SECURITY TAXES</v>
      </c>
    </row>
    <row r="1901" spans="5:8" x14ac:dyDescent="0.25">
      <c r="E1901" t="str">
        <f>"T4 202101201263"</f>
        <v>T4 202101201263</v>
      </c>
      <c r="F1901" t="str">
        <f>"MEDICARE TAXES"</f>
        <v>MEDICARE TAXES</v>
      </c>
      <c r="G1901" s="4">
        <v>27910.880000000001</v>
      </c>
      <c r="H1901" t="str">
        <f t="shared" ref="H1901:H1932" si="38">"MEDICARE TAXES"</f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8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8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8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8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8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8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8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8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8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8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8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8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8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8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8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8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8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8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8"/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8"/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8"/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8"/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8"/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8"/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8"/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8"/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8"/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38"/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8"/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8"/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8"/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 t="shared" ref="H1933:H1958" si="39">"MEDICARE TAXES"</f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9"/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39"/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9"/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39"/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9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9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9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9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9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9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9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9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9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9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9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9"/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39"/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9"/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39"/>
        <v>MEDICARE TAXES</v>
      </c>
    </row>
    <row r="1953" spans="1:8" x14ac:dyDescent="0.25">
      <c r="E1953" t="str">
        <f>""</f>
        <v/>
      </c>
      <c r="F1953" t="str">
        <f>""</f>
        <v/>
      </c>
      <c r="H1953" t="str">
        <f t="shared" si="39"/>
        <v>MEDICARE TAXES</v>
      </c>
    </row>
    <row r="1954" spans="1:8" x14ac:dyDescent="0.25">
      <c r="E1954" t="str">
        <f>""</f>
        <v/>
      </c>
      <c r="F1954" t="str">
        <f>""</f>
        <v/>
      </c>
      <c r="H1954" t="str">
        <f t="shared" si="39"/>
        <v>MEDICARE TAXES</v>
      </c>
    </row>
    <row r="1955" spans="1:8" x14ac:dyDescent="0.25">
      <c r="E1955" t="str">
        <f>"T4 202101201264"</f>
        <v>T4 202101201264</v>
      </c>
      <c r="F1955" t="str">
        <f>"MEDICARE TAXES"</f>
        <v>MEDICARE TAXES</v>
      </c>
      <c r="G1955" s="4">
        <v>1066.3399999999999</v>
      </c>
      <c r="H1955" t="str">
        <f t="shared" si="39"/>
        <v>MEDICARE TAXES</v>
      </c>
    </row>
    <row r="1956" spans="1:8" x14ac:dyDescent="0.25">
      <c r="E1956" t="str">
        <f>""</f>
        <v/>
      </c>
      <c r="F1956" t="str">
        <f>""</f>
        <v/>
      </c>
      <c r="H1956" t="str">
        <f t="shared" si="39"/>
        <v>MEDICARE TAXES</v>
      </c>
    </row>
    <row r="1957" spans="1:8" x14ac:dyDescent="0.25">
      <c r="E1957" t="str">
        <f>"T4 202101201265"</f>
        <v>T4 202101201265</v>
      </c>
      <c r="F1957" t="str">
        <f>"MEDICARE TAXES"</f>
        <v>MEDICARE TAXES</v>
      </c>
      <c r="G1957" s="4">
        <v>1122.42</v>
      </c>
      <c r="H1957" t="str">
        <f t="shared" si="39"/>
        <v>MEDICARE TAXES</v>
      </c>
    </row>
    <row r="1958" spans="1:8" x14ac:dyDescent="0.25">
      <c r="E1958" t="str">
        <f>""</f>
        <v/>
      </c>
      <c r="F1958" t="str">
        <f>""</f>
        <v/>
      </c>
      <c r="H1958" t="str">
        <f t="shared" si="39"/>
        <v>MEDICARE TAXES</v>
      </c>
    </row>
    <row r="1959" spans="1:8" x14ac:dyDescent="0.25">
      <c r="A1959" t="s">
        <v>359</v>
      </c>
      <c r="B1959">
        <v>866</v>
      </c>
      <c r="C1959" s="4">
        <v>535.82000000000005</v>
      </c>
      <c r="D1959" s="1">
        <v>44223</v>
      </c>
      <c r="E1959" t="str">
        <f>"LIX202101061055"</f>
        <v>LIX202101061055</v>
      </c>
      <c r="F1959" t="str">
        <f>"TEXAS LIFE/OLIVO GROUP"</f>
        <v>TEXAS LIFE/OLIVO GROUP</v>
      </c>
      <c r="G1959" s="4">
        <v>267.91000000000003</v>
      </c>
      <c r="H1959" t="str">
        <f>"TEXAS LIFE/OLIVO GROUP"</f>
        <v>TEXAS LIFE/OLIVO GROUP</v>
      </c>
    </row>
    <row r="1960" spans="1:8" x14ac:dyDescent="0.25">
      <c r="E1960" t="str">
        <f>"LIX202101201263"</f>
        <v>LIX202101201263</v>
      </c>
      <c r="F1960" t="str">
        <f>"TEXAS LIFE/OLIVO GROUP"</f>
        <v>TEXAS LIFE/OLIVO GROUP</v>
      </c>
      <c r="G1960" s="4">
        <v>267.91000000000003</v>
      </c>
      <c r="H1960" t="str">
        <f>"TEXAS LIFE/OLIVO GROUP"</f>
        <v>TEXAS LIFE/OLIVO GROUP</v>
      </c>
    </row>
    <row r="1961" spans="1:8" x14ac:dyDescent="0.25">
      <c r="A1961" t="s">
        <v>360</v>
      </c>
      <c r="B1961">
        <v>48279</v>
      </c>
      <c r="C1961" s="4">
        <v>380418.62</v>
      </c>
      <c r="D1961" s="1">
        <v>44223</v>
      </c>
      <c r="E1961" t="str">
        <f>"202101271409"</f>
        <v>202101271409</v>
      </c>
      <c r="F1961" t="str">
        <f>"RETIREE INS - JANUARY 2021"</f>
        <v>RETIREE INS - JANUARY 2021</v>
      </c>
      <c r="G1961" s="4">
        <v>16663.7</v>
      </c>
      <c r="H1961" t="str">
        <f>"RETIREE INS - JANUARY 2021"</f>
        <v>RETIREE INS - JANUARY 2021</v>
      </c>
    </row>
    <row r="1962" spans="1:8" x14ac:dyDescent="0.25">
      <c r="E1962" t="str">
        <f>"202101271410"</f>
        <v>202101271410</v>
      </c>
      <c r="F1962" t="str">
        <f>"ADJ - A. WELDON"</f>
        <v>ADJ - A. WELDON</v>
      </c>
      <c r="G1962" s="4">
        <v>1367.32</v>
      </c>
      <c r="H1962" t="str">
        <f>"ADJ - A. WELDON"</f>
        <v>ADJ - A. WELDON</v>
      </c>
    </row>
    <row r="1963" spans="1:8" x14ac:dyDescent="0.25">
      <c r="E1963" t="str">
        <f>"2EC202101061055"</f>
        <v>2EC202101061055</v>
      </c>
      <c r="F1963" t="str">
        <f>"BCBS PAYABLE"</f>
        <v>BCBS PAYABLE</v>
      </c>
      <c r="G1963" s="4">
        <v>51203.839999999997</v>
      </c>
      <c r="H1963" t="str">
        <f t="shared" ref="H1963:H2026" si="40">"BCBS PAYABLE"</f>
        <v>BCBS PAYABLE</v>
      </c>
    </row>
    <row r="1964" spans="1:8" x14ac:dyDescent="0.25">
      <c r="E1964" t="str">
        <f>""</f>
        <v/>
      </c>
      <c r="F1964" t="str">
        <f>""</f>
        <v/>
      </c>
      <c r="H1964" t="str">
        <f t="shared" si="40"/>
        <v>BCBS PAYABLE</v>
      </c>
    </row>
    <row r="1965" spans="1:8" x14ac:dyDescent="0.25">
      <c r="E1965" t="str">
        <f>""</f>
        <v/>
      </c>
      <c r="F1965" t="str">
        <f>""</f>
        <v/>
      </c>
      <c r="H1965" t="str">
        <f t="shared" si="40"/>
        <v>BCBS PAYABLE</v>
      </c>
    </row>
    <row r="1966" spans="1:8" x14ac:dyDescent="0.25">
      <c r="E1966" t="str">
        <f>""</f>
        <v/>
      </c>
      <c r="F1966" t="str">
        <f>""</f>
        <v/>
      </c>
      <c r="H1966" t="str">
        <f t="shared" si="40"/>
        <v>BCBS PAYABLE</v>
      </c>
    </row>
    <row r="1967" spans="1:8" x14ac:dyDescent="0.25">
      <c r="E1967" t="str">
        <f>""</f>
        <v/>
      </c>
      <c r="F1967" t="str">
        <f>""</f>
        <v/>
      </c>
      <c r="H1967" t="str">
        <f t="shared" si="40"/>
        <v>BCBS PAYABLE</v>
      </c>
    </row>
    <row r="1968" spans="1:8" x14ac:dyDescent="0.25">
      <c r="E1968" t="str">
        <f>""</f>
        <v/>
      </c>
      <c r="F1968" t="str">
        <f>""</f>
        <v/>
      </c>
      <c r="H1968" t="str">
        <f t="shared" si="40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40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40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40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40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40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40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si="40"/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40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40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40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40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40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40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40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40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40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40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40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40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40"/>
        <v>BCBS PAYABLE</v>
      </c>
    </row>
    <row r="1989" spans="5:8" x14ac:dyDescent="0.25">
      <c r="E1989" t="str">
        <f>""</f>
        <v/>
      </c>
      <c r="F1989" t="str">
        <f>""</f>
        <v/>
      </c>
      <c r="H1989" t="str">
        <f t="shared" si="40"/>
        <v>BCBS PAYABLE</v>
      </c>
    </row>
    <row r="1990" spans="5:8" x14ac:dyDescent="0.25">
      <c r="E1990" t="str">
        <f>""</f>
        <v/>
      </c>
      <c r="F1990" t="str">
        <f>""</f>
        <v/>
      </c>
      <c r="H1990" t="str">
        <f t="shared" si="40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si="40"/>
        <v>BCBS PAYABLE</v>
      </c>
    </row>
    <row r="1992" spans="5:8" x14ac:dyDescent="0.25">
      <c r="E1992" t="str">
        <f>""</f>
        <v/>
      </c>
      <c r="F1992" t="str">
        <f>""</f>
        <v/>
      </c>
      <c r="H1992" t="str">
        <f t="shared" si="40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0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si="40"/>
        <v>BCBS PAYABLE</v>
      </c>
    </row>
    <row r="1995" spans="5:8" x14ac:dyDescent="0.25">
      <c r="E1995" t="str">
        <f>""</f>
        <v/>
      </c>
      <c r="F1995" t="str">
        <f>""</f>
        <v/>
      </c>
      <c r="H1995" t="str">
        <f t="shared" si="40"/>
        <v>BCBS PAYABLE</v>
      </c>
    </row>
    <row r="1996" spans="5:8" x14ac:dyDescent="0.25">
      <c r="E1996" t="str">
        <f>"2EC202101061056"</f>
        <v>2EC202101061056</v>
      </c>
      <c r="F1996" t="str">
        <f>"BCBS PAYABLE"</f>
        <v>BCBS PAYABLE</v>
      </c>
      <c r="G1996" s="4">
        <v>2818.56</v>
      </c>
      <c r="H1996" t="str">
        <f t="shared" si="40"/>
        <v>BCBS PAYABLE</v>
      </c>
    </row>
    <row r="1997" spans="5:8" x14ac:dyDescent="0.25">
      <c r="E1997" t="str">
        <f>""</f>
        <v/>
      </c>
      <c r="F1997" t="str">
        <f>""</f>
        <v/>
      </c>
      <c r="H1997" t="str">
        <f t="shared" si="40"/>
        <v>BCBS PAYABLE</v>
      </c>
    </row>
    <row r="1998" spans="5:8" x14ac:dyDescent="0.25">
      <c r="E1998" t="str">
        <f>"2EC202101201263"</f>
        <v>2EC202101201263</v>
      </c>
      <c r="F1998" t="str">
        <f>"BCBS PAYABLE"</f>
        <v>BCBS PAYABLE</v>
      </c>
      <c r="G1998" s="4">
        <v>50862.01</v>
      </c>
      <c r="H1998" t="str">
        <f t="shared" si="40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0"/>
        <v>BCBS PAYABLE</v>
      </c>
    </row>
    <row r="2000" spans="5:8" x14ac:dyDescent="0.25">
      <c r="E2000" t="str">
        <f>""</f>
        <v/>
      </c>
      <c r="F2000" t="str">
        <f>""</f>
        <v/>
      </c>
      <c r="H2000" t="str">
        <f t="shared" si="40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0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0"/>
        <v>BCBS PAYABLE</v>
      </c>
    </row>
    <row r="2003" spans="5:8" x14ac:dyDescent="0.25">
      <c r="E2003" t="str">
        <f>""</f>
        <v/>
      </c>
      <c r="F2003" t="str">
        <f>""</f>
        <v/>
      </c>
      <c r="H2003" t="str">
        <f t="shared" si="40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0"/>
        <v>BCBS PAYABLE</v>
      </c>
    </row>
    <row r="2005" spans="5:8" x14ac:dyDescent="0.25">
      <c r="E2005" t="str">
        <f>""</f>
        <v/>
      </c>
      <c r="F2005" t="str">
        <f>""</f>
        <v/>
      </c>
      <c r="H2005" t="str">
        <f t="shared" si="40"/>
        <v>BCBS PAYABLE</v>
      </c>
    </row>
    <row r="2006" spans="5:8" x14ac:dyDescent="0.25">
      <c r="E2006" t="str">
        <f>""</f>
        <v/>
      </c>
      <c r="F2006" t="str">
        <f>""</f>
        <v/>
      </c>
      <c r="H2006" t="str">
        <f t="shared" si="40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0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0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0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0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si="40"/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0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0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0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0"/>
        <v>BCBS PAYABLE</v>
      </c>
    </row>
    <row r="2016" spans="5:8" x14ac:dyDescent="0.25">
      <c r="E2016" t="str">
        <f>""</f>
        <v/>
      </c>
      <c r="F2016" t="str">
        <f>""</f>
        <v/>
      </c>
      <c r="H2016" t="str">
        <f t="shared" si="40"/>
        <v>BCBS PAYABLE</v>
      </c>
    </row>
    <row r="2017" spans="5:8" x14ac:dyDescent="0.25">
      <c r="E2017" t="str">
        <f>""</f>
        <v/>
      </c>
      <c r="F2017" t="str">
        <f>""</f>
        <v/>
      </c>
      <c r="H2017" t="str">
        <f t="shared" si="40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0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0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0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0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0"/>
        <v>BCBS PAYABLE</v>
      </c>
    </row>
    <row r="2023" spans="5:8" x14ac:dyDescent="0.25">
      <c r="E2023" t="str">
        <f>""</f>
        <v/>
      </c>
      <c r="F2023" t="str">
        <f>""</f>
        <v/>
      </c>
      <c r="H2023" t="str">
        <f t="shared" si="40"/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0"/>
        <v>BCBS PAYABLE</v>
      </c>
    </row>
    <row r="2025" spans="5:8" x14ac:dyDescent="0.25">
      <c r="E2025" t="str">
        <f>""</f>
        <v/>
      </c>
      <c r="F2025" t="str">
        <f>""</f>
        <v/>
      </c>
      <c r="H2025" t="str">
        <f t="shared" si="40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0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ref="H2027:H2090" si="41">"BCBS PAYABLE"</f>
        <v>BCBS PAYABLE</v>
      </c>
    </row>
    <row r="2028" spans="5:8" x14ac:dyDescent="0.25">
      <c r="E2028" t="str">
        <f>""</f>
        <v/>
      </c>
      <c r="F2028" t="str">
        <f>""</f>
        <v/>
      </c>
      <c r="H2028" t="str">
        <f t="shared" si="41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1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1"/>
        <v>BCBS PAYABLE</v>
      </c>
    </row>
    <row r="2031" spans="5:8" x14ac:dyDescent="0.25">
      <c r="E2031" t="str">
        <f>"2EC202101201264"</f>
        <v>2EC202101201264</v>
      </c>
      <c r="F2031" t="str">
        <f>"BCBS PAYABLE"</f>
        <v>BCBS PAYABLE</v>
      </c>
      <c r="G2031" s="4">
        <v>2818.56</v>
      </c>
      <c r="H2031" t="str">
        <f t="shared" si="41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1"/>
        <v>BCBS PAYABLE</v>
      </c>
    </row>
    <row r="2033" spans="5:8" x14ac:dyDescent="0.25">
      <c r="E2033" t="str">
        <f>"2EF202101061055"</f>
        <v>2EF202101061055</v>
      </c>
      <c r="F2033" t="str">
        <f>"BCBS PAYABLE"</f>
        <v>BCBS PAYABLE</v>
      </c>
      <c r="G2033" s="4">
        <v>933.27</v>
      </c>
      <c r="H2033" t="str">
        <f t="shared" si="41"/>
        <v>BCBS PAYABLE</v>
      </c>
    </row>
    <row r="2034" spans="5:8" x14ac:dyDescent="0.25">
      <c r="E2034" t="str">
        <f>""</f>
        <v/>
      </c>
      <c r="F2034" t="str">
        <f>""</f>
        <v/>
      </c>
      <c r="H2034" t="str">
        <f t="shared" si="41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1"/>
        <v>BCBS PAYABLE</v>
      </c>
    </row>
    <row r="2036" spans="5:8" x14ac:dyDescent="0.25">
      <c r="E2036" t="str">
        <f>"2EF202101201263"</f>
        <v>2EF202101201263</v>
      </c>
      <c r="F2036" t="str">
        <f>"BCBS PAYABLE"</f>
        <v>BCBS PAYABLE</v>
      </c>
      <c r="G2036" s="4">
        <v>933.27</v>
      </c>
      <c r="H2036" t="str">
        <f t="shared" si="41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1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1"/>
        <v>BCBS PAYABLE</v>
      </c>
    </row>
    <row r="2039" spans="5:8" x14ac:dyDescent="0.25">
      <c r="E2039" t="str">
        <f>"2EO202101061055"</f>
        <v>2EO202101061055</v>
      </c>
      <c r="F2039" t="str">
        <f>"BCBS PAYABLE"</f>
        <v>BCBS PAYABLE</v>
      </c>
      <c r="G2039" s="4">
        <v>106650.96</v>
      </c>
      <c r="H2039" t="str">
        <f t="shared" si="41"/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1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1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1"/>
        <v>BCBS PAYABLE</v>
      </c>
    </row>
    <row r="2043" spans="5:8" x14ac:dyDescent="0.25">
      <c r="E2043" t="str">
        <f>""</f>
        <v/>
      </c>
      <c r="F2043" t="str">
        <f>""</f>
        <v/>
      </c>
      <c r="H2043" t="str">
        <f t="shared" si="41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si="41"/>
        <v>BCBS PAYABLE</v>
      </c>
    </row>
    <row r="2045" spans="5:8" x14ac:dyDescent="0.25">
      <c r="E2045" t="str">
        <f>""</f>
        <v/>
      </c>
      <c r="F2045" t="str">
        <f>""</f>
        <v/>
      </c>
      <c r="H2045" t="str">
        <f t="shared" si="41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1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1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1"/>
        <v>BCBS PAYABLE</v>
      </c>
    </row>
    <row r="2049" spans="5:8" x14ac:dyDescent="0.25">
      <c r="E2049" t="str">
        <f>""</f>
        <v/>
      </c>
      <c r="F2049" t="str">
        <f>""</f>
        <v/>
      </c>
      <c r="H2049" t="str">
        <f t="shared" si="41"/>
        <v>BCBS PAYABLE</v>
      </c>
    </row>
    <row r="2050" spans="5:8" x14ac:dyDescent="0.25">
      <c r="E2050" t="str">
        <f>""</f>
        <v/>
      </c>
      <c r="F2050" t="str">
        <f>""</f>
        <v/>
      </c>
      <c r="H2050" t="str">
        <f t="shared" si="41"/>
        <v>BCBS PAYABLE</v>
      </c>
    </row>
    <row r="2051" spans="5:8" x14ac:dyDescent="0.25">
      <c r="E2051" t="str">
        <f>""</f>
        <v/>
      </c>
      <c r="F2051" t="str">
        <f>""</f>
        <v/>
      </c>
      <c r="H2051" t="str">
        <f t="shared" si="41"/>
        <v>BCBS PAYABLE</v>
      </c>
    </row>
    <row r="2052" spans="5:8" x14ac:dyDescent="0.25">
      <c r="E2052" t="str">
        <f>""</f>
        <v/>
      </c>
      <c r="F2052" t="str">
        <f>""</f>
        <v/>
      </c>
      <c r="H2052" t="str">
        <f t="shared" si="41"/>
        <v>BCBS PAYABLE</v>
      </c>
    </row>
    <row r="2053" spans="5:8" x14ac:dyDescent="0.25">
      <c r="E2053" t="str">
        <f>""</f>
        <v/>
      </c>
      <c r="F2053" t="str">
        <f>""</f>
        <v/>
      </c>
      <c r="H2053" t="str">
        <f t="shared" si="41"/>
        <v>BCBS PAYABLE</v>
      </c>
    </row>
    <row r="2054" spans="5:8" x14ac:dyDescent="0.25">
      <c r="E2054" t="str">
        <f>""</f>
        <v/>
      </c>
      <c r="F2054" t="str">
        <f>""</f>
        <v/>
      </c>
      <c r="H2054" t="str">
        <f t="shared" si="41"/>
        <v>BCBS PAYABLE</v>
      </c>
    </row>
    <row r="2055" spans="5:8" x14ac:dyDescent="0.25">
      <c r="E2055" t="str">
        <f>""</f>
        <v/>
      </c>
      <c r="F2055" t="str">
        <f>""</f>
        <v/>
      </c>
      <c r="H2055" t="str">
        <f t="shared" si="41"/>
        <v>BCBS PAYABLE</v>
      </c>
    </row>
    <row r="2056" spans="5:8" x14ac:dyDescent="0.25">
      <c r="E2056" t="str">
        <f>""</f>
        <v/>
      </c>
      <c r="F2056" t="str">
        <f>""</f>
        <v/>
      </c>
      <c r="H2056" t="str">
        <f t="shared" si="41"/>
        <v>BCBS PAYABLE</v>
      </c>
    </row>
    <row r="2057" spans="5:8" x14ac:dyDescent="0.25">
      <c r="E2057" t="str">
        <f>""</f>
        <v/>
      </c>
      <c r="F2057" t="str">
        <f>""</f>
        <v/>
      </c>
      <c r="H2057" t="str">
        <f t="shared" si="41"/>
        <v>BCBS PAYABLE</v>
      </c>
    </row>
    <row r="2058" spans="5:8" x14ac:dyDescent="0.25">
      <c r="E2058" t="str">
        <f>""</f>
        <v/>
      </c>
      <c r="F2058" t="str">
        <f>""</f>
        <v/>
      </c>
      <c r="H2058" t="str">
        <f t="shared" si="41"/>
        <v>BCBS PAYABLE</v>
      </c>
    </row>
    <row r="2059" spans="5:8" x14ac:dyDescent="0.25">
      <c r="E2059" t="str">
        <f>""</f>
        <v/>
      </c>
      <c r="F2059" t="str">
        <f>""</f>
        <v/>
      </c>
      <c r="H2059" t="str">
        <f t="shared" si="41"/>
        <v>BCBS PAYABLE</v>
      </c>
    </row>
    <row r="2060" spans="5:8" x14ac:dyDescent="0.25">
      <c r="E2060" t="str">
        <f>""</f>
        <v/>
      </c>
      <c r="F2060" t="str">
        <f>""</f>
        <v/>
      </c>
      <c r="H2060" t="str">
        <f t="shared" si="41"/>
        <v>BCBS PAYABLE</v>
      </c>
    </row>
    <row r="2061" spans="5:8" x14ac:dyDescent="0.25">
      <c r="E2061" t="str">
        <f>""</f>
        <v/>
      </c>
      <c r="F2061" t="str">
        <f>""</f>
        <v/>
      </c>
      <c r="H2061" t="str">
        <f t="shared" si="41"/>
        <v>BCBS PAYABLE</v>
      </c>
    </row>
    <row r="2062" spans="5:8" x14ac:dyDescent="0.25">
      <c r="E2062" t="str">
        <f>""</f>
        <v/>
      </c>
      <c r="F2062" t="str">
        <f>""</f>
        <v/>
      </c>
      <c r="H2062" t="str">
        <f t="shared" si="41"/>
        <v>BCBS PAYABLE</v>
      </c>
    </row>
    <row r="2063" spans="5:8" x14ac:dyDescent="0.25">
      <c r="E2063" t="str">
        <f>""</f>
        <v/>
      </c>
      <c r="F2063" t="str">
        <f>""</f>
        <v/>
      </c>
      <c r="H2063" t="str">
        <f t="shared" si="41"/>
        <v>BCBS PAYABLE</v>
      </c>
    </row>
    <row r="2064" spans="5:8" x14ac:dyDescent="0.25">
      <c r="E2064" t="str">
        <f>""</f>
        <v/>
      </c>
      <c r="F2064" t="str">
        <f>""</f>
        <v/>
      </c>
      <c r="H2064" t="str">
        <f t="shared" si="41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41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41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41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41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41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41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41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41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41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41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41"/>
        <v>BCBS PAYABLE</v>
      </c>
    </row>
    <row r="2076" spans="5:8" x14ac:dyDescent="0.25">
      <c r="E2076" t="str">
        <f>""</f>
        <v/>
      </c>
      <c r="F2076" t="str">
        <f>""</f>
        <v/>
      </c>
      <c r="H2076" t="str">
        <f t="shared" si="41"/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41"/>
        <v>BCBS PAYABLE</v>
      </c>
    </row>
    <row r="2078" spans="5:8" x14ac:dyDescent="0.25">
      <c r="E2078" t="str">
        <f>""</f>
        <v/>
      </c>
      <c r="F2078" t="str">
        <f>""</f>
        <v/>
      </c>
      <c r="H2078" t="str">
        <f t="shared" si="41"/>
        <v>BCBS PAYABLE</v>
      </c>
    </row>
    <row r="2079" spans="5:8" x14ac:dyDescent="0.25">
      <c r="E2079" t="str">
        <f>""</f>
        <v/>
      </c>
      <c r="F2079" t="str">
        <f>""</f>
        <v/>
      </c>
      <c r="H2079" t="str">
        <f t="shared" si="41"/>
        <v>BCBS PAYABLE</v>
      </c>
    </row>
    <row r="2080" spans="5:8" x14ac:dyDescent="0.25">
      <c r="E2080" t="str">
        <f>""</f>
        <v/>
      </c>
      <c r="F2080" t="str">
        <f>""</f>
        <v/>
      </c>
      <c r="H2080" t="str">
        <f t="shared" si="41"/>
        <v>BCBS PAYABLE</v>
      </c>
    </row>
    <row r="2081" spans="5:8" x14ac:dyDescent="0.25">
      <c r="E2081" t="str">
        <f>""</f>
        <v/>
      </c>
      <c r="F2081" t="str">
        <f>""</f>
        <v/>
      </c>
      <c r="H2081" t="str">
        <f t="shared" si="41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41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41"/>
        <v>BCBS PAYABLE</v>
      </c>
    </row>
    <row r="2084" spans="5:8" x14ac:dyDescent="0.25">
      <c r="E2084" t="str">
        <f>""</f>
        <v/>
      </c>
      <c r="F2084" t="str">
        <f>""</f>
        <v/>
      </c>
      <c r="H2084" t="str">
        <f t="shared" si="41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41"/>
        <v>BCBS PAYABLE</v>
      </c>
    </row>
    <row r="2086" spans="5:8" x14ac:dyDescent="0.25">
      <c r="E2086" t="str">
        <f>"2EO202101061056"</f>
        <v>2EO202101061056</v>
      </c>
      <c r="F2086" t="str">
        <f>"BCBS PAYABLE"</f>
        <v>BCBS PAYABLE</v>
      </c>
      <c r="G2086" s="4">
        <v>3076.47</v>
      </c>
      <c r="H2086" t="str">
        <f t="shared" si="41"/>
        <v>BCBS PAYABLE</v>
      </c>
    </row>
    <row r="2087" spans="5:8" x14ac:dyDescent="0.25">
      <c r="E2087" t="str">
        <f>"2EO202101201263"</f>
        <v>2EO202101201263</v>
      </c>
      <c r="F2087" t="str">
        <f>"BCBS PAYABLE"</f>
        <v>BCBS PAYABLE</v>
      </c>
      <c r="G2087" s="4">
        <v>106309.13</v>
      </c>
      <c r="H2087" t="str">
        <f t="shared" si="41"/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41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41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si="41"/>
        <v>BCBS PAYABLE</v>
      </c>
    </row>
    <row r="2091" spans="5:8" x14ac:dyDescent="0.25">
      <c r="E2091" t="str">
        <f>""</f>
        <v/>
      </c>
      <c r="F2091" t="str">
        <f>""</f>
        <v/>
      </c>
      <c r="H2091" t="str">
        <f t="shared" ref="H2091:H2154" si="42">"BCBS PAYABLE"</f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42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42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42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42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42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2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2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2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2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2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2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2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2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2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2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2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2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2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2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2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2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2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2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2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2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2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2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2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2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2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2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2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2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2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2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2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2"/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 t="shared" si="42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2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2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2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2"/>
        <v>BCBS PAYABLE</v>
      </c>
    </row>
    <row r="2134" spans="5:8" x14ac:dyDescent="0.25">
      <c r="E2134" t="str">
        <f>"2EO202101201264"</f>
        <v>2EO202101201264</v>
      </c>
      <c r="F2134" t="str">
        <f>"BCBS PAYABLE"</f>
        <v>BCBS PAYABLE</v>
      </c>
      <c r="G2134" s="4">
        <v>3076.47</v>
      </c>
      <c r="H2134" t="str">
        <f t="shared" si="42"/>
        <v>BCBS PAYABLE</v>
      </c>
    </row>
    <row r="2135" spans="5:8" x14ac:dyDescent="0.25">
      <c r="E2135" t="str">
        <f>"2ES202101061055"</f>
        <v>2ES202101061055</v>
      </c>
      <c r="F2135" t="str">
        <f>"BCBS PAYABLE"</f>
        <v>BCBS PAYABLE</v>
      </c>
      <c r="G2135" s="4">
        <v>16852.53</v>
      </c>
      <c r="H2135" t="str">
        <f t="shared" si="42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2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2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2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2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2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2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2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2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2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2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2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2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2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2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2"/>
        <v>BCBS PAYABLE</v>
      </c>
    </row>
    <row r="2151" spans="5:8" x14ac:dyDescent="0.25">
      <c r="E2151" t="str">
        <f>"2ES202101201263"</f>
        <v>2ES202101201263</v>
      </c>
      <c r="F2151" t="str">
        <f>"BCBS PAYABLE"</f>
        <v>BCBS PAYABLE</v>
      </c>
      <c r="G2151" s="4">
        <v>16852.53</v>
      </c>
      <c r="H2151" t="str">
        <f t="shared" si="42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2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2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42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ref="H2155:H2166" si="43">"BCBS PAYABLE"</f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3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3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3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3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3"/>
        <v>BCBS PAYABLE</v>
      </c>
    </row>
    <row r="2161" spans="1:8" x14ac:dyDescent="0.25">
      <c r="E2161" t="str">
        <f>""</f>
        <v/>
      </c>
      <c r="F2161" t="str">
        <f>""</f>
        <v/>
      </c>
      <c r="H2161" t="str">
        <f t="shared" si="43"/>
        <v>BCBS PAYABLE</v>
      </c>
    </row>
    <row r="2162" spans="1:8" x14ac:dyDescent="0.25">
      <c r="E2162" t="str">
        <f>""</f>
        <v/>
      </c>
      <c r="F2162" t="str">
        <f>""</f>
        <v/>
      </c>
      <c r="H2162" t="str">
        <f t="shared" si="43"/>
        <v>BCBS PAYABLE</v>
      </c>
    </row>
    <row r="2163" spans="1:8" x14ac:dyDescent="0.25">
      <c r="E2163" t="str">
        <f>""</f>
        <v/>
      </c>
      <c r="F2163" t="str">
        <f>""</f>
        <v/>
      </c>
      <c r="H2163" t="str">
        <f t="shared" si="43"/>
        <v>BCBS PAYABLE</v>
      </c>
    </row>
    <row r="2164" spans="1:8" x14ac:dyDescent="0.25">
      <c r="E2164" t="str">
        <f>""</f>
        <v/>
      </c>
      <c r="F2164" t="str">
        <f>""</f>
        <v/>
      </c>
      <c r="H2164" t="str">
        <f t="shared" si="43"/>
        <v>BCBS PAYABLE</v>
      </c>
    </row>
    <row r="2165" spans="1:8" x14ac:dyDescent="0.25">
      <c r="E2165" t="str">
        <f>""</f>
        <v/>
      </c>
      <c r="F2165" t="str">
        <f>""</f>
        <v/>
      </c>
      <c r="H2165" t="str">
        <f t="shared" si="43"/>
        <v>BCBS PAYABLE</v>
      </c>
    </row>
    <row r="2166" spans="1:8" x14ac:dyDescent="0.25">
      <c r="E2166" t="str">
        <f>""</f>
        <v/>
      </c>
      <c r="F2166" t="str">
        <f>""</f>
        <v/>
      </c>
      <c r="H2166" t="str">
        <f t="shared" si="43"/>
        <v>BCBS PAYABLE</v>
      </c>
    </row>
    <row r="2167" spans="1:8" x14ac:dyDescent="0.25">
      <c r="A2167" t="s">
        <v>361</v>
      </c>
      <c r="B2167">
        <v>852</v>
      </c>
      <c r="C2167" s="4">
        <v>13830.28</v>
      </c>
      <c r="D2167" s="1">
        <v>44204</v>
      </c>
      <c r="E2167" t="str">
        <f>"FSA202101061055"</f>
        <v>FSA202101061055</v>
      </c>
      <c r="F2167" t="str">
        <f>"TASC FSA"</f>
        <v>TASC FSA</v>
      </c>
      <c r="G2167" s="4">
        <v>7361.77</v>
      </c>
      <c r="H2167" t="str">
        <f>"TASC FSA"</f>
        <v>TASC FSA</v>
      </c>
    </row>
    <row r="2168" spans="1:8" x14ac:dyDescent="0.25">
      <c r="E2168" t="str">
        <f>"FSA202101061056"</f>
        <v>FSA202101061056</v>
      </c>
      <c r="F2168" t="str">
        <f>"TASC FSA"</f>
        <v>TASC FSA</v>
      </c>
      <c r="G2168" s="4">
        <v>443.32</v>
      </c>
      <c r="H2168" t="str">
        <f>"TASC FSA"</f>
        <v>TASC FSA</v>
      </c>
    </row>
    <row r="2169" spans="1:8" x14ac:dyDescent="0.25">
      <c r="E2169" t="str">
        <f>"FSC202101061055"</f>
        <v>FSC202101061055</v>
      </c>
      <c r="F2169" t="str">
        <f>"TASC DEPENDENT CARE"</f>
        <v>TASC DEPENDENT CARE</v>
      </c>
      <c r="G2169" s="4">
        <v>50</v>
      </c>
      <c r="H2169" t="str">
        <f>"TASC DEPENDENT CARE"</f>
        <v>TASC DEPENDENT CARE</v>
      </c>
    </row>
    <row r="2170" spans="1:8" x14ac:dyDescent="0.25">
      <c r="E2170" t="str">
        <f>"FSF202101061055"</f>
        <v>FSF202101061055</v>
      </c>
      <c r="F2170" t="str">
        <f>"TASC - FSA  FEES"</f>
        <v>TASC - FSA  FEES</v>
      </c>
      <c r="G2170" s="4">
        <v>246.6</v>
      </c>
      <c r="H2170" t="str">
        <f t="shared" ref="H2170:H2210" si="44">"TASC - FSA  FEES"</f>
        <v>TASC - FSA  FEES</v>
      </c>
    </row>
    <row r="2171" spans="1:8" x14ac:dyDescent="0.25">
      <c r="E2171" t="str">
        <f>""</f>
        <v/>
      </c>
      <c r="F2171" t="str">
        <f>""</f>
        <v/>
      </c>
      <c r="H2171" t="str">
        <f t="shared" si="44"/>
        <v>TASC - FSA  FEES</v>
      </c>
    </row>
    <row r="2172" spans="1:8" x14ac:dyDescent="0.25">
      <c r="E2172" t="str">
        <f>""</f>
        <v/>
      </c>
      <c r="F2172" t="str">
        <f>""</f>
        <v/>
      </c>
      <c r="H2172" t="str">
        <f t="shared" si="44"/>
        <v>TASC - FSA  FEES</v>
      </c>
    </row>
    <row r="2173" spans="1:8" x14ac:dyDescent="0.25">
      <c r="E2173" t="str">
        <f>""</f>
        <v/>
      </c>
      <c r="F2173" t="str">
        <f>""</f>
        <v/>
      </c>
      <c r="H2173" t="str">
        <f t="shared" si="44"/>
        <v>TASC - FSA  FEES</v>
      </c>
    </row>
    <row r="2174" spans="1:8" x14ac:dyDescent="0.25">
      <c r="E2174" t="str">
        <f>""</f>
        <v/>
      </c>
      <c r="F2174" t="str">
        <f>""</f>
        <v/>
      </c>
      <c r="H2174" t="str">
        <f t="shared" si="44"/>
        <v>TASC - FSA  FEES</v>
      </c>
    </row>
    <row r="2175" spans="1:8" x14ac:dyDescent="0.25">
      <c r="E2175" t="str">
        <f>""</f>
        <v/>
      </c>
      <c r="F2175" t="str">
        <f>""</f>
        <v/>
      </c>
      <c r="H2175" t="str">
        <f t="shared" si="44"/>
        <v>TASC - FSA  FEES</v>
      </c>
    </row>
    <row r="2176" spans="1:8" x14ac:dyDescent="0.25">
      <c r="E2176" t="str">
        <f>""</f>
        <v/>
      </c>
      <c r="F2176" t="str">
        <f>""</f>
        <v/>
      </c>
      <c r="H2176" t="str">
        <f t="shared" si="44"/>
        <v>TASC - FSA  FEES</v>
      </c>
    </row>
    <row r="2177" spans="5:8" x14ac:dyDescent="0.25">
      <c r="E2177" t="str">
        <f>""</f>
        <v/>
      </c>
      <c r="F2177" t="str">
        <f>""</f>
        <v/>
      </c>
      <c r="H2177" t="str">
        <f t="shared" si="44"/>
        <v>TASC - FSA  FEES</v>
      </c>
    </row>
    <row r="2178" spans="5:8" x14ac:dyDescent="0.25">
      <c r="E2178" t="str">
        <f>""</f>
        <v/>
      </c>
      <c r="F2178" t="str">
        <f>""</f>
        <v/>
      </c>
      <c r="H2178" t="str">
        <f t="shared" si="44"/>
        <v>TASC - FSA  FEES</v>
      </c>
    </row>
    <row r="2179" spans="5:8" x14ac:dyDescent="0.25">
      <c r="E2179" t="str">
        <f>""</f>
        <v/>
      </c>
      <c r="F2179" t="str">
        <f>""</f>
        <v/>
      </c>
      <c r="H2179" t="str">
        <f t="shared" si="44"/>
        <v>TASC - FSA  FEES</v>
      </c>
    </row>
    <row r="2180" spans="5:8" x14ac:dyDescent="0.25">
      <c r="E2180" t="str">
        <f>""</f>
        <v/>
      </c>
      <c r="F2180" t="str">
        <f>""</f>
        <v/>
      </c>
      <c r="H2180" t="str">
        <f t="shared" si="44"/>
        <v>TASC - FSA  FEES</v>
      </c>
    </row>
    <row r="2181" spans="5:8" x14ac:dyDescent="0.25">
      <c r="E2181" t="str">
        <f>""</f>
        <v/>
      </c>
      <c r="F2181" t="str">
        <f>""</f>
        <v/>
      </c>
      <c r="H2181" t="str">
        <f t="shared" si="44"/>
        <v>TASC - FSA  FEES</v>
      </c>
    </row>
    <row r="2182" spans="5:8" x14ac:dyDescent="0.25">
      <c r="E2182" t="str">
        <f>""</f>
        <v/>
      </c>
      <c r="F2182" t="str">
        <f>""</f>
        <v/>
      </c>
      <c r="H2182" t="str">
        <f t="shared" si="44"/>
        <v>TASC - FSA  FEES</v>
      </c>
    </row>
    <row r="2183" spans="5:8" x14ac:dyDescent="0.25">
      <c r="E2183" t="str">
        <f>""</f>
        <v/>
      </c>
      <c r="F2183" t="str">
        <f>""</f>
        <v/>
      </c>
      <c r="H2183" t="str">
        <f t="shared" si="44"/>
        <v>TASC - FSA 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44"/>
        <v>TASC - FSA 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44"/>
        <v>TASC - FSA 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44"/>
        <v>TASC - FSA 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44"/>
        <v>TASC - FSA 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44"/>
        <v>TASC - FSA 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44"/>
        <v>TASC - FSA 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44"/>
        <v>TASC - FSA 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44"/>
        <v>TASC - FSA 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44"/>
        <v>TASC - FSA 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44"/>
        <v>TASC - FSA  FEES</v>
      </c>
    </row>
    <row r="2194" spans="5:8" x14ac:dyDescent="0.25">
      <c r="E2194" t="str">
        <f>""</f>
        <v/>
      </c>
      <c r="F2194" t="str">
        <f>""</f>
        <v/>
      </c>
      <c r="H2194" t="str">
        <f t="shared" si="44"/>
        <v>TASC - FSA  FEES</v>
      </c>
    </row>
    <row r="2195" spans="5:8" x14ac:dyDescent="0.25">
      <c r="E2195" t="str">
        <f>""</f>
        <v/>
      </c>
      <c r="F2195" t="str">
        <f>""</f>
        <v/>
      </c>
      <c r="H2195" t="str">
        <f t="shared" si="44"/>
        <v>TASC - FSA 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44"/>
        <v>TASC - FSA 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44"/>
        <v>TASC - FSA 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44"/>
        <v>TASC - FSA  FEES</v>
      </c>
    </row>
    <row r="2199" spans="5:8" x14ac:dyDescent="0.25">
      <c r="E2199" t="str">
        <f>""</f>
        <v/>
      </c>
      <c r="F2199" t="str">
        <f>""</f>
        <v/>
      </c>
      <c r="H2199" t="str">
        <f t="shared" si="44"/>
        <v>TASC - FSA 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44"/>
        <v>TASC - FSA 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44"/>
        <v>TASC - FSA 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44"/>
        <v>TASC - FSA  FEES</v>
      </c>
    </row>
    <row r="2203" spans="5:8" x14ac:dyDescent="0.25">
      <c r="E2203" t="str">
        <f>""</f>
        <v/>
      </c>
      <c r="F2203" t="str">
        <f>""</f>
        <v/>
      </c>
      <c r="H2203" t="str">
        <f t="shared" si="44"/>
        <v>TASC - FSA  FEES</v>
      </c>
    </row>
    <row r="2204" spans="5:8" x14ac:dyDescent="0.25">
      <c r="E2204" t="str">
        <f>""</f>
        <v/>
      </c>
      <c r="F2204" t="str">
        <f>""</f>
        <v/>
      </c>
      <c r="H2204" t="str">
        <f t="shared" si="44"/>
        <v>TASC - FSA  FEES</v>
      </c>
    </row>
    <row r="2205" spans="5:8" x14ac:dyDescent="0.25">
      <c r="E2205" t="str">
        <f>""</f>
        <v/>
      </c>
      <c r="F2205" t="str">
        <f>""</f>
        <v/>
      </c>
      <c r="H2205" t="str">
        <f t="shared" si="44"/>
        <v>TASC - FSA  FEES</v>
      </c>
    </row>
    <row r="2206" spans="5:8" x14ac:dyDescent="0.25">
      <c r="E2206" t="str">
        <f>""</f>
        <v/>
      </c>
      <c r="F2206" t="str">
        <f>""</f>
        <v/>
      </c>
      <c r="H2206" t="str">
        <f t="shared" si="44"/>
        <v>TASC - FSA  FEES</v>
      </c>
    </row>
    <row r="2207" spans="5:8" x14ac:dyDescent="0.25">
      <c r="E2207" t="str">
        <f>""</f>
        <v/>
      </c>
      <c r="F2207" t="str">
        <f>""</f>
        <v/>
      </c>
      <c r="H2207" t="str">
        <f t="shared" si="44"/>
        <v>TASC - FSA  FEES</v>
      </c>
    </row>
    <row r="2208" spans="5:8" x14ac:dyDescent="0.25">
      <c r="E2208" t="str">
        <f>""</f>
        <v/>
      </c>
      <c r="F2208" t="str">
        <f>""</f>
        <v/>
      </c>
      <c r="H2208" t="str">
        <f t="shared" si="44"/>
        <v>TASC - FSA  FEES</v>
      </c>
    </row>
    <row r="2209" spans="5:8" x14ac:dyDescent="0.25">
      <c r="E2209" t="str">
        <f>""</f>
        <v/>
      </c>
      <c r="F2209" t="str">
        <f>""</f>
        <v/>
      </c>
      <c r="H2209" t="str">
        <f t="shared" si="44"/>
        <v>TASC - FSA  FEES</v>
      </c>
    </row>
    <row r="2210" spans="5:8" x14ac:dyDescent="0.25">
      <c r="E2210" t="str">
        <f>"FSF202101061056"</f>
        <v>FSF202101061056</v>
      </c>
      <c r="F2210" t="str">
        <f>"TASC - FSA  FEES"</f>
        <v>TASC - FSA  FEES</v>
      </c>
      <c r="G2210" s="4">
        <v>12.6</v>
      </c>
      <c r="H2210" t="str">
        <f t="shared" si="44"/>
        <v>TASC - FSA  FEES</v>
      </c>
    </row>
    <row r="2211" spans="5:8" x14ac:dyDescent="0.25">
      <c r="E2211" t="str">
        <f>"HRA202101061055"</f>
        <v>HRA202101061055</v>
      </c>
      <c r="F2211" t="str">
        <f>"TASC HRA"</f>
        <v>TASC HRA</v>
      </c>
      <c r="G2211" s="4">
        <v>4875.3900000000003</v>
      </c>
      <c r="H2211" t="str">
        <f t="shared" ref="H2211:H2218" si="45">"TASC HRA"</f>
        <v>TASC HRA</v>
      </c>
    </row>
    <row r="2212" spans="5:8" x14ac:dyDescent="0.25">
      <c r="E2212" t="str">
        <f>""</f>
        <v/>
      </c>
      <c r="F2212" t="str">
        <f>""</f>
        <v/>
      </c>
      <c r="H2212" t="str">
        <f t="shared" si="45"/>
        <v>TASC HRA</v>
      </c>
    </row>
    <row r="2213" spans="5:8" x14ac:dyDescent="0.25">
      <c r="E2213" t="str">
        <f>""</f>
        <v/>
      </c>
      <c r="F2213" t="str">
        <f>""</f>
        <v/>
      </c>
      <c r="H2213" t="str">
        <f t="shared" si="45"/>
        <v>TASC HRA</v>
      </c>
    </row>
    <row r="2214" spans="5:8" x14ac:dyDescent="0.25">
      <c r="E2214" t="str">
        <f>""</f>
        <v/>
      </c>
      <c r="F2214" t="str">
        <f>""</f>
        <v/>
      </c>
      <c r="H2214" t="str">
        <f t="shared" si="45"/>
        <v>TASC HRA</v>
      </c>
    </row>
    <row r="2215" spans="5:8" x14ac:dyDescent="0.25">
      <c r="E2215" t="str">
        <f>""</f>
        <v/>
      </c>
      <c r="F2215" t="str">
        <f>""</f>
        <v/>
      </c>
      <c r="H2215" t="str">
        <f t="shared" si="45"/>
        <v>TASC HRA</v>
      </c>
    </row>
    <row r="2216" spans="5:8" x14ac:dyDescent="0.25">
      <c r="E2216" t="str">
        <f>""</f>
        <v/>
      </c>
      <c r="F2216" t="str">
        <f>""</f>
        <v/>
      </c>
      <c r="H2216" t="str">
        <f t="shared" si="45"/>
        <v>TASC HRA</v>
      </c>
    </row>
    <row r="2217" spans="5:8" x14ac:dyDescent="0.25">
      <c r="E2217" t="str">
        <f>""</f>
        <v/>
      </c>
      <c r="F2217" t="str">
        <f>""</f>
        <v/>
      </c>
      <c r="H2217" t="str">
        <f t="shared" si="45"/>
        <v>TASC HRA</v>
      </c>
    </row>
    <row r="2218" spans="5:8" x14ac:dyDescent="0.25">
      <c r="E2218" t="str">
        <f>""</f>
        <v/>
      </c>
      <c r="F2218" t="str">
        <f>""</f>
        <v/>
      </c>
      <c r="H2218" t="str">
        <f t="shared" si="45"/>
        <v>TASC HRA</v>
      </c>
    </row>
    <row r="2219" spans="5:8" x14ac:dyDescent="0.25">
      <c r="E2219" t="str">
        <f>"HRF202101061055"</f>
        <v>HRF202101061055</v>
      </c>
      <c r="F2219" t="str">
        <f>"TASC - HRA FEES"</f>
        <v>TASC - HRA FEES</v>
      </c>
      <c r="G2219" s="4">
        <v>813.6</v>
      </c>
      <c r="H2219" t="str">
        <f t="shared" ref="H2219:H2250" si="46">"TASC - HRA FEES"</f>
        <v>TASC - HRA FEES</v>
      </c>
    </row>
    <row r="2220" spans="5:8" x14ac:dyDescent="0.25">
      <c r="E2220" t="str">
        <f>""</f>
        <v/>
      </c>
      <c r="F2220" t="str">
        <f>""</f>
        <v/>
      </c>
      <c r="H2220" t="str">
        <f t="shared" si="46"/>
        <v>TASC - HRA FEES</v>
      </c>
    </row>
    <row r="2221" spans="5:8" x14ac:dyDescent="0.25">
      <c r="E2221" t="str">
        <f>""</f>
        <v/>
      </c>
      <c r="F2221" t="str">
        <f>""</f>
        <v/>
      </c>
      <c r="H2221" t="str">
        <f t="shared" si="46"/>
        <v>TASC - HRA FEES</v>
      </c>
    </row>
    <row r="2222" spans="5:8" x14ac:dyDescent="0.25">
      <c r="E2222" t="str">
        <f>""</f>
        <v/>
      </c>
      <c r="F2222" t="str">
        <f>""</f>
        <v/>
      </c>
      <c r="H2222" t="str">
        <f t="shared" si="46"/>
        <v>TASC - HRA FEES</v>
      </c>
    </row>
    <row r="2223" spans="5:8" x14ac:dyDescent="0.25">
      <c r="E2223" t="str">
        <f>""</f>
        <v/>
      </c>
      <c r="F2223" t="str">
        <f>""</f>
        <v/>
      </c>
      <c r="H2223" t="str">
        <f t="shared" si="46"/>
        <v>TASC - HRA FEES</v>
      </c>
    </row>
    <row r="2224" spans="5:8" x14ac:dyDescent="0.25">
      <c r="E2224" t="str">
        <f>""</f>
        <v/>
      </c>
      <c r="F2224" t="str">
        <f>""</f>
        <v/>
      </c>
      <c r="H2224" t="str">
        <f t="shared" si="46"/>
        <v>TASC - HRA FEES</v>
      </c>
    </row>
    <row r="2225" spans="5:8" x14ac:dyDescent="0.25">
      <c r="E2225" t="str">
        <f>""</f>
        <v/>
      </c>
      <c r="F2225" t="str">
        <f>""</f>
        <v/>
      </c>
      <c r="H2225" t="str">
        <f t="shared" si="46"/>
        <v>TASC - HRA FEES</v>
      </c>
    </row>
    <row r="2226" spans="5:8" x14ac:dyDescent="0.25">
      <c r="E2226" t="str">
        <f>""</f>
        <v/>
      </c>
      <c r="F2226" t="str">
        <f>""</f>
        <v/>
      </c>
      <c r="H2226" t="str">
        <f t="shared" si="46"/>
        <v>TASC - HRA FEES</v>
      </c>
    </row>
    <row r="2227" spans="5:8" x14ac:dyDescent="0.25">
      <c r="E2227" t="str">
        <f>""</f>
        <v/>
      </c>
      <c r="F2227" t="str">
        <f>""</f>
        <v/>
      </c>
      <c r="H2227" t="str">
        <f t="shared" si="46"/>
        <v>TASC - HRA FEES</v>
      </c>
    </row>
    <row r="2228" spans="5:8" x14ac:dyDescent="0.25">
      <c r="E2228" t="str">
        <f>""</f>
        <v/>
      </c>
      <c r="F2228" t="str">
        <f>""</f>
        <v/>
      </c>
      <c r="H2228" t="str">
        <f t="shared" si="46"/>
        <v>TASC - HRA FEES</v>
      </c>
    </row>
    <row r="2229" spans="5:8" x14ac:dyDescent="0.25">
      <c r="E2229" t="str">
        <f>""</f>
        <v/>
      </c>
      <c r="F2229" t="str">
        <f>""</f>
        <v/>
      </c>
      <c r="H2229" t="str">
        <f t="shared" si="46"/>
        <v>TASC - HRA FEES</v>
      </c>
    </row>
    <row r="2230" spans="5:8" x14ac:dyDescent="0.25">
      <c r="E2230" t="str">
        <f>""</f>
        <v/>
      </c>
      <c r="F2230" t="str">
        <f>""</f>
        <v/>
      </c>
      <c r="H2230" t="str">
        <f t="shared" si="46"/>
        <v>TASC - HRA FEES</v>
      </c>
    </row>
    <row r="2231" spans="5:8" x14ac:dyDescent="0.25">
      <c r="E2231" t="str">
        <f>""</f>
        <v/>
      </c>
      <c r="F2231" t="str">
        <f>""</f>
        <v/>
      </c>
      <c r="H2231" t="str">
        <f t="shared" si="46"/>
        <v>TASC - HRA FEES</v>
      </c>
    </row>
    <row r="2232" spans="5:8" x14ac:dyDescent="0.25">
      <c r="E2232" t="str">
        <f>""</f>
        <v/>
      </c>
      <c r="F2232" t="str">
        <f>""</f>
        <v/>
      </c>
      <c r="H2232" t="str">
        <f t="shared" si="46"/>
        <v>TASC - HRA FEES</v>
      </c>
    </row>
    <row r="2233" spans="5:8" x14ac:dyDescent="0.25">
      <c r="E2233" t="str">
        <f>""</f>
        <v/>
      </c>
      <c r="F2233" t="str">
        <f>""</f>
        <v/>
      </c>
      <c r="H2233" t="str">
        <f t="shared" si="46"/>
        <v>TASC - HRA FEES</v>
      </c>
    </row>
    <row r="2234" spans="5:8" x14ac:dyDescent="0.25">
      <c r="E2234" t="str">
        <f>""</f>
        <v/>
      </c>
      <c r="F2234" t="str">
        <f>""</f>
        <v/>
      </c>
      <c r="H2234" t="str">
        <f t="shared" si="46"/>
        <v>TASC - HRA FEES</v>
      </c>
    </row>
    <row r="2235" spans="5:8" x14ac:dyDescent="0.25">
      <c r="E2235" t="str">
        <f>""</f>
        <v/>
      </c>
      <c r="F2235" t="str">
        <f>""</f>
        <v/>
      </c>
      <c r="H2235" t="str">
        <f t="shared" si="46"/>
        <v>TASC - HRA FEES</v>
      </c>
    </row>
    <row r="2236" spans="5:8" x14ac:dyDescent="0.25">
      <c r="E2236" t="str">
        <f>""</f>
        <v/>
      </c>
      <c r="F2236" t="str">
        <f>""</f>
        <v/>
      </c>
      <c r="H2236" t="str">
        <f t="shared" si="46"/>
        <v>TASC - HRA FEES</v>
      </c>
    </row>
    <row r="2237" spans="5:8" x14ac:dyDescent="0.25">
      <c r="E2237" t="str">
        <f>""</f>
        <v/>
      </c>
      <c r="F2237" t="str">
        <f>""</f>
        <v/>
      </c>
      <c r="H2237" t="str">
        <f t="shared" si="46"/>
        <v>TASC - HRA FEES</v>
      </c>
    </row>
    <row r="2238" spans="5:8" x14ac:dyDescent="0.25">
      <c r="E2238" t="str">
        <f>""</f>
        <v/>
      </c>
      <c r="F2238" t="str">
        <f>""</f>
        <v/>
      </c>
      <c r="H2238" t="str">
        <f t="shared" si="46"/>
        <v>TASC - HRA FEES</v>
      </c>
    </row>
    <row r="2239" spans="5:8" x14ac:dyDescent="0.25">
      <c r="E2239" t="str">
        <f>""</f>
        <v/>
      </c>
      <c r="F2239" t="str">
        <f>""</f>
        <v/>
      </c>
      <c r="H2239" t="str">
        <f t="shared" si="46"/>
        <v>TASC - HRA FEES</v>
      </c>
    </row>
    <row r="2240" spans="5:8" x14ac:dyDescent="0.25">
      <c r="E2240" t="str">
        <f>""</f>
        <v/>
      </c>
      <c r="F2240" t="str">
        <f>""</f>
        <v/>
      </c>
      <c r="H2240" t="str">
        <f t="shared" si="46"/>
        <v>TASC - HRA FEES</v>
      </c>
    </row>
    <row r="2241" spans="5:8" x14ac:dyDescent="0.25">
      <c r="E2241" t="str">
        <f>""</f>
        <v/>
      </c>
      <c r="F2241" t="str">
        <f>""</f>
        <v/>
      </c>
      <c r="H2241" t="str">
        <f t="shared" si="46"/>
        <v>TASC - HRA FEES</v>
      </c>
    </row>
    <row r="2242" spans="5:8" x14ac:dyDescent="0.25">
      <c r="E2242" t="str">
        <f>""</f>
        <v/>
      </c>
      <c r="F2242" t="str">
        <f>""</f>
        <v/>
      </c>
      <c r="H2242" t="str">
        <f t="shared" si="46"/>
        <v>TASC - HRA FEES</v>
      </c>
    </row>
    <row r="2243" spans="5:8" x14ac:dyDescent="0.25">
      <c r="E2243" t="str">
        <f>""</f>
        <v/>
      </c>
      <c r="F2243" t="str">
        <f>""</f>
        <v/>
      </c>
      <c r="H2243" t="str">
        <f t="shared" si="46"/>
        <v>TASC - HRA FEES</v>
      </c>
    </row>
    <row r="2244" spans="5:8" x14ac:dyDescent="0.25">
      <c r="E2244" t="str">
        <f>""</f>
        <v/>
      </c>
      <c r="F2244" t="str">
        <f>""</f>
        <v/>
      </c>
      <c r="H2244" t="str">
        <f t="shared" si="46"/>
        <v>TASC - HRA FEES</v>
      </c>
    </row>
    <row r="2245" spans="5:8" x14ac:dyDescent="0.25">
      <c r="E2245" t="str">
        <f>""</f>
        <v/>
      </c>
      <c r="F2245" t="str">
        <f>""</f>
        <v/>
      </c>
      <c r="H2245" t="str">
        <f t="shared" si="46"/>
        <v>TASC - HRA FEES</v>
      </c>
    </row>
    <row r="2246" spans="5:8" x14ac:dyDescent="0.25">
      <c r="E2246" t="str">
        <f>""</f>
        <v/>
      </c>
      <c r="F2246" t="str">
        <f>""</f>
        <v/>
      </c>
      <c r="H2246" t="str">
        <f t="shared" si="46"/>
        <v>TASC - HRA FEES</v>
      </c>
    </row>
    <row r="2247" spans="5:8" x14ac:dyDescent="0.25">
      <c r="E2247" t="str">
        <f>""</f>
        <v/>
      </c>
      <c r="F2247" t="str">
        <f>""</f>
        <v/>
      </c>
      <c r="H2247" t="str">
        <f t="shared" si="46"/>
        <v>TASC - HRA FEES</v>
      </c>
    </row>
    <row r="2248" spans="5:8" x14ac:dyDescent="0.25">
      <c r="E2248" t="str">
        <f>""</f>
        <v/>
      </c>
      <c r="F2248" t="str">
        <f>""</f>
        <v/>
      </c>
      <c r="H2248" t="str">
        <f t="shared" si="46"/>
        <v>TASC - HRA FEES</v>
      </c>
    </row>
    <row r="2249" spans="5:8" x14ac:dyDescent="0.25">
      <c r="E2249" t="str">
        <f>""</f>
        <v/>
      </c>
      <c r="F2249" t="str">
        <f>""</f>
        <v/>
      </c>
      <c r="H2249" t="str">
        <f t="shared" si="46"/>
        <v>TASC - HRA FEES</v>
      </c>
    </row>
    <row r="2250" spans="5:8" x14ac:dyDescent="0.25">
      <c r="E2250" t="str">
        <f>""</f>
        <v/>
      </c>
      <c r="F2250" t="str">
        <f>""</f>
        <v/>
      </c>
      <c r="H2250" t="str">
        <f t="shared" si="46"/>
        <v>TASC - HRA FEES</v>
      </c>
    </row>
    <row r="2251" spans="5:8" x14ac:dyDescent="0.25">
      <c r="E2251" t="str">
        <f>""</f>
        <v/>
      </c>
      <c r="F2251" t="str">
        <f>""</f>
        <v/>
      </c>
      <c r="H2251" t="str">
        <f t="shared" ref="H2251:H2270" si="47">"TASC - HRA FEES"</f>
        <v>TASC - HRA FEES</v>
      </c>
    </row>
    <row r="2252" spans="5:8" x14ac:dyDescent="0.25">
      <c r="E2252" t="str">
        <f>""</f>
        <v/>
      </c>
      <c r="F2252" t="str">
        <f>""</f>
        <v/>
      </c>
      <c r="H2252" t="str">
        <f t="shared" si="47"/>
        <v>TASC - HRA FEES</v>
      </c>
    </row>
    <row r="2253" spans="5:8" x14ac:dyDescent="0.25">
      <c r="E2253" t="str">
        <f>""</f>
        <v/>
      </c>
      <c r="F2253" t="str">
        <f>""</f>
        <v/>
      </c>
      <c r="H2253" t="str">
        <f t="shared" si="47"/>
        <v>TASC - HRA FEES</v>
      </c>
    </row>
    <row r="2254" spans="5:8" x14ac:dyDescent="0.25">
      <c r="E2254" t="str">
        <f>""</f>
        <v/>
      </c>
      <c r="F2254" t="str">
        <f>""</f>
        <v/>
      </c>
      <c r="H2254" t="str">
        <f t="shared" si="47"/>
        <v>TASC - HRA FEES</v>
      </c>
    </row>
    <row r="2255" spans="5:8" x14ac:dyDescent="0.25">
      <c r="E2255" t="str">
        <f>""</f>
        <v/>
      </c>
      <c r="F2255" t="str">
        <f>""</f>
        <v/>
      </c>
      <c r="H2255" t="str">
        <f t="shared" si="47"/>
        <v>TASC - HRA FEES</v>
      </c>
    </row>
    <row r="2256" spans="5:8" x14ac:dyDescent="0.25">
      <c r="E2256" t="str">
        <f>""</f>
        <v/>
      </c>
      <c r="F2256" t="str">
        <f>""</f>
        <v/>
      </c>
      <c r="H2256" t="str">
        <f t="shared" si="47"/>
        <v>TASC - HRA FEES</v>
      </c>
    </row>
    <row r="2257" spans="1:8" x14ac:dyDescent="0.25">
      <c r="E2257" t="str">
        <f>""</f>
        <v/>
      </c>
      <c r="F2257" t="str">
        <f>""</f>
        <v/>
      </c>
      <c r="H2257" t="str">
        <f t="shared" si="47"/>
        <v>TASC - HRA FEES</v>
      </c>
    </row>
    <row r="2258" spans="1:8" x14ac:dyDescent="0.25">
      <c r="E2258" t="str">
        <f>""</f>
        <v/>
      </c>
      <c r="F2258" t="str">
        <f>""</f>
        <v/>
      </c>
      <c r="H2258" t="str">
        <f t="shared" si="47"/>
        <v>TASC - HRA FEES</v>
      </c>
    </row>
    <row r="2259" spans="1:8" x14ac:dyDescent="0.25">
      <c r="E2259" t="str">
        <f>""</f>
        <v/>
      </c>
      <c r="F2259" t="str">
        <f>""</f>
        <v/>
      </c>
      <c r="H2259" t="str">
        <f t="shared" si="47"/>
        <v>TASC - HRA FEES</v>
      </c>
    </row>
    <row r="2260" spans="1:8" x14ac:dyDescent="0.25">
      <c r="E2260" t="str">
        <f>""</f>
        <v/>
      </c>
      <c r="F2260" t="str">
        <f>""</f>
        <v/>
      </c>
      <c r="H2260" t="str">
        <f t="shared" si="47"/>
        <v>TASC - HRA FEES</v>
      </c>
    </row>
    <row r="2261" spans="1:8" x14ac:dyDescent="0.25">
      <c r="E2261" t="str">
        <f>""</f>
        <v/>
      </c>
      <c r="F2261" t="str">
        <f>""</f>
        <v/>
      </c>
      <c r="H2261" t="str">
        <f t="shared" si="47"/>
        <v>TASC - HRA FEES</v>
      </c>
    </row>
    <row r="2262" spans="1:8" x14ac:dyDescent="0.25">
      <c r="E2262" t="str">
        <f>""</f>
        <v/>
      </c>
      <c r="F2262" t="str">
        <f>""</f>
        <v/>
      </c>
      <c r="H2262" t="str">
        <f t="shared" si="47"/>
        <v>TASC - HRA FEES</v>
      </c>
    </row>
    <row r="2263" spans="1:8" x14ac:dyDescent="0.25">
      <c r="E2263" t="str">
        <f>""</f>
        <v/>
      </c>
      <c r="F2263" t="str">
        <f>""</f>
        <v/>
      </c>
      <c r="H2263" t="str">
        <f t="shared" si="47"/>
        <v>TASC - HRA FEES</v>
      </c>
    </row>
    <row r="2264" spans="1:8" x14ac:dyDescent="0.25">
      <c r="E2264" t="str">
        <f>""</f>
        <v/>
      </c>
      <c r="F2264" t="str">
        <f>""</f>
        <v/>
      </c>
      <c r="H2264" t="str">
        <f t="shared" si="47"/>
        <v>TASC - HRA FEES</v>
      </c>
    </row>
    <row r="2265" spans="1:8" x14ac:dyDescent="0.25">
      <c r="E2265" t="str">
        <f>""</f>
        <v/>
      </c>
      <c r="F2265" t="str">
        <f>""</f>
        <v/>
      </c>
      <c r="H2265" t="str">
        <f t="shared" si="47"/>
        <v>TASC - HRA FEES</v>
      </c>
    </row>
    <row r="2266" spans="1:8" x14ac:dyDescent="0.25">
      <c r="E2266" t="str">
        <f>""</f>
        <v/>
      </c>
      <c r="F2266" t="str">
        <f>""</f>
        <v/>
      </c>
      <c r="H2266" t="str">
        <f t="shared" si="47"/>
        <v>TASC - HRA FEES</v>
      </c>
    </row>
    <row r="2267" spans="1:8" x14ac:dyDescent="0.25">
      <c r="E2267" t="str">
        <f>""</f>
        <v/>
      </c>
      <c r="F2267" t="str">
        <f>""</f>
        <v/>
      </c>
      <c r="H2267" t="str">
        <f t="shared" si="47"/>
        <v>TASC - HRA FEES</v>
      </c>
    </row>
    <row r="2268" spans="1:8" x14ac:dyDescent="0.25">
      <c r="E2268" t="str">
        <f>""</f>
        <v/>
      </c>
      <c r="F2268" t="str">
        <f>""</f>
        <v/>
      </c>
      <c r="H2268" t="str">
        <f t="shared" si="47"/>
        <v>TASC - HRA FEES</v>
      </c>
    </row>
    <row r="2269" spans="1:8" x14ac:dyDescent="0.25">
      <c r="E2269" t="str">
        <f>""</f>
        <v/>
      </c>
      <c r="F2269" t="str">
        <f>""</f>
        <v/>
      </c>
      <c r="H2269" t="str">
        <f t="shared" si="47"/>
        <v>TASC - HRA FEES</v>
      </c>
    </row>
    <row r="2270" spans="1:8" x14ac:dyDescent="0.25">
      <c r="E2270" t="str">
        <f>"HRF202101061056"</f>
        <v>HRF202101061056</v>
      </c>
      <c r="F2270" t="str">
        <f>"TASC - HRA FEES"</f>
        <v>TASC - HRA FEES</v>
      </c>
      <c r="G2270" s="4">
        <v>27</v>
      </c>
      <c r="H2270" t="str">
        <f t="shared" si="47"/>
        <v>TASC - HRA FEES</v>
      </c>
    </row>
    <row r="2271" spans="1:8" x14ac:dyDescent="0.25">
      <c r="A2271" t="s">
        <v>361</v>
      </c>
      <c r="B2271">
        <v>861</v>
      </c>
      <c r="C2271" s="4">
        <v>8914.35</v>
      </c>
      <c r="D2271" s="1">
        <v>44218</v>
      </c>
      <c r="E2271" t="str">
        <f>"FSA202101201263"</f>
        <v>FSA202101201263</v>
      </c>
      <c r="F2271" t="str">
        <f>"TASC FSA"</f>
        <v>TASC FSA</v>
      </c>
      <c r="G2271" s="4">
        <v>7328.43</v>
      </c>
      <c r="H2271" t="str">
        <f>"TASC FSA"</f>
        <v>TASC FSA</v>
      </c>
    </row>
    <row r="2272" spans="1:8" x14ac:dyDescent="0.25">
      <c r="E2272" t="str">
        <f>"FSA202101201264"</f>
        <v>FSA202101201264</v>
      </c>
      <c r="F2272" t="str">
        <f>"TASC FSA"</f>
        <v>TASC FSA</v>
      </c>
      <c r="G2272" s="4">
        <v>443.32</v>
      </c>
      <c r="H2272" t="str">
        <f>"TASC FSA"</f>
        <v>TASC FSA</v>
      </c>
    </row>
    <row r="2273" spans="5:8" x14ac:dyDescent="0.25">
      <c r="E2273" t="str">
        <f>"FSC202101201263"</f>
        <v>FSC202101201263</v>
      </c>
      <c r="F2273" t="str">
        <f>"TASC DEPENDENT CARE"</f>
        <v>TASC DEPENDENT CARE</v>
      </c>
      <c r="G2273" s="4">
        <v>50</v>
      </c>
      <c r="H2273" t="str">
        <f>"TASC DEPENDENT CARE"</f>
        <v>TASC DEPENDENT CARE</v>
      </c>
    </row>
    <row r="2274" spans="5:8" x14ac:dyDescent="0.25">
      <c r="E2274" t="str">
        <f>"FSF202101201263"</f>
        <v>FSF202101201263</v>
      </c>
      <c r="F2274" t="str">
        <f>"TASC - FSA  FEES"</f>
        <v>TASC - FSA  FEES</v>
      </c>
      <c r="G2274" s="4">
        <v>243</v>
      </c>
      <c r="H2274" t="str">
        <f t="shared" ref="H2274:H2314" si="48">"TASC - FSA  FEES"</f>
        <v>TASC - FSA 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48"/>
        <v>TASC - FSA 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48"/>
        <v>TASC - FSA  FEES</v>
      </c>
    </row>
    <row r="2277" spans="5:8" x14ac:dyDescent="0.25">
      <c r="E2277" t="str">
        <f>""</f>
        <v/>
      </c>
      <c r="F2277" t="str">
        <f>""</f>
        <v/>
      </c>
      <c r="H2277" t="str">
        <f t="shared" si="48"/>
        <v>TASC - FSA  FEES</v>
      </c>
    </row>
    <row r="2278" spans="5:8" x14ac:dyDescent="0.25">
      <c r="E2278" t="str">
        <f>""</f>
        <v/>
      </c>
      <c r="F2278" t="str">
        <f>""</f>
        <v/>
      </c>
      <c r="H2278" t="str">
        <f t="shared" si="48"/>
        <v>TASC - FSA 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48"/>
        <v>TASC - FSA 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48"/>
        <v>TASC - FSA 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48"/>
        <v>TASC - FSA 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48"/>
        <v>TASC - FSA 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48"/>
        <v>TASC - FSA 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48"/>
        <v>TASC - FSA 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48"/>
        <v>TASC - FSA 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48"/>
        <v>TASC - FSA 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48"/>
        <v>TASC - FSA 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48"/>
        <v>TASC - FSA 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48"/>
        <v>TASC - FSA 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48"/>
        <v>TASC - FSA 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48"/>
        <v>TASC - FSA  FEES</v>
      </c>
    </row>
    <row r="2292" spans="5:8" x14ac:dyDescent="0.25">
      <c r="E2292" t="str">
        <f>""</f>
        <v/>
      </c>
      <c r="F2292" t="str">
        <f>""</f>
        <v/>
      </c>
      <c r="H2292" t="str">
        <f t="shared" si="48"/>
        <v>TASC - FSA 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48"/>
        <v>TASC - FSA 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48"/>
        <v>TASC - FSA 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48"/>
        <v>TASC - FSA 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48"/>
        <v>TASC - FSA 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48"/>
        <v>TASC - FSA 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48"/>
        <v>TASC - FSA 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48"/>
        <v>TASC - FSA 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48"/>
        <v>TASC - FSA 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48"/>
        <v>TASC - FSA 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48"/>
        <v>TASC - FSA 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48"/>
        <v>TASC - FSA 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48"/>
        <v>TASC - FSA  FEES</v>
      </c>
    </row>
    <row r="2305" spans="5:8" x14ac:dyDescent="0.25">
      <c r="E2305" t="str">
        <f>""</f>
        <v/>
      </c>
      <c r="F2305" t="str">
        <f>""</f>
        <v/>
      </c>
      <c r="H2305" t="str">
        <f t="shared" si="48"/>
        <v>TASC - FSA 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48"/>
        <v>TASC - FSA 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48"/>
        <v>TASC - FSA 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48"/>
        <v>TASC - FSA 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48"/>
        <v>TASC - FSA  FEES</v>
      </c>
    </row>
    <row r="2310" spans="5:8" x14ac:dyDescent="0.25">
      <c r="E2310" t="str">
        <f>""</f>
        <v/>
      </c>
      <c r="F2310" t="str">
        <f>""</f>
        <v/>
      </c>
      <c r="H2310" t="str">
        <f t="shared" si="48"/>
        <v>TASC - FSA 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48"/>
        <v>TASC - FSA 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48"/>
        <v>TASC - FSA 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48"/>
        <v>TASC - FSA  FEES</v>
      </c>
    </row>
    <row r="2314" spans="5:8" x14ac:dyDescent="0.25">
      <c r="E2314" t="str">
        <f>"FSF202101201264"</f>
        <v>FSF202101201264</v>
      </c>
      <c r="F2314" t="str">
        <f>"TASC - FSA  FEES"</f>
        <v>TASC - FSA  FEES</v>
      </c>
      <c r="G2314" s="4">
        <v>12.6</v>
      </c>
      <c r="H2314" t="str">
        <f t="shared" si="48"/>
        <v>TASC - FSA  FEES</v>
      </c>
    </row>
    <row r="2315" spans="5:8" x14ac:dyDescent="0.25">
      <c r="E2315" t="str">
        <f>"HRF202101201263"</f>
        <v>HRF202101201263</v>
      </c>
      <c r="F2315" t="str">
        <f>"TASC - HRA FEES"</f>
        <v>TASC - HRA FEES</v>
      </c>
      <c r="G2315" s="4">
        <v>810</v>
      </c>
      <c r="H2315" t="str">
        <f t="shared" ref="H2315:H2346" si="49">"TASC - HRA FEES"</f>
        <v>TASC - HRA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49"/>
        <v>TASC - HRA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49"/>
        <v>TASC - HRA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49"/>
        <v>TASC - HRA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49"/>
        <v>TASC - HRA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49"/>
        <v>TASC - HRA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9"/>
        <v>TASC - HRA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9"/>
        <v>TASC - HRA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9"/>
        <v>TASC - HRA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9"/>
        <v>TASC - HRA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9"/>
        <v>TASC - HRA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9"/>
        <v>TASC - HRA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9"/>
        <v>TASC - HRA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49"/>
        <v>TASC - HRA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49"/>
        <v>TASC - HRA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49"/>
        <v>TASC - HRA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49"/>
        <v>TASC - HRA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49"/>
        <v>TASC - HRA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49"/>
        <v>TASC - HRA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49"/>
        <v>TASC - HRA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9"/>
        <v>TASC - HRA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9"/>
        <v>TASC - HRA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49"/>
        <v>TASC - HRA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49"/>
        <v>TASC - HRA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49"/>
        <v>TASC - HRA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49"/>
        <v>TASC - HRA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49"/>
        <v>TASC - HRA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49"/>
        <v>TASC - HRA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49"/>
        <v>TASC - HRA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49"/>
        <v>TASC - HRA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49"/>
        <v>TASC - HRA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49"/>
        <v>TASC - HRA FEES</v>
      </c>
    </row>
    <row r="2347" spans="5:8" x14ac:dyDescent="0.25">
      <c r="E2347" t="str">
        <f>""</f>
        <v/>
      </c>
      <c r="F2347" t="str">
        <f>""</f>
        <v/>
      </c>
      <c r="H2347" t="str">
        <f t="shared" ref="H2347:H2366" si="50">"TASC - HRA FEES"</f>
        <v>TASC - HRA FEES</v>
      </c>
    </row>
    <row r="2348" spans="5:8" x14ac:dyDescent="0.25">
      <c r="E2348" t="str">
        <f>""</f>
        <v/>
      </c>
      <c r="F2348" t="str">
        <f>""</f>
        <v/>
      </c>
      <c r="H2348" t="str">
        <f t="shared" si="50"/>
        <v>TASC - HRA FEES</v>
      </c>
    </row>
    <row r="2349" spans="5:8" x14ac:dyDescent="0.25">
      <c r="E2349" t="str">
        <f>""</f>
        <v/>
      </c>
      <c r="F2349" t="str">
        <f>""</f>
        <v/>
      </c>
      <c r="H2349" t="str">
        <f t="shared" si="50"/>
        <v>TASC - HRA FEES</v>
      </c>
    </row>
    <row r="2350" spans="5:8" x14ac:dyDescent="0.25">
      <c r="E2350" t="str">
        <f>""</f>
        <v/>
      </c>
      <c r="F2350" t="str">
        <f>""</f>
        <v/>
      </c>
      <c r="H2350" t="str">
        <f t="shared" si="50"/>
        <v>TASC - HRA FEES</v>
      </c>
    </row>
    <row r="2351" spans="5:8" x14ac:dyDescent="0.25">
      <c r="E2351" t="str">
        <f>""</f>
        <v/>
      </c>
      <c r="F2351" t="str">
        <f>""</f>
        <v/>
      </c>
      <c r="H2351" t="str">
        <f t="shared" si="50"/>
        <v>TASC - HRA FEES</v>
      </c>
    </row>
    <row r="2352" spans="5:8" x14ac:dyDescent="0.25">
      <c r="E2352" t="str">
        <f>""</f>
        <v/>
      </c>
      <c r="F2352" t="str">
        <f>""</f>
        <v/>
      </c>
      <c r="H2352" t="str">
        <f t="shared" si="50"/>
        <v>TASC - HRA FEES</v>
      </c>
    </row>
    <row r="2353" spans="1:8" x14ac:dyDescent="0.25">
      <c r="E2353" t="str">
        <f>""</f>
        <v/>
      </c>
      <c r="F2353" t="str">
        <f>""</f>
        <v/>
      </c>
      <c r="H2353" t="str">
        <f t="shared" si="50"/>
        <v>TASC - HRA FEES</v>
      </c>
    </row>
    <row r="2354" spans="1:8" x14ac:dyDescent="0.25">
      <c r="E2354" t="str">
        <f>""</f>
        <v/>
      </c>
      <c r="F2354" t="str">
        <f>""</f>
        <v/>
      </c>
      <c r="H2354" t="str">
        <f t="shared" si="50"/>
        <v>TASC - HRA FEES</v>
      </c>
    </row>
    <row r="2355" spans="1:8" x14ac:dyDescent="0.25">
      <c r="E2355" t="str">
        <f>""</f>
        <v/>
      </c>
      <c r="F2355" t="str">
        <f>""</f>
        <v/>
      </c>
      <c r="H2355" t="str">
        <f t="shared" si="50"/>
        <v>TASC - HRA FEES</v>
      </c>
    </row>
    <row r="2356" spans="1:8" x14ac:dyDescent="0.25">
      <c r="E2356" t="str">
        <f>""</f>
        <v/>
      </c>
      <c r="F2356" t="str">
        <f>""</f>
        <v/>
      </c>
      <c r="H2356" t="str">
        <f t="shared" si="50"/>
        <v>TASC - HRA FEES</v>
      </c>
    </row>
    <row r="2357" spans="1:8" x14ac:dyDescent="0.25">
      <c r="E2357" t="str">
        <f>""</f>
        <v/>
      </c>
      <c r="F2357" t="str">
        <f>""</f>
        <v/>
      </c>
      <c r="H2357" t="str">
        <f t="shared" si="50"/>
        <v>TASC - HRA FEES</v>
      </c>
    </row>
    <row r="2358" spans="1:8" x14ac:dyDescent="0.25">
      <c r="E2358" t="str">
        <f>""</f>
        <v/>
      </c>
      <c r="F2358" t="str">
        <f>""</f>
        <v/>
      </c>
      <c r="H2358" t="str">
        <f t="shared" si="50"/>
        <v>TASC - HRA FEES</v>
      </c>
    </row>
    <row r="2359" spans="1:8" x14ac:dyDescent="0.25">
      <c r="E2359" t="str">
        <f>""</f>
        <v/>
      </c>
      <c r="F2359" t="str">
        <f>""</f>
        <v/>
      </c>
      <c r="H2359" t="str">
        <f t="shared" si="50"/>
        <v>TASC - HRA FEES</v>
      </c>
    </row>
    <row r="2360" spans="1:8" x14ac:dyDescent="0.25">
      <c r="E2360" t="str">
        <f>""</f>
        <v/>
      </c>
      <c r="F2360" t="str">
        <f>""</f>
        <v/>
      </c>
      <c r="H2360" t="str">
        <f t="shared" si="50"/>
        <v>TASC - HRA FEES</v>
      </c>
    </row>
    <row r="2361" spans="1:8" x14ac:dyDescent="0.25">
      <c r="E2361" t="str">
        <f>""</f>
        <v/>
      </c>
      <c r="F2361" t="str">
        <f>""</f>
        <v/>
      </c>
      <c r="H2361" t="str">
        <f t="shared" si="50"/>
        <v>TASC - HRA FEES</v>
      </c>
    </row>
    <row r="2362" spans="1:8" x14ac:dyDescent="0.25">
      <c r="E2362" t="str">
        <f>""</f>
        <v/>
      </c>
      <c r="F2362" t="str">
        <f>""</f>
        <v/>
      </c>
      <c r="H2362" t="str">
        <f t="shared" si="50"/>
        <v>TASC - HRA FEES</v>
      </c>
    </row>
    <row r="2363" spans="1:8" x14ac:dyDescent="0.25">
      <c r="E2363" t="str">
        <f>""</f>
        <v/>
      </c>
      <c r="F2363" t="str">
        <f>""</f>
        <v/>
      </c>
      <c r="H2363" t="str">
        <f t="shared" si="50"/>
        <v>TASC - HRA FEES</v>
      </c>
    </row>
    <row r="2364" spans="1:8" x14ac:dyDescent="0.25">
      <c r="E2364" t="str">
        <f>""</f>
        <v/>
      </c>
      <c r="F2364" t="str">
        <f>""</f>
        <v/>
      </c>
      <c r="H2364" t="str">
        <f t="shared" si="50"/>
        <v>TASC - HRA FEES</v>
      </c>
    </row>
    <row r="2365" spans="1:8" x14ac:dyDescent="0.25">
      <c r="E2365" t="str">
        <f>""</f>
        <v/>
      </c>
      <c r="F2365" t="str">
        <f>""</f>
        <v/>
      </c>
      <c r="H2365" t="str">
        <f t="shared" si="50"/>
        <v>TASC - HRA FEES</v>
      </c>
    </row>
    <row r="2366" spans="1:8" x14ac:dyDescent="0.25">
      <c r="E2366" t="str">
        <f>"HRF202101201264"</f>
        <v>HRF202101201264</v>
      </c>
      <c r="F2366" t="str">
        <f>"TASC - HRA FEES"</f>
        <v>TASC - HRA FEES</v>
      </c>
      <c r="G2366" s="4">
        <v>27</v>
      </c>
      <c r="H2366" t="str">
        <f t="shared" si="50"/>
        <v>TASC - HRA FEES</v>
      </c>
    </row>
    <row r="2367" spans="1:8" x14ac:dyDescent="0.25">
      <c r="A2367" t="s">
        <v>362</v>
      </c>
      <c r="B2367">
        <v>851</v>
      </c>
      <c r="C2367" s="4">
        <v>4629.17</v>
      </c>
      <c r="D2367" s="1">
        <v>44204</v>
      </c>
      <c r="E2367" t="str">
        <f>"C2 202101061056"</f>
        <v>C2 202101061056</v>
      </c>
      <c r="F2367" t="str">
        <f>"0012982132CCL7445"</f>
        <v>0012982132CCL7445</v>
      </c>
      <c r="G2367" s="4">
        <v>692.31</v>
      </c>
      <c r="H2367" t="str">
        <f>"0012982132CCL7445"</f>
        <v>0012982132CCL7445</v>
      </c>
    </row>
    <row r="2368" spans="1:8" x14ac:dyDescent="0.25">
      <c r="E2368" t="str">
        <f>"C20202101061055"</f>
        <v>C20202101061055</v>
      </c>
      <c r="F2368" t="str">
        <f>"001003981107-12252"</f>
        <v>001003981107-12252</v>
      </c>
      <c r="G2368" s="4">
        <v>115.39</v>
      </c>
      <c r="H2368" t="str">
        <f>"001003981107-12252"</f>
        <v>001003981107-12252</v>
      </c>
    </row>
    <row r="2369" spans="5:8" x14ac:dyDescent="0.25">
      <c r="E2369" t="str">
        <f>"C42202101061055"</f>
        <v>C42202101061055</v>
      </c>
      <c r="F2369" t="str">
        <f>"001236769211-14410"</f>
        <v>001236769211-14410</v>
      </c>
      <c r="G2369" s="4">
        <v>230.31</v>
      </c>
      <c r="H2369" t="str">
        <f>"001236769211-14410"</f>
        <v>001236769211-14410</v>
      </c>
    </row>
    <row r="2370" spans="5:8" x14ac:dyDescent="0.25">
      <c r="E2370" t="str">
        <f>"C46202101061055"</f>
        <v>C46202101061055</v>
      </c>
      <c r="F2370" t="str">
        <f>"CAUSE# 11-14911"</f>
        <v>CAUSE# 11-14911</v>
      </c>
      <c r="G2370" s="4">
        <v>238.62</v>
      </c>
      <c r="H2370" t="str">
        <f>"CAUSE# 11-14911"</f>
        <v>CAUSE# 11-14911</v>
      </c>
    </row>
    <row r="2371" spans="5:8" x14ac:dyDescent="0.25">
      <c r="E2371" t="str">
        <f>"C60202101061055"</f>
        <v>C60202101061055</v>
      </c>
      <c r="F2371" t="str">
        <f>"00130730762012V300"</f>
        <v>00130730762012V300</v>
      </c>
      <c r="G2371" s="4">
        <v>399.32</v>
      </c>
      <c r="H2371" t="str">
        <f>"00130730762012V300"</f>
        <v>00130730762012V300</v>
      </c>
    </row>
    <row r="2372" spans="5:8" x14ac:dyDescent="0.25">
      <c r="E2372" t="str">
        <f>"C62202101061055"</f>
        <v>C62202101061055</v>
      </c>
      <c r="F2372" t="str">
        <f>"# 0012128865"</f>
        <v># 0012128865</v>
      </c>
      <c r="G2372" s="4">
        <v>243.23</v>
      </c>
      <c r="H2372" t="str">
        <f>"# 0012128865"</f>
        <v># 0012128865</v>
      </c>
    </row>
    <row r="2373" spans="5:8" x14ac:dyDescent="0.25">
      <c r="E2373" t="str">
        <f>"C66202101061055"</f>
        <v>C66202101061055</v>
      </c>
      <c r="F2373" t="str">
        <f>"# 0012871801"</f>
        <v># 0012871801</v>
      </c>
      <c r="G2373" s="4">
        <v>90</v>
      </c>
      <c r="H2373" t="str">
        <f>"# 0012871801"</f>
        <v># 0012871801</v>
      </c>
    </row>
    <row r="2374" spans="5:8" x14ac:dyDescent="0.25">
      <c r="E2374" t="str">
        <f>"C67202101061055"</f>
        <v>C67202101061055</v>
      </c>
      <c r="F2374" t="str">
        <f>"13154657"</f>
        <v>13154657</v>
      </c>
      <c r="G2374" s="4">
        <v>101.99</v>
      </c>
      <c r="H2374" t="str">
        <f>"13154657"</f>
        <v>13154657</v>
      </c>
    </row>
    <row r="2375" spans="5:8" x14ac:dyDescent="0.25">
      <c r="E2375" t="str">
        <f>"C69202101061055"</f>
        <v>C69202101061055</v>
      </c>
      <c r="F2375" t="str">
        <f>"0012046911423672"</f>
        <v>0012046911423672</v>
      </c>
      <c r="G2375" s="4">
        <v>187.38</v>
      </c>
      <c r="H2375" t="str">
        <f>"0012046911423672"</f>
        <v>0012046911423672</v>
      </c>
    </row>
    <row r="2376" spans="5:8" x14ac:dyDescent="0.25">
      <c r="E2376" t="str">
        <f>"C71202101061055"</f>
        <v>C71202101061055</v>
      </c>
      <c r="F2376" t="str">
        <f>"00137390532018V215"</f>
        <v>00137390532018V215</v>
      </c>
      <c r="G2376" s="4">
        <v>264</v>
      </c>
      <c r="H2376" t="str">
        <f>"00137390532018V215"</f>
        <v>00137390532018V215</v>
      </c>
    </row>
    <row r="2377" spans="5:8" x14ac:dyDescent="0.25">
      <c r="E2377" t="str">
        <f>"C72202101061055"</f>
        <v>C72202101061055</v>
      </c>
      <c r="F2377" t="str">
        <f>"0012797601C20130529B"</f>
        <v>0012797601C20130529B</v>
      </c>
      <c r="G2377" s="4">
        <v>241.85</v>
      </c>
      <c r="H2377" t="str">
        <f>"0012797601C20130529B"</f>
        <v>0012797601C20130529B</v>
      </c>
    </row>
    <row r="2378" spans="5:8" x14ac:dyDescent="0.25">
      <c r="E2378" t="str">
        <f>"C78202101061055"</f>
        <v>C78202101061055</v>
      </c>
      <c r="F2378" t="str">
        <f>"00105115972005106221"</f>
        <v>00105115972005106221</v>
      </c>
      <c r="G2378" s="4">
        <v>144.68</v>
      </c>
      <c r="H2378" t="str">
        <f>"00105115972005106221"</f>
        <v>00105115972005106221</v>
      </c>
    </row>
    <row r="2379" spans="5:8" x14ac:dyDescent="0.25">
      <c r="E2379" t="str">
        <f>"C83202101061055"</f>
        <v>C83202101061055</v>
      </c>
      <c r="F2379" t="str">
        <f>"0013096953150533"</f>
        <v>0013096953150533</v>
      </c>
      <c r="G2379" s="4">
        <v>346.15</v>
      </c>
      <c r="H2379" t="str">
        <f>"0013096953150533"</f>
        <v>0013096953150533</v>
      </c>
    </row>
    <row r="2380" spans="5:8" x14ac:dyDescent="0.25">
      <c r="E2380" t="str">
        <f>"C84202101061055"</f>
        <v>C84202101061055</v>
      </c>
      <c r="F2380" t="str">
        <f>"00128499834232566"</f>
        <v>00128499834232566</v>
      </c>
      <c r="G2380" s="4">
        <v>439.94</v>
      </c>
      <c r="H2380" t="str">
        <f>"00128499834232566"</f>
        <v>00128499834232566</v>
      </c>
    </row>
    <row r="2381" spans="5:8" x14ac:dyDescent="0.25">
      <c r="E2381" t="str">
        <f>"C85202101061055"</f>
        <v>C85202101061055</v>
      </c>
      <c r="F2381" t="str">
        <f>"0012469425201770874"</f>
        <v>0012469425201770874</v>
      </c>
      <c r="G2381" s="4">
        <v>138.46</v>
      </c>
      <c r="H2381" t="str">
        <f>"0012469425201770874"</f>
        <v>0012469425201770874</v>
      </c>
    </row>
    <row r="2382" spans="5:8" x14ac:dyDescent="0.25">
      <c r="E2382" t="str">
        <f>"C86202101061055"</f>
        <v>C86202101061055</v>
      </c>
      <c r="F2382" t="str">
        <f>"0013854015101285F"</f>
        <v>0013854015101285F</v>
      </c>
      <c r="G2382" s="4">
        <v>241.85</v>
      </c>
      <c r="H2382" t="str">
        <f>"0013854015101285F"</f>
        <v>0013854015101285F</v>
      </c>
    </row>
    <row r="2383" spans="5:8" x14ac:dyDescent="0.25">
      <c r="E2383" t="str">
        <f>"C87202101061055"</f>
        <v>C87202101061055</v>
      </c>
      <c r="F2383" t="str">
        <f>"0012963634L130019CVB"</f>
        <v>0012963634L130019CVB</v>
      </c>
      <c r="G2383" s="4">
        <v>249.23</v>
      </c>
      <c r="H2383" t="str">
        <f>"0012963634L130019CVB"</f>
        <v>0012963634L130019CVB</v>
      </c>
    </row>
    <row r="2384" spans="5:8" x14ac:dyDescent="0.25">
      <c r="E2384" t="str">
        <f>"C89202101061055"</f>
        <v>C89202101061055</v>
      </c>
      <c r="F2384" t="str">
        <f>"00127760434232477"</f>
        <v>00127760434232477</v>
      </c>
      <c r="G2384" s="4">
        <v>129.69</v>
      </c>
      <c r="H2384" t="str">
        <f>"00127760434232477"</f>
        <v>00127760434232477</v>
      </c>
    </row>
    <row r="2385" spans="1:8" x14ac:dyDescent="0.25">
      <c r="E2385" t="str">
        <f>"C90202101061055"</f>
        <v>C90202101061055</v>
      </c>
      <c r="F2385" t="str">
        <f>"00116477472008EM5013"</f>
        <v>00116477472008EM5013</v>
      </c>
      <c r="G2385" s="4">
        <v>134.77000000000001</v>
      </c>
      <c r="H2385" t="str">
        <f>"00116477472008EM5013"</f>
        <v>00116477472008EM5013</v>
      </c>
    </row>
    <row r="2386" spans="1:8" x14ac:dyDescent="0.25">
      <c r="A2386" t="s">
        <v>362</v>
      </c>
      <c r="B2386">
        <v>860</v>
      </c>
      <c r="C2386" s="4">
        <v>4629.17</v>
      </c>
      <c r="D2386" s="1">
        <v>44218</v>
      </c>
      <c r="E2386" t="str">
        <f>"C2 202101201264"</f>
        <v>C2 202101201264</v>
      </c>
      <c r="F2386" t="str">
        <f>"0012982132CCL7445"</f>
        <v>0012982132CCL7445</v>
      </c>
      <c r="G2386" s="4">
        <v>692.31</v>
      </c>
      <c r="H2386" t="str">
        <f>"0012982132CCL7445"</f>
        <v>0012982132CCL7445</v>
      </c>
    </row>
    <row r="2387" spans="1:8" x14ac:dyDescent="0.25">
      <c r="E2387" t="str">
        <f>"C20202101201263"</f>
        <v>C20202101201263</v>
      </c>
      <c r="F2387" t="str">
        <f>"001003981107-12252"</f>
        <v>001003981107-12252</v>
      </c>
      <c r="G2387" s="4">
        <v>115.39</v>
      </c>
      <c r="H2387" t="str">
        <f>"001003981107-12252"</f>
        <v>001003981107-12252</v>
      </c>
    </row>
    <row r="2388" spans="1:8" x14ac:dyDescent="0.25">
      <c r="E2388" t="str">
        <f>"C42202101201263"</f>
        <v>C42202101201263</v>
      </c>
      <c r="F2388" t="str">
        <f>"001236769211-14410"</f>
        <v>001236769211-14410</v>
      </c>
      <c r="G2388" s="4">
        <v>230.31</v>
      </c>
      <c r="H2388" t="str">
        <f>"001236769211-14410"</f>
        <v>001236769211-14410</v>
      </c>
    </row>
    <row r="2389" spans="1:8" x14ac:dyDescent="0.25">
      <c r="E2389" t="str">
        <f>"C46202101201263"</f>
        <v>C46202101201263</v>
      </c>
      <c r="F2389" t="str">
        <f>"CAUSE# 11-14911"</f>
        <v>CAUSE# 11-14911</v>
      </c>
      <c r="G2389" s="4">
        <v>238.62</v>
      </c>
      <c r="H2389" t="str">
        <f>"CAUSE# 11-14911"</f>
        <v>CAUSE# 11-14911</v>
      </c>
    </row>
    <row r="2390" spans="1:8" x14ac:dyDescent="0.25">
      <c r="E2390" t="str">
        <f>"C60202101201263"</f>
        <v>C60202101201263</v>
      </c>
      <c r="F2390" t="str">
        <f>"00130730762012V300"</f>
        <v>00130730762012V300</v>
      </c>
      <c r="G2390" s="4">
        <v>399.32</v>
      </c>
      <c r="H2390" t="str">
        <f>"00130730762012V300"</f>
        <v>00130730762012V300</v>
      </c>
    </row>
    <row r="2391" spans="1:8" x14ac:dyDescent="0.25">
      <c r="E2391" t="str">
        <f>"C62202101201263"</f>
        <v>C62202101201263</v>
      </c>
      <c r="F2391" t="str">
        <f>"# 0012128865"</f>
        <v># 0012128865</v>
      </c>
      <c r="G2391" s="4">
        <v>243.23</v>
      </c>
      <c r="H2391" t="str">
        <f>"# 0012128865"</f>
        <v># 0012128865</v>
      </c>
    </row>
    <row r="2392" spans="1:8" x14ac:dyDescent="0.25">
      <c r="E2392" t="str">
        <f>"C66202101201263"</f>
        <v>C66202101201263</v>
      </c>
      <c r="F2392" t="str">
        <f>"# 0012871801"</f>
        <v># 0012871801</v>
      </c>
      <c r="G2392" s="4">
        <v>90</v>
      </c>
      <c r="H2392" t="str">
        <f>"# 0012871801"</f>
        <v># 0012871801</v>
      </c>
    </row>
    <row r="2393" spans="1:8" x14ac:dyDescent="0.25">
      <c r="E2393" t="str">
        <f>"C67202101201263"</f>
        <v>C67202101201263</v>
      </c>
      <c r="F2393" t="str">
        <f>"13154657"</f>
        <v>13154657</v>
      </c>
      <c r="G2393" s="4">
        <v>101.99</v>
      </c>
      <c r="H2393" t="str">
        <f>"13154657"</f>
        <v>13154657</v>
      </c>
    </row>
    <row r="2394" spans="1:8" x14ac:dyDescent="0.25">
      <c r="E2394" t="str">
        <f>"C69202101201263"</f>
        <v>C69202101201263</v>
      </c>
      <c r="F2394" t="str">
        <f>"0012046911423672"</f>
        <v>0012046911423672</v>
      </c>
      <c r="G2394" s="4">
        <v>187.38</v>
      </c>
      <c r="H2394" t="str">
        <f>"0012046911423672"</f>
        <v>0012046911423672</v>
      </c>
    </row>
    <row r="2395" spans="1:8" x14ac:dyDescent="0.25">
      <c r="E2395" t="str">
        <f>"C71202101201263"</f>
        <v>C71202101201263</v>
      </c>
      <c r="F2395" t="str">
        <f>"00137390532018V215"</f>
        <v>00137390532018V215</v>
      </c>
      <c r="G2395" s="4">
        <v>264</v>
      </c>
      <c r="H2395" t="str">
        <f>"00137390532018V215"</f>
        <v>00137390532018V215</v>
      </c>
    </row>
    <row r="2396" spans="1:8" x14ac:dyDescent="0.25">
      <c r="E2396" t="str">
        <f>"C72202101201263"</f>
        <v>C72202101201263</v>
      </c>
      <c r="F2396" t="str">
        <f>"0012797601C20130529B"</f>
        <v>0012797601C20130529B</v>
      </c>
      <c r="G2396" s="4">
        <v>241.85</v>
      </c>
      <c r="H2396" t="str">
        <f>"0012797601C20130529B"</f>
        <v>0012797601C20130529B</v>
      </c>
    </row>
    <row r="2397" spans="1:8" x14ac:dyDescent="0.25">
      <c r="E2397" t="str">
        <f>"C78202101201263"</f>
        <v>C78202101201263</v>
      </c>
      <c r="F2397" t="str">
        <f>"00105115972005106221"</f>
        <v>00105115972005106221</v>
      </c>
      <c r="G2397" s="4">
        <v>144.68</v>
      </c>
      <c r="H2397" t="str">
        <f>"00105115972005106221"</f>
        <v>00105115972005106221</v>
      </c>
    </row>
    <row r="2398" spans="1:8" x14ac:dyDescent="0.25">
      <c r="E2398" t="str">
        <f>"C83202101201263"</f>
        <v>C83202101201263</v>
      </c>
      <c r="F2398" t="str">
        <f>"0013096953150533"</f>
        <v>0013096953150533</v>
      </c>
      <c r="G2398" s="4">
        <v>346.15</v>
      </c>
      <c r="H2398" t="str">
        <f>"0013096953150533"</f>
        <v>0013096953150533</v>
      </c>
    </row>
    <row r="2399" spans="1:8" x14ac:dyDescent="0.25">
      <c r="E2399" t="str">
        <f>"C84202101201263"</f>
        <v>C84202101201263</v>
      </c>
      <c r="F2399" t="str">
        <f>"00128499834232566"</f>
        <v>00128499834232566</v>
      </c>
      <c r="G2399" s="4">
        <v>439.94</v>
      </c>
      <c r="H2399" t="str">
        <f>"00128499834232566"</f>
        <v>00128499834232566</v>
      </c>
    </row>
    <row r="2400" spans="1:8" x14ac:dyDescent="0.25">
      <c r="E2400" t="str">
        <f>"C85202101201263"</f>
        <v>C85202101201263</v>
      </c>
      <c r="F2400" t="str">
        <f>"0012469425201770874"</f>
        <v>0012469425201770874</v>
      </c>
      <c r="G2400" s="4">
        <v>138.46</v>
      </c>
      <c r="H2400" t="str">
        <f>"0012469425201770874"</f>
        <v>0012469425201770874</v>
      </c>
    </row>
    <row r="2401" spans="1:8" x14ac:dyDescent="0.25">
      <c r="E2401" t="str">
        <f>"C86202101201263"</f>
        <v>C86202101201263</v>
      </c>
      <c r="F2401" t="str">
        <f>"0013854015101285F"</f>
        <v>0013854015101285F</v>
      </c>
      <c r="G2401" s="4">
        <v>241.85</v>
      </c>
      <c r="H2401" t="str">
        <f>"0013854015101285F"</f>
        <v>0013854015101285F</v>
      </c>
    </row>
    <row r="2402" spans="1:8" x14ac:dyDescent="0.25">
      <c r="E2402" t="str">
        <f>"C87202101201263"</f>
        <v>C87202101201263</v>
      </c>
      <c r="F2402" t="str">
        <f>"0012963634L130019CVB"</f>
        <v>0012963634L130019CVB</v>
      </c>
      <c r="G2402" s="4">
        <v>249.23</v>
      </c>
      <c r="H2402" t="str">
        <f>"0012963634L130019CVB"</f>
        <v>0012963634L130019CVB</v>
      </c>
    </row>
    <row r="2403" spans="1:8" x14ac:dyDescent="0.25">
      <c r="E2403" t="str">
        <f>"C89202101201263"</f>
        <v>C89202101201263</v>
      </c>
      <c r="F2403" t="str">
        <f>"00127760434232477"</f>
        <v>00127760434232477</v>
      </c>
      <c r="G2403" s="4">
        <v>129.69</v>
      </c>
      <c r="H2403" t="str">
        <f>"00127760434232477"</f>
        <v>00127760434232477</v>
      </c>
    </row>
    <row r="2404" spans="1:8" x14ac:dyDescent="0.25">
      <c r="E2404" t="str">
        <f>"C90202101201263"</f>
        <v>C90202101201263</v>
      </c>
      <c r="F2404" t="str">
        <f>"00116477472008EM5013"</f>
        <v>00116477472008EM5013</v>
      </c>
      <c r="G2404" s="4">
        <v>134.77000000000001</v>
      </c>
      <c r="H2404" t="str">
        <f>"00116477472008EM5013"</f>
        <v>00116477472008EM5013</v>
      </c>
    </row>
    <row r="2405" spans="1:8" x14ac:dyDescent="0.25">
      <c r="A2405" t="s">
        <v>363</v>
      </c>
      <c r="B2405">
        <v>862</v>
      </c>
      <c r="C2405" s="4">
        <v>381680.57</v>
      </c>
      <c r="D2405" s="1">
        <v>44218</v>
      </c>
      <c r="E2405" t="str">
        <f>"RET202101061055"</f>
        <v>RET202101061055</v>
      </c>
      <c r="F2405" t="str">
        <f>"TEXAS COUNTY &amp; DISTRICT RET"</f>
        <v>TEXAS COUNTY &amp; DISTRICT RET</v>
      </c>
      <c r="G2405" s="4">
        <v>178266.35</v>
      </c>
      <c r="H2405" t="str">
        <f t="shared" ref="H2405:H2436" si="51">"TEXAS COUNTY &amp; DISTRICT RET"</f>
        <v>TEXAS COUNTY &amp; DISTRICT RET</v>
      </c>
    </row>
    <row r="2406" spans="1:8" x14ac:dyDescent="0.25">
      <c r="E2406" t="str">
        <f>""</f>
        <v/>
      </c>
      <c r="F2406" t="str">
        <f>""</f>
        <v/>
      </c>
      <c r="H2406" t="str">
        <f t="shared" si="51"/>
        <v>TEXAS COUNTY &amp; DISTRICT RET</v>
      </c>
    </row>
    <row r="2407" spans="1:8" x14ac:dyDescent="0.25">
      <c r="E2407" t="str">
        <f>""</f>
        <v/>
      </c>
      <c r="F2407" t="str">
        <f>""</f>
        <v/>
      </c>
      <c r="H2407" t="str">
        <f t="shared" si="51"/>
        <v>TEXAS COUNTY &amp; DISTRICT RET</v>
      </c>
    </row>
    <row r="2408" spans="1:8" x14ac:dyDescent="0.25">
      <c r="E2408" t="str">
        <f>""</f>
        <v/>
      </c>
      <c r="F2408" t="str">
        <f>""</f>
        <v/>
      </c>
      <c r="H2408" t="str">
        <f t="shared" si="51"/>
        <v>TEXAS COUNTY &amp; DISTRICT RET</v>
      </c>
    </row>
    <row r="2409" spans="1:8" x14ac:dyDescent="0.25">
      <c r="E2409" t="str">
        <f>""</f>
        <v/>
      </c>
      <c r="F2409" t="str">
        <f>""</f>
        <v/>
      </c>
      <c r="H2409" t="str">
        <f t="shared" si="51"/>
        <v>TEXAS COUNTY &amp; DISTRICT RET</v>
      </c>
    </row>
    <row r="2410" spans="1:8" x14ac:dyDescent="0.25">
      <c r="E2410" t="str">
        <f>""</f>
        <v/>
      </c>
      <c r="F2410" t="str">
        <f>""</f>
        <v/>
      </c>
      <c r="H2410" t="str">
        <f t="shared" si="51"/>
        <v>TEXAS COUNTY &amp; DISTRICT RET</v>
      </c>
    </row>
    <row r="2411" spans="1:8" x14ac:dyDescent="0.25">
      <c r="E2411" t="str">
        <f>""</f>
        <v/>
      </c>
      <c r="F2411" t="str">
        <f>""</f>
        <v/>
      </c>
      <c r="H2411" t="str">
        <f t="shared" si="51"/>
        <v>TEXAS COUNTY &amp; DISTRICT RET</v>
      </c>
    </row>
    <row r="2412" spans="1:8" x14ac:dyDescent="0.25">
      <c r="E2412" t="str">
        <f>""</f>
        <v/>
      </c>
      <c r="F2412" t="str">
        <f>""</f>
        <v/>
      </c>
      <c r="H2412" t="str">
        <f t="shared" si="51"/>
        <v>TEXAS COUNTY &amp; DISTRICT RET</v>
      </c>
    </row>
    <row r="2413" spans="1:8" x14ac:dyDescent="0.25">
      <c r="E2413" t="str">
        <f>""</f>
        <v/>
      </c>
      <c r="F2413" t="str">
        <f>""</f>
        <v/>
      </c>
      <c r="H2413" t="str">
        <f t="shared" si="51"/>
        <v>TEXAS COUNTY &amp; DISTRICT RET</v>
      </c>
    </row>
    <row r="2414" spans="1:8" x14ac:dyDescent="0.25">
      <c r="E2414" t="str">
        <f>""</f>
        <v/>
      </c>
      <c r="F2414" t="str">
        <f>""</f>
        <v/>
      </c>
      <c r="H2414" t="str">
        <f t="shared" si="51"/>
        <v>TEXAS COUNTY &amp; DISTRICT RET</v>
      </c>
    </row>
    <row r="2415" spans="1:8" x14ac:dyDescent="0.25">
      <c r="E2415" t="str">
        <f>""</f>
        <v/>
      </c>
      <c r="F2415" t="str">
        <f>""</f>
        <v/>
      </c>
      <c r="H2415" t="str">
        <f t="shared" si="51"/>
        <v>TEXAS COUNTY &amp; DISTRICT RET</v>
      </c>
    </row>
    <row r="2416" spans="1:8" x14ac:dyDescent="0.25">
      <c r="E2416" t="str">
        <f>""</f>
        <v/>
      </c>
      <c r="F2416" t="str">
        <f>""</f>
        <v/>
      </c>
      <c r="H2416" t="str">
        <f t="shared" si="51"/>
        <v>TEXAS COUNTY &amp; DISTRICT RET</v>
      </c>
    </row>
    <row r="2417" spans="5:8" x14ac:dyDescent="0.25">
      <c r="E2417" t="str">
        <f>""</f>
        <v/>
      </c>
      <c r="F2417" t="str">
        <f>""</f>
        <v/>
      </c>
      <c r="H2417" t="str">
        <f t="shared" si="51"/>
        <v>TEXAS COUNTY &amp; DISTRICT RET</v>
      </c>
    </row>
    <row r="2418" spans="5:8" x14ac:dyDescent="0.25">
      <c r="E2418" t="str">
        <f>""</f>
        <v/>
      </c>
      <c r="F2418" t="str">
        <f>""</f>
        <v/>
      </c>
      <c r="H2418" t="str">
        <f t="shared" si="51"/>
        <v>TEXAS COUNTY &amp; DISTRICT RET</v>
      </c>
    </row>
    <row r="2419" spans="5:8" x14ac:dyDescent="0.25">
      <c r="E2419" t="str">
        <f>""</f>
        <v/>
      </c>
      <c r="F2419" t="str">
        <f>""</f>
        <v/>
      </c>
      <c r="H2419" t="str">
        <f t="shared" si="51"/>
        <v>TEXAS COUNTY &amp; DISTRICT RET</v>
      </c>
    </row>
    <row r="2420" spans="5:8" x14ac:dyDescent="0.25">
      <c r="E2420" t="str">
        <f>""</f>
        <v/>
      </c>
      <c r="F2420" t="str">
        <f>""</f>
        <v/>
      </c>
      <c r="H2420" t="str">
        <f t="shared" si="51"/>
        <v>TEXAS COUNTY &amp; DISTRICT RET</v>
      </c>
    </row>
    <row r="2421" spans="5:8" x14ac:dyDescent="0.25">
      <c r="E2421" t="str">
        <f>""</f>
        <v/>
      </c>
      <c r="F2421" t="str">
        <f>""</f>
        <v/>
      </c>
      <c r="H2421" t="str">
        <f t="shared" si="51"/>
        <v>TEXAS COUNTY &amp; DISTRICT RET</v>
      </c>
    </row>
    <row r="2422" spans="5:8" x14ac:dyDescent="0.25">
      <c r="E2422" t="str">
        <f>""</f>
        <v/>
      </c>
      <c r="F2422" t="str">
        <f>""</f>
        <v/>
      </c>
      <c r="H2422" t="str">
        <f t="shared" si="51"/>
        <v>TEXAS COUNTY &amp; DISTRICT RET</v>
      </c>
    </row>
    <row r="2423" spans="5:8" x14ac:dyDescent="0.25">
      <c r="E2423" t="str">
        <f>""</f>
        <v/>
      </c>
      <c r="F2423" t="str">
        <f>""</f>
        <v/>
      </c>
      <c r="H2423" t="str">
        <f t="shared" si="51"/>
        <v>TEXAS COUNTY &amp; DISTRICT RET</v>
      </c>
    </row>
    <row r="2424" spans="5:8" x14ac:dyDescent="0.25">
      <c r="E2424" t="str">
        <f>""</f>
        <v/>
      </c>
      <c r="F2424" t="str">
        <f>""</f>
        <v/>
      </c>
      <c r="H2424" t="str">
        <f t="shared" si="51"/>
        <v>TEXAS COUNTY &amp; DISTRICT RET</v>
      </c>
    </row>
    <row r="2425" spans="5:8" x14ac:dyDescent="0.25">
      <c r="E2425" t="str">
        <f>""</f>
        <v/>
      </c>
      <c r="F2425" t="str">
        <f>""</f>
        <v/>
      </c>
      <c r="H2425" t="str">
        <f t="shared" si="51"/>
        <v>TEXAS COUNTY &amp; DISTRICT RET</v>
      </c>
    </row>
    <row r="2426" spans="5:8" x14ac:dyDescent="0.25">
      <c r="E2426" t="str">
        <f>""</f>
        <v/>
      </c>
      <c r="F2426" t="str">
        <f>""</f>
        <v/>
      </c>
      <c r="H2426" t="str">
        <f t="shared" si="51"/>
        <v>TEXAS COUNTY &amp; DISTRICT RET</v>
      </c>
    </row>
    <row r="2427" spans="5:8" x14ac:dyDescent="0.25">
      <c r="E2427" t="str">
        <f>""</f>
        <v/>
      </c>
      <c r="F2427" t="str">
        <f>""</f>
        <v/>
      </c>
      <c r="H2427" t="str">
        <f t="shared" si="51"/>
        <v>TEXAS COUNTY &amp; DISTRICT RET</v>
      </c>
    </row>
    <row r="2428" spans="5:8" x14ac:dyDescent="0.25">
      <c r="E2428" t="str">
        <f>""</f>
        <v/>
      </c>
      <c r="F2428" t="str">
        <f>""</f>
        <v/>
      </c>
      <c r="H2428" t="str">
        <f t="shared" si="51"/>
        <v>TEXAS COUNTY &amp; DISTRICT RET</v>
      </c>
    </row>
    <row r="2429" spans="5:8" x14ac:dyDescent="0.25">
      <c r="E2429" t="str">
        <f>""</f>
        <v/>
      </c>
      <c r="F2429" t="str">
        <f>""</f>
        <v/>
      </c>
      <c r="H2429" t="str">
        <f t="shared" si="51"/>
        <v>TEXAS COUNTY &amp; DISTRICT RET</v>
      </c>
    </row>
    <row r="2430" spans="5:8" x14ac:dyDescent="0.25">
      <c r="E2430" t="str">
        <f>""</f>
        <v/>
      </c>
      <c r="F2430" t="str">
        <f>""</f>
        <v/>
      </c>
      <c r="H2430" t="str">
        <f t="shared" si="51"/>
        <v>TEXAS COUNTY &amp; DISTRICT RET</v>
      </c>
    </row>
    <row r="2431" spans="5:8" x14ac:dyDescent="0.25">
      <c r="E2431" t="str">
        <f>""</f>
        <v/>
      </c>
      <c r="F2431" t="str">
        <f>""</f>
        <v/>
      </c>
      <c r="H2431" t="str">
        <f t="shared" si="51"/>
        <v>TEXAS COUNTY &amp; DISTRICT RET</v>
      </c>
    </row>
    <row r="2432" spans="5:8" x14ac:dyDescent="0.25">
      <c r="E2432" t="str">
        <f>""</f>
        <v/>
      </c>
      <c r="F2432" t="str">
        <f>""</f>
        <v/>
      </c>
      <c r="H2432" t="str">
        <f t="shared" si="51"/>
        <v>TEXAS COUNTY &amp; DISTRICT RET</v>
      </c>
    </row>
    <row r="2433" spans="5:8" x14ac:dyDescent="0.25">
      <c r="E2433" t="str">
        <f>""</f>
        <v/>
      </c>
      <c r="F2433" t="str">
        <f>""</f>
        <v/>
      </c>
      <c r="H2433" t="str">
        <f t="shared" si="51"/>
        <v>TEXAS COUNTY &amp; DISTRICT RET</v>
      </c>
    </row>
    <row r="2434" spans="5:8" x14ac:dyDescent="0.25">
      <c r="E2434" t="str">
        <f>""</f>
        <v/>
      </c>
      <c r="F2434" t="str">
        <f>""</f>
        <v/>
      </c>
      <c r="H2434" t="str">
        <f t="shared" si="51"/>
        <v>TEXAS COUNTY &amp; DISTRICT RET</v>
      </c>
    </row>
    <row r="2435" spans="5:8" x14ac:dyDescent="0.25">
      <c r="E2435" t="str">
        <f>""</f>
        <v/>
      </c>
      <c r="F2435" t="str">
        <f>""</f>
        <v/>
      </c>
      <c r="H2435" t="str">
        <f t="shared" si="51"/>
        <v>TEXAS COUNTY &amp; DISTRICT RET</v>
      </c>
    </row>
    <row r="2436" spans="5:8" x14ac:dyDescent="0.25">
      <c r="E2436" t="str">
        <f>""</f>
        <v/>
      </c>
      <c r="F2436" t="str">
        <f>""</f>
        <v/>
      </c>
      <c r="H2436" t="str">
        <f t="shared" si="51"/>
        <v>TEXAS COUNTY &amp; DISTRICT RET</v>
      </c>
    </row>
    <row r="2437" spans="5:8" x14ac:dyDescent="0.25">
      <c r="E2437" t="str">
        <f>""</f>
        <v/>
      </c>
      <c r="F2437" t="str">
        <f>""</f>
        <v/>
      </c>
      <c r="H2437" t="str">
        <f t="shared" ref="H2437:H2456" si="52">"TEXAS COUNTY &amp; DISTRICT RET"</f>
        <v>TEXAS COUNTY &amp; DISTRICT RET</v>
      </c>
    </row>
    <row r="2438" spans="5:8" x14ac:dyDescent="0.25">
      <c r="E2438" t="str">
        <f>""</f>
        <v/>
      </c>
      <c r="F2438" t="str">
        <f>""</f>
        <v/>
      </c>
      <c r="H2438" t="str">
        <f t="shared" si="52"/>
        <v>TEXAS COUNTY &amp; DISTRICT RET</v>
      </c>
    </row>
    <row r="2439" spans="5:8" x14ac:dyDescent="0.25">
      <c r="E2439" t="str">
        <f>""</f>
        <v/>
      </c>
      <c r="F2439" t="str">
        <f>""</f>
        <v/>
      </c>
      <c r="H2439" t="str">
        <f t="shared" si="52"/>
        <v>TEXAS COUNTY &amp; DISTRICT RET</v>
      </c>
    </row>
    <row r="2440" spans="5:8" x14ac:dyDescent="0.25">
      <c r="E2440" t="str">
        <f>""</f>
        <v/>
      </c>
      <c r="F2440" t="str">
        <f>""</f>
        <v/>
      </c>
      <c r="H2440" t="str">
        <f t="shared" si="52"/>
        <v>TEXAS COUNTY &amp; DISTRICT RET</v>
      </c>
    </row>
    <row r="2441" spans="5:8" x14ac:dyDescent="0.25">
      <c r="E2441" t="str">
        <f>""</f>
        <v/>
      </c>
      <c r="F2441" t="str">
        <f>""</f>
        <v/>
      </c>
      <c r="H2441" t="str">
        <f t="shared" si="52"/>
        <v>TEXAS COUNTY &amp; DISTRICT RET</v>
      </c>
    </row>
    <row r="2442" spans="5:8" x14ac:dyDescent="0.25">
      <c r="E2442" t="str">
        <f>""</f>
        <v/>
      </c>
      <c r="F2442" t="str">
        <f>""</f>
        <v/>
      </c>
      <c r="H2442" t="str">
        <f t="shared" si="52"/>
        <v>TEXAS COUNTY &amp; DISTRICT RET</v>
      </c>
    </row>
    <row r="2443" spans="5:8" x14ac:dyDescent="0.25">
      <c r="E2443" t="str">
        <f>""</f>
        <v/>
      </c>
      <c r="F2443" t="str">
        <f>""</f>
        <v/>
      </c>
      <c r="H2443" t="str">
        <f t="shared" si="52"/>
        <v>TEXAS COUNTY &amp; DISTRICT RET</v>
      </c>
    </row>
    <row r="2444" spans="5:8" x14ac:dyDescent="0.25">
      <c r="E2444" t="str">
        <f>""</f>
        <v/>
      </c>
      <c r="F2444" t="str">
        <f>""</f>
        <v/>
      </c>
      <c r="H2444" t="str">
        <f t="shared" si="52"/>
        <v>TEXAS COUNTY &amp; DISTRICT RET</v>
      </c>
    </row>
    <row r="2445" spans="5:8" x14ac:dyDescent="0.25">
      <c r="E2445" t="str">
        <f>""</f>
        <v/>
      </c>
      <c r="F2445" t="str">
        <f>""</f>
        <v/>
      </c>
      <c r="H2445" t="str">
        <f t="shared" si="52"/>
        <v>TEXAS COUNTY &amp; DISTRICT RET</v>
      </c>
    </row>
    <row r="2446" spans="5:8" x14ac:dyDescent="0.25">
      <c r="E2446" t="str">
        <f>""</f>
        <v/>
      </c>
      <c r="F2446" t="str">
        <f>""</f>
        <v/>
      </c>
      <c r="H2446" t="str">
        <f t="shared" si="52"/>
        <v>TEXAS COUNTY &amp; DISTRICT RET</v>
      </c>
    </row>
    <row r="2447" spans="5:8" x14ac:dyDescent="0.25">
      <c r="E2447" t="str">
        <f>""</f>
        <v/>
      </c>
      <c r="F2447" t="str">
        <f>""</f>
        <v/>
      </c>
      <c r="H2447" t="str">
        <f t="shared" si="52"/>
        <v>TEXAS COUNTY &amp; DISTRICT RET</v>
      </c>
    </row>
    <row r="2448" spans="5:8" x14ac:dyDescent="0.25">
      <c r="E2448" t="str">
        <f>""</f>
        <v/>
      </c>
      <c r="F2448" t="str">
        <f>""</f>
        <v/>
      </c>
      <c r="H2448" t="str">
        <f t="shared" si="52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52"/>
        <v>TEXAS COUNTY &amp; DISTRICT RET</v>
      </c>
    </row>
    <row r="2450" spans="5:8" x14ac:dyDescent="0.25">
      <c r="E2450" t="str">
        <f>""</f>
        <v/>
      </c>
      <c r="F2450" t="str">
        <f>""</f>
        <v/>
      </c>
      <c r="H2450" t="str">
        <f t="shared" si="52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si="52"/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52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52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si="52"/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52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52"/>
        <v>TEXAS COUNTY &amp; DISTRICT RET</v>
      </c>
    </row>
    <row r="2457" spans="5:8" x14ac:dyDescent="0.25">
      <c r="E2457" t="str">
        <f>"RET202101061056"</f>
        <v>RET202101061056</v>
      </c>
      <c r="F2457" t="str">
        <f>"TEXAS COUNTY  DISTRICT RET"</f>
        <v>TEXAS COUNTY  DISTRICT RET</v>
      </c>
      <c r="G2457" s="4">
        <v>6029.18</v>
      </c>
      <c r="H2457" t="str">
        <f>"TEXAS COUNTY  DISTRICT RET"</f>
        <v>TEXAS COUNTY  DISTRICT RET</v>
      </c>
    </row>
    <row r="2458" spans="5:8" x14ac:dyDescent="0.25">
      <c r="E2458" t="str">
        <f>""</f>
        <v/>
      </c>
      <c r="F2458" t="str">
        <f>""</f>
        <v/>
      </c>
      <c r="H2458" t="str">
        <f>"TEXAS COUNTY  DISTRICT RET"</f>
        <v>TEXAS COUNTY  DISTRICT RET</v>
      </c>
    </row>
    <row r="2459" spans="5:8" x14ac:dyDescent="0.25">
      <c r="E2459" t="str">
        <f>"RET202101061057"</f>
        <v>RET202101061057</v>
      </c>
      <c r="F2459" t="str">
        <f>"TEXAS COUNTY &amp; DISTRICT RET"</f>
        <v>TEXAS COUNTY &amp; DISTRICT RET</v>
      </c>
      <c r="G2459" s="4">
        <v>6963.58</v>
      </c>
      <c r="H2459" t="str">
        <f t="shared" ref="H2459:H2490" si="53">"TEXAS COUNTY &amp; DISTRICT RET"</f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53"/>
        <v>TEXAS COUNTY &amp; DISTRICT RET</v>
      </c>
    </row>
    <row r="2461" spans="5:8" x14ac:dyDescent="0.25">
      <c r="E2461" t="str">
        <f>"RET202101201263"</f>
        <v>RET202101201263</v>
      </c>
      <c r="F2461" t="str">
        <f>"TEXAS COUNTY &amp; DISTRICT RET"</f>
        <v>TEXAS COUNTY &amp; DISTRICT RET</v>
      </c>
      <c r="G2461" s="4">
        <v>176410.35</v>
      </c>
      <c r="H2461" t="str">
        <f t="shared" si="53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53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53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53"/>
        <v>TEXAS COUNTY &amp; DISTRICT RET</v>
      </c>
    </row>
    <row r="2465" spans="5:8" x14ac:dyDescent="0.25">
      <c r="E2465" t="str">
        <f>""</f>
        <v/>
      </c>
      <c r="F2465" t="str">
        <f>""</f>
        <v/>
      </c>
      <c r="H2465" t="str">
        <f t="shared" si="53"/>
        <v>TEXAS COUNTY &amp; DISTRICT RET</v>
      </c>
    </row>
    <row r="2466" spans="5:8" x14ac:dyDescent="0.25">
      <c r="E2466" t="str">
        <f>""</f>
        <v/>
      </c>
      <c r="F2466" t="str">
        <f>""</f>
        <v/>
      </c>
      <c r="H2466" t="str">
        <f t="shared" si="53"/>
        <v>TEXAS COUNTY &amp; DISTRICT RET</v>
      </c>
    </row>
    <row r="2467" spans="5:8" x14ac:dyDescent="0.25">
      <c r="E2467" t="str">
        <f>""</f>
        <v/>
      </c>
      <c r="F2467" t="str">
        <f>""</f>
        <v/>
      </c>
      <c r="H2467" t="str">
        <f t="shared" si="53"/>
        <v>TEXAS COUNTY &amp; DISTRICT RET</v>
      </c>
    </row>
    <row r="2468" spans="5:8" x14ac:dyDescent="0.25">
      <c r="E2468" t="str">
        <f>""</f>
        <v/>
      </c>
      <c r="F2468" t="str">
        <f>""</f>
        <v/>
      </c>
      <c r="H2468" t="str">
        <f t="shared" si="53"/>
        <v>TEXAS COUNTY &amp; DISTRICT RET</v>
      </c>
    </row>
    <row r="2469" spans="5:8" x14ac:dyDescent="0.25">
      <c r="E2469" t="str">
        <f>""</f>
        <v/>
      </c>
      <c r="F2469" t="str">
        <f>""</f>
        <v/>
      </c>
      <c r="H2469" t="str">
        <f t="shared" si="53"/>
        <v>TEXAS COUNTY &amp; DISTRICT RET</v>
      </c>
    </row>
    <row r="2470" spans="5:8" x14ac:dyDescent="0.25">
      <c r="E2470" t="str">
        <f>""</f>
        <v/>
      </c>
      <c r="F2470" t="str">
        <f>""</f>
        <v/>
      </c>
      <c r="H2470" t="str">
        <f t="shared" si="53"/>
        <v>TEXAS COUNTY &amp; DISTRICT RET</v>
      </c>
    </row>
    <row r="2471" spans="5:8" x14ac:dyDescent="0.25">
      <c r="E2471" t="str">
        <f>""</f>
        <v/>
      </c>
      <c r="F2471" t="str">
        <f>""</f>
        <v/>
      </c>
      <c r="H2471" t="str">
        <f t="shared" si="53"/>
        <v>TEXAS COUNTY &amp; DISTRICT RET</v>
      </c>
    </row>
    <row r="2472" spans="5:8" x14ac:dyDescent="0.25">
      <c r="E2472" t="str">
        <f>""</f>
        <v/>
      </c>
      <c r="F2472" t="str">
        <f>""</f>
        <v/>
      </c>
      <c r="H2472" t="str">
        <f t="shared" si="53"/>
        <v>TEXAS COUNTY &amp; DISTRICT RET</v>
      </c>
    </row>
    <row r="2473" spans="5:8" x14ac:dyDescent="0.25">
      <c r="E2473" t="str">
        <f>""</f>
        <v/>
      </c>
      <c r="F2473" t="str">
        <f>""</f>
        <v/>
      </c>
      <c r="H2473" t="str">
        <f t="shared" si="53"/>
        <v>TEXAS COUNTY &amp; DISTRICT RET</v>
      </c>
    </row>
    <row r="2474" spans="5:8" x14ac:dyDescent="0.25">
      <c r="E2474" t="str">
        <f>""</f>
        <v/>
      </c>
      <c r="F2474" t="str">
        <f>""</f>
        <v/>
      </c>
      <c r="H2474" t="str">
        <f t="shared" si="53"/>
        <v>TEXAS COUNTY &amp; DISTRICT RET</v>
      </c>
    </row>
    <row r="2475" spans="5:8" x14ac:dyDescent="0.25">
      <c r="E2475" t="str">
        <f>""</f>
        <v/>
      </c>
      <c r="F2475" t="str">
        <f>""</f>
        <v/>
      </c>
      <c r="H2475" t="str">
        <f t="shared" si="53"/>
        <v>TEXAS COUNTY &amp; DISTRICT RET</v>
      </c>
    </row>
    <row r="2476" spans="5:8" x14ac:dyDescent="0.25">
      <c r="E2476" t="str">
        <f>""</f>
        <v/>
      </c>
      <c r="F2476" t="str">
        <f>""</f>
        <v/>
      </c>
      <c r="H2476" t="str">
        <f t="shared" si="53"/>
        <v>TEXAS COUNTY &amp; DISTRICT RET</v>
      </c>
    </row>
    <row r="2477" spans="5:8" x14ac:dyDescent="0.25">
      <c r="E2477" t="str">
        <f>""</f>
        <v/>
      </c>
      <c r="F2477" t="str">
        <f>""</f>
        <v/>
      </c>
      <c r="H2477" t="str">
        <f t="shared" si="53"/>
        <v>TEXAS COUNTY &amp; DISTRICT RET</v>
      </c>
    </row>
    <row r="2478" spans="5:8" x14ac:dyDescent="0.25">
      <c r="E2478" t="str">
        <f>""</f>
        <v/>
      </c>
      <c r="F2478" t="str">
        <f>""</f>
        <v/>
      </c>
      <c r="H2478" t="str">
        <f t="shared" si="53"/>
        <v>TEXAS COUNTY &amp; DISTRICT RET</v>
      </c>
    </row>
    <row r="2479" spans="5:8" x14ac:dyDescent="0.25">
      <c r="E2479" t="str">
        <f>""</f>
        <v/>
      </c>
      <c r="F2479" t="str">
        <f>""</f>
        <v/>
      </c>
      <c r="H2479" t="str">
        <f t="shared" si="53"/>
        <v>TEXAS COUNTY &amp; DISTRICT RET</v>
      </c>
    </row>
    <row r="2480" spans="5:8" x14ac:dyDescent="0.25">
      <c r="E2480" t="str">
        <f>""</f>
        <v/>
      </c>
      <c r="F2480" t="str">
        <f>""</f>
        <v/>
      </c>
      <c r="H2480" t="str">
        <f t="shared" si="53"/>
        <v>TEXAS COUNTY &amp; DISTRICT RET</v>
      </c>
    </row>
    <row r="2481" spans="5:8" x14ac:dyDescent="0.25">
      <c r="E2481" t="str">
        <f>""</f>
        <v/>
      </c>
      <c r="F2481" t="str">
        <f>""</f>
        <v/>
      </c>
      <c r="H2481" t="str">
        <f t="shared" si="53"/>
        <v>TEXAS COUNTY &amp; DISTRICT RET</v>
      </c>
    </row>
    <row r="2482" spans="5:8" x14ac:dyDescent="0.25">
      <c r="E2482" t="str">
        <f>""</f>
        <v/>
      </c>
      <c r="F2482" t="str">
        <f>""</f>
        <v/>
      </c>
      <c r="H2482" t="str">
        <f t="shared" si="53"/>
        <v>TEXAS COUNTY &amp; DISTRICT RET</v>
      </c>
    </row>
    <row r="2483" spans="5:8" x14ac:dyDescent="0.25">
      <c r="E2483" t="str">
        <f>""</f>
        <v/>
      </c>
      <c r="F2483" t="str">
        <f>""</f>
        <v/>
      </c>
      <c r="H2483" t="str">
        <f t="shared" si="53"/>
        <v>TEXAS COUNTY &amp; DISTRICT RET</v>
      </c>
    </row>
    <row r="2484" spans="5:8" x14ac:dyDescent="0.25">
      <c r="E2484" t="str">
        <f>""</f>
        <v/>
      </c>
      <c r="F2484" t="str">
        <f>""</f>
        <v/>
      </c>
      <c r="H2484" t="str">
        <f t="shared" si="53"/>
        <v>TEXAS COUNTY &amp; DISTRICT RET</v>
      </c>
    </row>
    <row r="2485" spans="5:8" x14ac:dyDescent="0.25">
      <c r="E2485" t="str">
        <f>""</f>
        <v/>
      </c>
      <c r="F2485" t="str">
        <f>""</f>
        <v/>
      </c>
      <c r="H2485" t="str">
        <f t="shared" si="53"/>
        <v>TEXAS COUNTY &amp; DISTRICT RET</v>
      </c>
    </row>
    <row r="2486" spans="5:8" x14ac:dyDescent="0.25">
      <c r="E2486" t="str">
        <f>""</f>
        <v/>
      </c>
      <c r="F2486" t="str">
        <f>""</f>
        <v/>
      </c>
      <c r="H2486" t="str">
        <f t="shared" si="53"/>
        <v>TEXAS COUNTY &amp; DISTRICT RET</v>
      </c>
    </row>
    <row r="2487" spans="5:8" x14ac:dyDescent="0.25">
      <c r="E2487" t="str">
        <f>""</f>
        <v/>
      </c>
      <c r="F2487" t="str">
        <f>""</f>
        <v/>
      </c>
      <c r="H2487" t="str">
        <f t="shared" si="53"/>
        <v>TEXAS COUNTY &amp; DISTRICT RET</v>
      </c>
    </row>
    <row r="2488" spans="5:8" x14ac:dyDescent="0.25">
      <c r="E2488" t="str">
        <f>""</f>
        <v/>
      </c>
      <c r="F2488" t="str">
        <f>""</f>
        <v/>
      </c>
      <c r="H2488" t="str">
        <f t="shared" si="53"/>
        <v>TEXAS COUNTY &amp; DISTRICT RET</v>
      </c>
    </row>
    <row r="2489" spans="5:8" x14ac:dyDescent="0.25">
      <c r="E2489" t="str">
        <f>""</f>
        <v/>
      </c>
      <c r="F2489" t="str">
        <f>""</f>
        <v/>
      </c>
      <c r="H2489" t="str">
        <f t="shared" si="53"/>
        <v>TEXAS COUNTY &amp; DISTRICT RET</v>
      </c>
    </row>
    <row r="2490" spans="5:8" x14ac:dyDescent="0.25">
      <c r="E2490" t="str">
        <f>""</f>
        <v/>
      </c>
      <c r="F2490" t="str">
        <f>""</f>
        <v/>
      </c>
      <c r="H2490" t="str">
        <f t="shared" si="53"/>
        <v>TEXAS COUNTY &amp; DISTRICT RET</v>
      </c>
    </row>
    <row r="2491" spans="5:8" x14ac:dyDescent="0.25">
      <c r="E2491" t="str">
        <f>""</f>
        <v/>
      </c>
      <c r="F2491" t="str">
        <f>""</f>
        <v/>
      </c>
      <c r="H2491" t="str">
        <f t="shared" ref="H2491:H2512" si="54">"TEXAS COUNTY &amp; DISTRICT RET"</f>
        <v>TEXAS COUNTY &amp; DISTRICT RET</v>
      </c>
    </row>
    <row r="2492" spans="5:8" x14ac:dyDescent="0.25">
      <c r="E2492" t="str">
        <f>""</f>
        <v/>
      </c>
      <c r="F2492" t="str">
        <f>""</f>
        <v/>
      </c>
      <c r="H2492" t="str">
        <f t="shared" si="54"/>
        <v>TEXAS COUNTY &amp; DISTRICT RET</v>
      </c>
    </row>
    <row r="2493" spans="5:8" x14ac:dyDescent="0.25">
      <c r="E2493" t="str">
        <f>""</f>
        <v/>
      </c>
      <c r="F2493" t="str">
        <f>""</f>
        <v/>
      </c>
      <c r="H2493" t="str">
        <f t="shared" si="54"/>
        <v>TEXAS COUNTY &amp; DISTRICT RET</v>
      </c>
    </row>
    <row r="2494" spans="5:8" x14ac:dyDescent="0.25">
      <c r="E2494" t="str">
        <f>""</f>
        <v/>
      </c>
      <c r="F2494" t="str">
        <f>""</f>
        <v/>
      </c>
      <c r="H2494" t="str">
        <f t="shared" si="54"/>
        <v>TEXAS COUNTY &amp; DISTRICT RET</v>
      </c>
    </row>
    <row r="2495" spans="5:8" x14ac:dyDescent="0.25">
      <c r="E2495" t="str">
        <f>""</f>
        <v/>
      </c>
      <c r="F2495" t="str">
        <f>""</f>
        <v/>
      </c>
      <c r="H2495" t="str">
        <f t="shared" si="54"/>
        <v>TEXAS COUNTY &amp; DISTRICT RET</v>
      </c>
    </row>
    <row r="2496" spans="5:8" x14ac:dyDescent="0.25">
      <c r="E2496" t="str">
        <f>""</f>
        <v/>
      </c>
      <c r="F2496" t="str">
        <f>""</f>
        <v/>
      </c>
      <c r="H2496" t="str">
        <f t="shared" si="54"/>
        <v>TEXAS COUNTY &amp; DISTRICT RET</v>
      </c>
    </row>
    <row r="2497" spans="5:8" x14ac:dyDescent="0.25">
      <c r="E2497" t="str">
        <f>""</f>
        <v/>
      </c>
      <c r="F2497" t="str">
        <f>""</f>
        <v/>
      </c>
      <c r="H2497" t="str">
        <f t="shared" si="54"/>
        <v>TEXAS COUNTY &amp; DISTRICT RET</v>
      </c>
    </row>
    <row r="2498" spans="5:8" x14ac:dyDescent="0.25">
      <c r="E2498" t="str">
        <f>""</f>
        <v/>
      </c>
      <c r="F2498" t="str">
        <f>""</f>
        <v/>
      </c>
      <c r="H2498" t="str">
        <f t="shared" si="54"/>
        <v>TEXAS COUNTY &amp; DISTRICT RET</v>
      </c>
    </row>
    <row r="2499" spans="5:8" x14ac:dyDescent="0.25">
      <c r="E2499" t="str">
        <f>""</f>
        <v/>
      </c>
      <c r="F2499" t="str">
        <f>""</f>
        <v/>
      </c>
      <c r="H2499" t="str">
        <f t="shared" si="54"/>
        <v>TEXAS COUNTY &amp; DISTRICT RET</v>
      </c>
    </row>
    <row r="2500" spans="5:8" x14ac:dyDescent="0.25">
      <c r="E2500" t="str">
        <f>""</f>
        <v/>
      </c>
      <c r="F2500" t="str">
        <f>""</f>
        <v/>
      </c>
      <c r="H2500" t="str">
        <f t="shared" si="54"/>
        <v>TEXAS COUNTY &amp; DISTRICT RET</v>
      </c>
    </row>
    <row r="2501" spans="5:8" x14ac:dyDescent="0.25">
      <c r="E2501" t="str">
        <f>""</f>
        <v/>
      </c>
      <c r="F2501" t="str">
        <f>""</f>
        <v/>
      </c>
      <c r="H2501" t="str">
        <f t="shared" si="54"/>
        <v>TEXAS COUNTY &amp; DISTRICT RET</v>
      </c>
    </row>
    <row r="2502" spans="5:8" x14ac:dyDescent="0.25">
      <c r="E2502" t="str">
        <f>""</f>
        <v/>
      </c>
      <c r="F2502" t="str">
        <f>""</f>
        <v/>
      </c>
      <c r="H2502" t="str">
        <f t="shared" si="54"/>
        <v>TEXAS COUNTY &amp; DISTRICT RET</v>
      </c>
    </row>
    <row r="2503" spans="5:8" x14ac:dyDescent="0.25">
      <c r="E2503" t="str">
        <f>""</f>
        <v/>
      </c>
      <c r="F2503" t="str">
        <f>""</f>
        <v/>
      </c>
      <c r="H2503" t="str">
        <f t="shared" si="54"/>
        <v>TEXAS COUNTY &amp; DISTRICT RET</v>
      </c>
    </row>
    <row r="2504" spans="5:8" x14ac:dyDescent="0.25">
      <c r="E2504" t="str">
        <f>""</f>
        <v/>
      </c>
      <c r="F2504" t="str">
        <f>""</f>
        <v/>
      </c>
      <c r="H2504" t="str">
        <f t="shared" si="54"/>
        <v>TEXAS COUNTY &amp; DISTRICT RET</v>
      </c>
    </row>
    <row r="2505" spans="5:8" x14ac:dyDescent="0.25">
      <c r="E2505" t="str">
        <f>""</f>
        <v/>
      </c>
      <c r="F2505" t="str">
        <f>""</f>
        <v/>
      </c>
      <c r="H2505" t="str">
        <f t="shared" si="54"/>
        <v>TEXAS COUNTY &amp; DISTRICT RET</v>
      </c>
    </row>
    <row r="2506" spans="5:8" x14ac:dyDescent="0.25">
      <c r="E2506" t="str">
        <f>""</f>
        <v/>
      </c>
      <c r="F2506" t="str">
        <f>""</f>
        <v/>
      </c>
      <c r="H2506" t="str">
        <f t="shared" si="54"/>
        <v>TEXAS COUNTY &amp; DISTRICT RET</v>
      </c>
    </row>
    <row r="2507" spans="5:8" x14ac:dyDescent="0.25">
      <c r="E2507" t="str">
        <f>""</f>
        <v/>
      </c>
      <c r="F2507" t="str">
        <f>""</f>
        <v/>
      </c>
      <c r="H2507" t="str">
        <f t="shared" si="54"/>
        <v>TEXAS COUNTY &amp; DISTRICT RET</v>
      </c>
    </row>
    <row r="2508" spans="5:8" x14ac:dyDescent="0.25">
      <c r="E2508" t="str">
        <f>""</f>
        <v/>
      </c>
      <c r="F2508" t="str">
        <f>""</f>
        <v/>
      </c>
      <c r="H2508" t="str">
        <f t="shared" si="54"/>
        <v>TEXAS COUNTY &amp; DISTRICT RET</v>
      </c>
    </row>
    <row r="2509" spans="5:8" x14ac:dyDescent="0.25">
      <c r="E2509" t="str">
        <f>""</f>
        <v/>
      </c>
      <c r="F2509" t="str">
        <f>""</f>
        <v/>
      </c>
      <c r="H2509" t="str">
        <f t="shared" si="54"/>
        <v>TEXAS COUNTY &amp; DISTRICT RET</v>
      </c>
    </row>
    <row r="2510" spans="5:8" x14ac:dyDescent="0.25">
      <c r="E2510" t="str">
        <f>""</f>
        <v/>
      </c>
      <c r="F2510" t="str">
        <f>""</f>
        <v/>
      </c>
      <c r="H2510" t="str">
        <f t="shared" si="54"/>
        <v>TEXAS COUNTY &amp; DISTRICT RET</v>
      </c>
    </row>
    <row r="2511" spans="5:8" x14ac:dyDescent="0.25">
      <c r="E2511" t="str">
        <f>""</f>
        <v/>
      </c>
      <c r="F2511" t="str">
        <f>""</f>
        <v/>
      </c>
      <c r="H2511" t="str">
        <f t="shared" si="54"/>
        <v>TEXAS COUNTY &amp; DISTRICT RET</v>
      </c>
    </row>
    <row r="2512" spans="5:8" x14ac:dyDescent="0.25">
      <c r="E2512" t="str">
        <f>""</f>
        <v/>
      </c>
      <c r="F2512" t="str">
        <f>""</f>
        <v/>
      </c>
      <c r="H2512" t="str">
        <f t="shared" si="54"/>
        <v>TEXAS COUNTY &amp; DISTRICT RET</v>
      </c>
    </row>
    <row r="2513" spans="1:8" x14ac:dyDescent="0.25">
      <c r="E2513" t="str">
        <f>"RET202101201264"</f>
        <v>RET202101201264</v>
      </c>
      <c r="F2513" t="str">
        <f>"TEXAS COUNTY  DISTRICT RET"</f>
        <v>TEXAS COUNTY  DISTRICT RET</v>
      </c>
      <c r="G2513" s="4">
        <v>6797.27</v>
      </c>
      <c r="H2513" t="str">
        <f>"TEXAS COUNTY  DISTRICT RET"</f>
        <v>TEXAS COUNTY  DISTRICT RET</v>
      </c>
    </row>
    <row r="2514" spans="1:8" x14ac:dyDescent="0.25">
      <c r="E2514" t="str">
        <f>""</f>
        <v/>
      </c>
      <c r="F2514" t="str">
        <f>""</f>
        <v/>
      </c>
      <c r="H2514" t="str">
        <f>"TEXAS COUNTY  DISTRICT RET"</f>
        <v>TEXAS COUNTY  DISTRICT RET</v>
      </c>
    </row>
    <row r="2515" spans="1:8" x14ac:dyDescent="0.25">
      <c r="E2515" t="str">
        <f>"RET202101201265"</f>
        <v>RET202101201265</v>
      </c>
      <c r="F2515" t="str">
        <f>"TEXAS COUNTY &amp; DISTRICT RET"</f>
        <v>TEXAS COUNTY &amp; DISTRICT RET</v>
      </c>
      <c r="G2515" s="4">
        <v>7213.84</v>
      </c>
      <c r="H2515" t="str">
        <f>"TEXAS COUNTY &amp; DISTRICT RET"</f>
        <v>TEXAS COUNTY &amp; DISTRICT RET</v>
      </c>
    </row>
    <row r="2516" spans="1:8" x14ac:dyDescent="0.25">
      <c r="E2516" t="str">
        <f>""</f>
        <v/>
      </c>
      <c r="F2516" t="str">
        <f>""</f>
        <v/>
      </c>
      <c r="H2516" t="str">
        <f>"TEXAS COUNTY &amp; DISTRICT RET"</f>
        <v>TEXAS COUNTY &amp; DISTRICT RET</v>
      </c>
    </row>
    <row r="2517" spans="1:8" x14ac:dyDescent="0.25">
      <c r="A2517" t="s">
        <v>364</v>
      </c>
      <c r="B2517">
        <v>48278</v>
      </c>
      <c r="C2517" s="4">
        <v>1544</v>
      </c>
      <c r="D2517" s="1">
        <v>44223</v>
      </c>
      <c r="E2517" t="str">
        <f>"LEG202101061055"</f>
        <v>LEG202101061055</v>
      </c>
      <c r="F2517" t="str">
        <f>"TEXAS LEGAL PROTECTION PLAN"</f>
        <v>TEXAS LEGAL PROTECTION PLAN</v>
      </c>
      <c r="G2517" s="4">
        <v>276</v>
      </c>
      <c r="H2517" t="str">
        <f>"TEXAS LEGAL PROTECTION PLAN"</f>
        <v>TEXAS LEGAL PROTECTION PLAN</v>
      </c>
    </row>
    <row r="2518" spans="1:8" x14ac:dyDescent="0.25">
      <c r="E2518" t="str">
        <f>"LEG202101201263"</f>
        <v>LEG202101201263</v>
      </c>
      <c r="F2518" t="str">
        <f>"TEXAS LEGAL PROTECTION PLAN"</f>
        <v>TEXAS LEGAL PROTECTION PLAN</v>
      </c>
      <c r="G2518" s="4">
        <v>276</v>
      </c>
      <c r="H2518" t="str">
        <f>"TEXAS LEGAL PROTECTION PLAN"</f>
        <v>TEXAS LEGAL PROTECTION PLAN</v>
      </c>
    </row>
    <row r="2519" spans="1:8" x14ac:dyDescent="0.25">
      <c r="E2519" t="str">
        <f>"LGF202101061055"</f>
        <v>LGF202101061055</v>
      </c>
      <c r="F2519" t="str">
        <f>"TEXAS LEGAL PROTECTION PLAN"</f>
        <v>TEXAS LEGAL PROTECTION PLAN</v>
      </c>
      <c r="G2519" s="4">
        <v>496</v>
      </c>
      <c r="H2519" t="str">
        <f>"TEXAS LEGAL PROTECTION PLAN"</f>
        <v>TEXAS LEGAL PROTECTION PLAN</v>
      </c>
    </row>
    <row r="2520" spans="1:8" x14ac:dyDescent="0.25">
      <c r="E2520" t="str">
        <f>"LGF202101201263"</f>
        <v>LGF202101201263</v>
      </c>
      <c r="F2520" t="str">
        <f>"TEXAS LEGAL PROTECTION PLAN"</f>
        <v>TEXAS LEGAL PROTECTION PLAN</v>
      </c>
      <c r="G2520" s="4">
        <v>496</v>
      </c>
      <c r="H2520" t="str">
        <f>"TEXAS LEGAL PROTECTION PLAN"</f>
        <v>TEXAS LEGAL PROTECTION PLAN</v>
      </c>
    </row>
    <row r="2521" spans="1:8" x14ac:dyDescent="0.25">
      <c r="A2521" t="s">
        <v>365</v>
      </c>
      <c r="B2521">
        <v>873</v>
      </c>
      <c r="C2521" s="4">
        <v>0.99</v>
      </c>
      <c r="D2521" s="1">
        <v>44223</v>
      </c>
      <c r="E2521" t="str">
        <f>"202101271392"</f>
        <v>202101271392</v>
      </c>
      <c r="F2521" t="str">
        <f t="shared" ref="F2521:F2526" si="55">"ACCT#72-5613 / 01032021"</f>
        <v>ACCT#72-5613 / 01032021</v>
      </c>
      <c r="G2521" s="4">
        <v>0.99</v>
      </c>
      <c r="H2521" t="str">
        <f t="shared" ref="H2521:H2536" si="56">"ACCT#72-5613 / 01032021"</f>
        <v>ACCT#72-5613 / 01032021</v>
      </c>
    </row>
    <row r="2522" spans="1:8" x14ac:dyDescent="0.25">
      <c r="A2522" t="s">
        <v>366</v>
      </c>
      <c r="B2522">
        <v>874</v>
      </c>
      <c r="C2522" s="4">
        <v>830</v>
      </c>
      <c r="D2522" s="1">
        <v>44223</v>
      </c>
      <c r="E2522" t="str">
        <f>"202101271393"</f>
        <v>202101271393</v>
      </c>
      <c r="F2522" t="str">
        <f t="shared" si="55"/>
        <v>ACCT#72-5613 / 01032021</v>
      </c>
      <c r="G2522" s="4">
        <v>830</v>
      </c>
      <c r="H2522" t="str">
        <f t="shared" si="56"/>
        <v>ACCT#72-5613 / 01032021</v>
      </c>
    </row>
    <row r="2523" spans="1:8" x14ac:dyDescent="0.25">
      <c r="A2523" t="s">
        <v>367</v>
      </c>
      <c r="B2523">
        <v>877</v>
      </c>
      <c r="C2523" s="4">
        <v>104.09</v>
      </c>
      <c r="D2523" s="1">
        <v>44223</v>
      </c>
      <c r="E2523" t="str">
        <f>"202101271396"</f>
        <v>202101271396</v>
      </c>
      <c r="F2523" t="str">
        <f t="shared" si="55"/>
        <v>ACCT#72-5613 / 01032021</v>
      </c>
      <c r="G2523" s="4">
        <v>104.09</v>
      </c>
      <c r="H2523" t="str">
        <f t="shared" si="56"/>
        <v>ACCT#72-5613 / 01032021</v>
      </c>
    </row>
    <row r="2524" spans="1:8" x14ac:dyDescent="0.25">
      <c r="A2524" t="s">
        <v>92</v>
      </c>
      <c r="B2524">
        <v>878</v>
      </c>
      <c r="C2524" s="4">
        <v>402.8</v>
      </c>
      <c r="D2524" s="1">
        <v>44223</v>
      </c>
      <c r="E2524" t="str">
        <f>"202101271397"</f>
        <v>202101271397</v>
      </c>
      <c r="F2524" t="str">
        <f t="shared" si="55"/>
        <v>ACCT#72-5613 / 01032021</v>
      </c>
      <c r="G2524" s="4">
        <v>402.8</v>
      </c>
      <c r="H2524" t="str">
        <f t="shared" si="56"/>
        <v>ACCT#72-5613 / 01032021</v>
      </c>
    </row>
    <row r="2525" spans="1:8" x14ac:dyDescent="0.25">
      <c r="A2525" t="s">
        <v>105</v>
      </c>
      <c r="B2525">
        <v>870</v>
      </c>
      <c r="C2525" s="4">
        <v>532</v>
      </c>
      <c r="D2525" s="1">
        <v>44223</v>
      </c>
      <c r="E2525" t="str">
        <f>"202101271390"</f>
        <v>202101271390</v>
      </c>
      <c r="F2525" t="str">
        <f t="shared" si="55"/>
        <v>ACCT#72-5613 / 01032021</v>
      </c>
      <c r="G2525" s="4">
        <v>532</v>
      </c>
      <c r="H2525" t="str">
        <f t="shared" si="56"/>
        <v>ACCT#72-5613 / 01032021</v>
      </c>
    </row>
    <row r="2526" spans="1:8" x14ac:dyDescent="0.25">
      <c r="A2526" t="s">
        <v>134</v>
      </c>
      <c r="B2526">
        <v>871</v>
      </c>
      <c r="C2526" s="4">
        <v>484.06</v>
      </c>
      <c r="D2526" s="1">
        <v>44223</v>
      </c>
      <c r="E2526" t="str">
        <f>"202101271391"</f>
        <v>202101271391</v>
      </c>
      <c r="F2526" t="str">
        <f t="shared" si="55"/>
        <v>ACCT#72-5613 / 01032021</v>
      </c>
      <c r="G2526" s="4">
        <v>484.06</v>
      </c>
      <c r="H2526" t="str">
        <f t="shared" si="56"/>
        <v>ACCT#72-5613 / 01032021</v>
      </c>
    </row>
    <row r="2527" spans="1:8" x14ac:dyDescent="0.25">
      <c r="E2527" t="str">
        <f>""</f>
        <v/>
      </c>
      <c r="F2527" t="str">
        <f>""</f>
        <v/>
      </c>
      <c r="H2527" t="str">
        <f t="shared" si="56"/>
        <v>ACCT#72-5613 / 01032021</v>
      </c>
    </row>
    <row r="2528" spans="1:8" x14ac:dyDescent="0.25">
      <c r="E2528" t="str">
        <f>""</f>
        <v/>
      </c>
      <c r="F2528" t="str">
        <f>""</f>
        <v/>
      </c>
      <c r="H2528" t="str">
        <f t="shared" si="56"/>
        <v>ACCT#72-5613 / 01032021</v>
      </c>
    </row>
    <row r="2529" spans="1:8" x14ac:dyDescent="0.25">
      <c r="A2529" t="s">
        <v>368</v>
      </c>
      <c r="B2529">
        <v>875</v>
      </c>
      <c r="C2529" s="4">
        <v>19.79</v>
      </c>
      <c r="D2529" s="1">
        <v>44223</v>
      </c>
      <c r="E2529" t="str">
        <f>"202101271394"</f>
        <v>202101271394</v>
      </c>
      <c r="F2529" t="str">
        <f>"ACCT#72-5613 / 01032021"</f>
        <v>ACCT#72-5613 / 01032021</v>
      </c>
      <c r="G2529" s="4">
        <v>19.79</v>
      </c>
      <c r="H2529" t="str">
        <f t="shared" si="56"/>
        <v>ACCT#72-5613 / 01032021</v>
      </c>
    </row>
    <row r="2530" spans="1:8" x14ac:dyDescent="0.25">
      <c r="A2530" t="s">
        <v>369</v>
      </c>
      <c r="B2530">
        <v>869</v>
      </c>
      <c r="C2530" s="4">
        <v>224.98</v>
      </c>
      <c r="D2530" s="1">
        <v>44223</v>
      </c>
      <c r="E2530" t="str">
        <f>"202101271389"</f>
        <v>202101271389</v>
      </c>
      <c r="F2530" t="str">
        <f>"ACCT#72-5613 / 01032021"</f>
        <v>ACCT#72-5613 / 01032021</v>
      </c>
      <c r="G2530" s="4">
        <v>224.98</v>
      </c>
      <c r="H2530" t="str">
        <f t="shared" si="56"/>
        <v>ACCT#72-5613 / 01032021</v>
      </c>
    </row>
    <row r="2531" spans="1:8" x14ac:dyDescent="0.25">
      <c r="A2531" t="s">
        <v>370</v>
      </c>
      <c r="B2531">
        <v>876</v>
      </c>
      <c r="C2531" s="4">
        <v>74.900000000000006</v>
      </c>
      <c r="D2531" s="1">
        <v>44223</v>
      </c>
      <c r="E2531" t="str">
        <f>"202101271395"</f>
        <v>202101271395</v>
      </c>
      <c r="F2531" t="str">
        <f>"ACCT#72-5613 / 01032021"</f>
        <v>ACCT#72-5613 / 01032021</v>
      </c>
      <c r="G2531" s="4">
        <v>74.900000000000006</v>
      </c>
      <c r="H2531" t="str">
        <f t="shared" si="56"/>
        <v>ACCT#72-5613 / 01032021</v>
      </c>
    </row>
    <row r="2532" spans="1:8" x14ac:dyDescent="0.25">
      <c r="A2532" t="s">
        <v>271</v>
      </c>
      <c r="B2532">
        <v>872</v>
      </c>
      <c r="C2532" s="4">
        <v>495.17</v>
      </c>
      <c r="D2532" s="1">
        <v>44223</v>
      </c>
      <c r="E2532" t="str">
        <f>"202101271400"</f>
        <v>202101271400</v>
      </c>
      <c r="F2532" t="str">
        <f>"ACCT#72-5613 / 01032021"</f>
        <v>ACCT#72-5613 / 01032021</v>
      </c>
      <c r="G2532" s="4">
        <v>495.17</v>
      </c>
      <c r="H2532" t="str">
        <f t="shared" si="56"/>
        <v>ACCT#72-5613 / 01032021</v>
      </c>
    </row>
    <row r="2533" spans="1:8" x14ac:dyDescent="0.25">
      <c r="A2533" t="s">
        <v>371</v>
      </c>
      <c r="B2533">
        <v>879</v>
      </c>
      <c r="C2533" s="4">
        <v>22.93</v>
      </c>
      <c r="D2533" s="1">
        <v>44223</v>
      </c>
      <c r="E2533" t="str">
        <f>"202101271398"</f>
        <v>202101271398</v>
      </c>
      <c r="F2533" t="str">
        <f>"ACCT#72-5613 / 01032021"</f>
        <v>ACCT#72-5613 / 01032021</v>
      </c>
      <c r="G2533" s="4">
        <v>22.93</v>
      </c>
      <c r="H2533" t="str">
        <f t="shared" si="56"/>
        <v>ACCT#72-5613 / 01032021</v>
      </c>
    </row>
    <row r="2534" spans="1:8" x14ac:dyDescent="0.25">
      <c r="E2534" t="str">
        <f>""</f>
        <v/>
      </c>
      <c r="F2534" t="str">
        <f>""</f>
        <v/>
      </c>
      <c r="H2534" t="str">
        <f t="shared" si="56"/>
        <v>ACCT#72-5613 / 01032021</v>
      </c>
    </row>
    <row r="2535" spans="1:8" x14ac:dyDescent="0.25">
      <c r="E2535" t="str">
        <f>""</f>
        <v/>
      </c>
      <c r="F2535" t="str">
        <f>""</f>
        <v/>
      </c>
      <c r="H2535" t="str">
        <f t="shared" si="56"/>
        <v>ACCT#72-5613 / 01032021</v>
      </c>
    </row>
    <row r="2536" spans="1:8" x14ac:dyDescent="0.25">
      <c r="A2536" t="s">
        <v>372</v>
      </c>
      <c r="B2536">
        <v>880</v>
      </c>
      <c r="C2536" s="4">
        <v>899.99</v>
      </c>
      <c r="D2536" s="1">
        <v>44223</v>
      </c>
      <c r="E2536" t="str">
        <f>"202101271399"</f>
        <v>202101271399</v>
      </c>
      <c r="F2536" t="str">
        <f>"ACCT#72-5613 / 01032021"</f>
        <v>ACCT#72-5613 / 01032021</v>
      </c>
      <c r="G2536" s="4">
        <v>899.99</v>
      </c>
      <c r="H2536" t="str">
        <f t="shared" si="56"/>
        <v>ACCT#72-5613 / 01032021</v>
      </c>
    </row>
    <row r="2537" spans="1:8" ht="15.75" thickBot="1" x14ac:dyDescent="0.3">
      <c r="C2537" s="5">
        <f>SUM(C2:C2536)</f>
        <v>3055230.4799999995</v>
      </c>
      <c r="G2537" s="5">
        <f>SUM(G2:G2536)</f>
        <v>3055230.4800000004</v>
      </c>
    </row>
    <row r="2538" spans="1:8" ht="15.75" thickTop="1" x14ac:dyDescent="0.25"/>
  </sheetData>
  <autoFilter ref="A1:H253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AP-CHK-RPT-20210325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2021-03-25T16:12:06Z</dcterms:created>
  <dcterms:modified xsi:type="dcterms:W3CDTF">2021-03-25T16:18:06Z</dcterms:modified>
</cp:coreProperties>
</file>