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Check Registers\"/>
    </mc:Choice>
  </mc:AlternateContent>
  <bookViews>
    <workbookView xWindow="0" yWindow="0" windowWidth="28800" windowHeight="12435"/>
  </bookViews>
  <sheets>
    <sheet name="AP-CHK-RPT-20210325" sheetId="1" r:id="rId1"/>
  </sheets>
  <definedNames>
    <definedName name="_xlnm._FilterDatabase" localSheetId="0" hidden="1">'AP-CHK-RPT-20210325'!$A$1:$H$2814</definedName>
  </definedNames>
  <calcPr calcId="0"/>
</workbook>
</file>

<file path=xl/calcChain.xml><?xml version="1.0" encoding="utf-8"?>
<calcChain xmlns="http://schemas.openxmlformats.org/spreadsheetml/2006/main">
  <c r="C2814" i="1" l="1"/>
  <c r="G2814" i="1"/>
  <c r="E2" i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F802" i="1"/>
  <c r="H802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F896" i="1"/>
  <c r="H896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F913" i="1"/>
  <c r="H913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  <c r="E2689" i="1"/>
  <c r="F2689" i="1"/>
  <c r="H2689" i="1"/>
  <c r="E2690" i="1"/>
  <c r="F2690" i="1"/>
  <c r="H2690" i="1"/>
  <c r="E2691" i="1"/>
  <c r="F2691" i="1"/>
  <c r="H2691" i="1"/>
  <c r="E2692" i="1"/>
  <c r="F2692" i="1"/>
  <c r="H2692" i="1"/>
  <c r="E2693" i="1"/>
  <c r="F2693" i="1"/>
  <c r="H2693" i="1"/>
  <c r="E2694" i="1"/>
  <c r="F2694" i="1"/>
  <c r="H2694" i="1"/>
  <c r="E2695" i="1"/>
  <c r="F2695" i="1"/>
  <c r="H2695" i="1"/>
  <c r="E2696" i="1"/>
  <c r="F2696" i="1"/>
  <c r="H2696" i="1"/>
  <c r="E2697" i="1"/>
  <c r="F2697" i="1"/>
  <c r="H2697" i="1"/>
  <c r="E2698" i="1"/>
  <c r="F2698" i="1"/>
  <c r="H2698" i="1"/>
  <c r="E2699" i="1"/>
  <c r="F2699" i="1"/>
  <c r="H2699" i="1"/>
  <c r="E2700" i="1"/>
  <c r="F2700" i="1"/>
  <c r="H2700" i="1"/>
  <c r="E2701" i="1"/>
  <c r="F2701" i="1"/>
  <c r="H2701" i="1"/>
  <c r="E2702" i="1"/>
  <c r="F2702" i="1"/>
  <c r="H2702" i="1"/>
  <c r="E2703" i="1"/>
  <c r="F2703" i="1"/>
  <c r="H2703" i="1"/>
  <c r="E2704" i="1"/>
  <c r="F2704" i="1"/>
  <c r="H2704" i="1"/>
  <c r="E2705" i="1"/>
  <c r="F2705" i="1"/>
  <c r="H2705" i="1"/>
  <c r="E2706" i="1"/>
  <c r="F2706" i="1"/>
  <c r="H2706" i="1"/>
  <c r="E2707" i="1"/>
  <c r="F2707" i="1"/>
  <c r="H2707" i="1"/>
  <c r="E2708" i="1"/>
  <c r="F2708" i="1"/>
  <c r="H2708" i="1"/>
  <c r="E2709" i="1"/>
  <c r="F2709" i="1"/>
  <c r="H2709" i="1"/>
  <c r="E2710" i="1"/>
  <c r="F2710" i="1"/>
  <c r="H2710" i="1"/>
  <c r="E2711" i="1"/>
  <c r="F2711" i="1"/>
  <c r="H2711" i="1"/>
  <c r="E2712" i="1"/>
  <c r="F2712" i="1"/>
  <c r="H2712" i="1"/>
  <c r="E2713" i="1"/>
  <c r="F2713" i="1"/>
  <c r="H2713" i="1"/>
  <c r="E2714" i="1"/>
  <c r="F2714" i="1"/>
  <c r="H2714" i="1"/>
  <c r="E2715" i="1"/>
  <c r="F2715" i="1"/>
  <c r="H2715" i="1"/>
  <c r="E2716" i="1"/>
  <c r="F2716" i="1"/>
  <c r="H2716" i="1"/>
  <c r="E2717" i="1"/>
  <c r="F2717" i="1"/>
  <c r="H2717" i="1"/>
  <c r="E2718" i="1"/>
  <c r="F2718" i="1"/>
  <c r="H2718" i="1"/>
  <c r="E2719" i="1"/>
  <c r="F2719" i="1"/>
  <c r="H2719" i="1"/>
  <c r="E2720" i="1"/>
  <c r="F2720" i="1"/>
  <c r="H2720" i="1"/>
  <c r="E2721" i="1"/>
  <c r="F2721" i="1"/>
  <c r="H2721" i="1"/>
  <c r="E2722" i="1"/>
  <c r="F2722" i="1"/>
  <c r="H2722" i="1"/>
  <c r="E2723" i="1"/>
  <c r="F2723" i="1"/>
  <c r="H2723" i="1"/>
  <c r="E2724" i="1"/>
  <c r="F2724" i="1"/>
  <c r="H2724" i="1"/>
  <c r="E2725" i="1"/>
  <c r="F2725" i="1"/>
  <c r="H2725" i="1"/>
  <c r="E2726" i="1"/>
  <c r="F2726" i="1"/>
  <c r="H2726" i="1"/>
  <c r="E2727" i="1"/>
  <c r="F2727" i="1"/>
  <c r="H2727" i="1"/>
  <c r="E2728" i="1"/>
  <c r="F2728" i="1"/>
  <c r="H2728" i="1"/>
  <c r="E2729" i="1"/>
  <c r="F2729" i="1"/>
  <c r="H2729" i="1"/>
  <c r="E2730" i="1"/>
  <c r="F2730" i="1"/>
  <c r="H2730" i="1"/>
  <c r="E2731" i="1"/>
  <c r="F2731" i="1"/>
  <c r="H2731" i="1"/>
  <c r="E2732" i="1"/>
  <c r="F2732" i="1"/>
  <c r="H2732" i="1"/>
  <c r="E2733" i="1"/>
  <c r="F2733" i="1"/>
  <c r="H2733" i="1"/>
  <c r="E2734" i="1"/>
  <c r="F2734" i="1"/>
  <c r="H2734" i="1"/>
  <c r="E2735" i="1"/>
  <c r="F2735" i="1"/>
  <c r="H2735" i="1"/>
  <c r="E2736" i="1"/>
  <c r="F2736" i="1"/>
  <c r="H2736" i="1"/>
  <c r="E2737" i="1"/>
  <c r="F2737" i="1"/>
  <c r="H2737" i="1"/>
  <c r="E2738" i="1"/>
  <c r="F2738" i="1"/>
  <c r="H2738" i="1"/>
  <c r="E2739" i="1"/>
  <c r="F2739" i="1"/>
  <c r="H2739" i="1"/>
  <c r="E2740" i="1"/>
  <c r="F2740" i="1"/>
  <c r="H2740" i="1"/>
  <c r="E2741" i="1"/>
  <c r="F2741" i="1"/>
  <c r="H2741" i="1"/>
  <c r="E2742" i="1"/>
  <c r="F2742" i="1"/>
  <c r="H2742" i="1"/>
  <c r="E2743" i="1"/>
  <c r="F2743" i="1"/>
  <c r="H2743" i="1"/>
  <c r="E2744" i="1"/>
  <c r="F2744" i="1"/>
  <c r="H2744" i="1"/>
  <c r="E2745" i="1"/>
  <c r="F2745" i="1"/>
  <c r="H2745" i="1"/>
  <c r="E2746" i="1"/>
  <c r="F2746" i="1"/>
  <c r="H2746" i="1"/>
  <c r="E2747" i="1"/>
  <c r="F2747" i="1"/>
  <c r="H2747" i="1"/>
  <c r="E2748" i="1"/>
  <c r="F2748" i="1"/>
  <c r="H2748" i="1"/>
  <c r="E2749" i="1"/>
  <c r="F2749" i="1"/>
  <c r="H2749" i="1"/>
  <c r="E2750" i="1"/>
  <c r="F2750" i="1"/>
  <c r="H2750" i="1"/>
  <c r="E2751" i="1"/>
  <c r="F2751" i="1"/>
  <c r="H2751" i="1"/>
  <c r="E2752" i="1"/>
  <c r="F2752" i="1"/>
  <c r="H2752" i="1"/>
  <c r="E2753" i="1"/>
  <c r="F2753" i="1"/>
  <c r="H2753" i="1"/>
  <c r="E2754" i="1"/>
  <c r="F2754" i="1"/>
  <c r="H2754" i="1"/>
  <c r="E2755" i="1"/>
  <c r="F2755" i="1"/>
  <c r="H2755" i="1"/>
  <c r="E2756" i="1"/>
  <c r="F2756" i="1"/>
  <c r="H2756" i="1"/>
  <c r="E2757" i="1"/>
  <c r="F2757" i="1"/>
  <c r="H2757" i="1"/>
  <c r="E2758" i="1"/>
  <c r="F2758" i="1"/>
  <c r="H2758" i="1"/>
  <c r="E2759" i="1"/>
  <c r="F2759" i="1"/>
  <c r="H2759" i="1"/>
  <c r="E2760" i="1"/>
  <c r="F2760" i="1"/>
  <c r="H2760" i="1"/>
  <c r="E2761" i="1"/>
  <c r="F2761" i="1"/>
  <c r="H2761" i="1"/>
  <c r="E2762" i="1"/>
  <c r="F2762" i="1"/>
  <c r="H2762" i="1"/>
  <c r="E2763" i="1"/>
  <c r="F2763" i="1"/>
  <c r="H2763" i="1"/>
  <c r="E2764" i="1"/>
  <c r="F2764" i="1"/>
  <c r="H2764" i="1"/>
  <c r="E2765" i="1"/>
  <c r="F2765" i="1"/>
  <c r="H2765" i="1"/>
  <c r="E2766" i="1"/>
  <c r="F2766" i="1"/>
  <c r="H2766" i="1"/>
  <c r="E2767" i="1"/>
  <c r="F2767" i="1"/>
  <c r="H2767" i="1"/>
  <c r="E2768" i="1"/>
  <c r="F2768" i="1"/>
  <c r="H2768" i="1"/>
  <c r="E2769" i="1"/>
  <c r="F2769" i="1"/>
  <c r="H2769" i="1"/>
  <c r="E2770" i="1"/>
  <c r="F2770" i="1"/>
  <c r="H2770" i="1"/>
  <c r="E2771" i="1"/>
  <c r="F2771" i="1"/>
  <c r="H2771" i="1"/>
  <c r="E2772" i="1"/>
  <c r="F2772" i="1"/>
  <c r="H2772" i="1"/>
  <c r="E2773" i="1"/>
  <c r="F2773" i="1"/>
  <c r="H2773" i="1"/>
  <c r="E2774" i="1"/>
  <c r="F2774" i="1"/>
  <c r="H2774" i="1"/>
  <c r="E2775" i="1"/>
  <c r="F2775" i="1"/>
  <c r="H2775" i="1"/>
  <c r="E2776" i="1"/>
  <c r="F2776" i="1"/>
  <c r="H2776" i="1"/>
  <c r="E2777" i="1"/>
  <c r="F2777" i="1"/>
  <c r="H2777" i="1"/>
  <c r="E2778" i="1"/>
  <c r="F2778" i="1"/>
  <c r="H2778" i="1"/>
  <c r="E2779" i="1"/>
  <c r="F2779" i="1"/>
  <c r="H2779" i="1"/>
  <c r="E2780" i="1"/>
  <c r="F2780" i="1"/>
  <c r="H2780" i="1"/>
  <c r="E2781" i="1"/>
  <c r="F2781" i="1"/>
  <c r="H2781" i="1"/>
  <c r="E2782" i="1"/>
  <c r="F2782" i="1"/>
  <c r="H2782" i="1"/>
  <c r="E2783" i="1"/>
  <c r="F2783" i="1"/>
  <c r="H2783" i="1"/>
  <c r="E2784" i="1"/>
  <c r="F2784" i="1"/>
  <c r="H2784" i="1"/>
  <c r="E2785" i="1"/>
  <c r="F2785" i="1"/>
  <c r="H2785" i="1"/>
  <c r="E2786" i="1"/>
  <c r="F2786" i="1"/>
  <c r="H2786" i="1"/>
  <c r="E2787" i="1"/>
  <c r="F2787" i="1"/>
  <c r="H2787" i="1"/>
  <c r="E2788" i="1"/>
  <c r="F2788" i="1"/>
  <c r="H2788" i="1"/>
  <c r="E2789" i="1"/>
  <c r="F2789" i="1"/>
  <c r="H2789" i="1"/>
  <c r="E2790" i="1"/>
  <c r="F2790" i="1"/>
  <c r="H2790" i="1"/>
  <c r="E2791" i="1"/>
  <c r="F2791" i="1"/>
  <c r="H2791" i="1"/>
  <c r="E2792" i="1"/>
  <c r="F2792" i="1"/>
  <c r="H2792" i="1"/>
  <c r="E2793" i="1"/>
  <c r="F2793" i="1"/>
  <c r="H2793" i="1"/>
  <c r="E2794" i="1"/>
  <c r="F2794" i="1"/>
  <c r="H2794" i="1"/>
  <c r="E2795" i="1"/>
  <c r="F2795" i="1"/>
  <c r="H2795" i="1"/>
  <c r="E2796" i="1"/>
  <c r="F2796" i="1"/>
  <c r="H2796" i="1"/>
  <c r="E2797" i="1"/>
  <c r="F2797" i="1"/>
  <c r="H2797" i="1"/>
  <c r="E2798" i="1"/>
  <c r="F2798" i="1"/>
  <c r="H2798" i="1"/>
  <c r="E2799" i="1"/>
  <c r="F2799" i="1"/>
  <c r="H2799" i="1"/>
  <c r="E2800" i="1"/>
  <c r="F2800" i="1"/>
  <c r="H2800" i="1"/>
  <c r="E2801" i="1"/>
  <c r="F2801" i="1"/>
  <c r="H2801" i="1"/>
  <c r="E2802" i="1"/>
  <c r="F2802" i="1"/>
  <c r="H2802" i="1"/>
  <c r="E2803" i="1"/>
  <c r="F2803" i="1"/>
  <c r="H2803" i="1"/>
  <c r="E2804" i="1"/>
  <c r="F2804" i="1"/>
  <c r="H2804" i="1"/>
  <c r="E2805" i="1"/>
  <c r="F2805" i="1"/>
  <c r="H2805" i="1"/>
  <c r="E2806" i="1"/>
  <c r="F2806" i="1"/>
  <c r="H2806" i="1"/>
  <c r="E2807" i="1"/>
  <c r="F2807" i="1"/>
  <c r="H2807" i="1"/>
  <c r="E2808" i="1"/>
  <c r="F2808" i="1"/>
  <c r="H2808" i="1"/>
  <c r="E2809" i="1"/>
  <c r="F2809" i="1"/>
  <c r="H2809" i="1"/>
  <c r="E2810" i="1"/>
  <c r="F2810" i="1"/>
  <c r="H2810" i="1"/>
  <c r="E2811" i="1"/>
  <c r="F2811" i="1"/>
  <c r="H2811" i="1"/>
  <c r="E2812" i="1"/>
  <c r="F2812" i="1"/>
  <c r="H2812" i="1"/>
  <c r="E2813" i="1"/>
  <c r="F2813" i="1"/>
  <c r="H2813" i="1"/>
</calcChain>
</file>

<file path=xl/sharedStrings.xml><?xml version="1.0" encoding="utf-8"?>
<sst xmlns="http://schemas.openxmlformats.org/spreadsheetml/2006/main" count="577" uniqueCount="414">
  <si>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</si>
  <si>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</si>
  <si>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</si>
  <si>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</si>
  <si>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</si>
  <si>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</si>
  <si>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</si>
  <si>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</si>
  <si>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TIB-THE INDEPENDENT BANKERS BANK</t>
  </si>
  <si>
    <t>DISCOUNT DOOR &amp; METAL  LLC</t>
  </si>
  <si>
    <t>ELLIOTT ELECTRIC SUPPLY INC</t>
  </si>
  <si>
    <t>CITIBANK (SOUTH DAKOTA)N.A./THE HOME DEPOT</t>
  </si>
  <si>
    <t>STAPLES  INC.</t>
  </si>
  <si>
    <t>SHOPPA'S FARM SUPPLY</t>
  </si>
  <si>
    <t>BASTROP CAR WASH SERVICES LLC</t>
  </si>
  <si>
    <t>LEVITT ENTERPRISE  LP</t>
  </si>
  <si>
    <t>JIM ATTRA INC</t>
  </si>
  <si>
    <t>ROBERT MADDEN INDUSTRIES LTD</t>
  </si>
  <si>
    <t>RED WING BUSINESS ADVANTAGE ACCOUNT</t>
  </si>
  <si>
    <t>HARBOR FREIGHT TOOLS USA  INC</t>
  </si>
  <si>
    <t>GARMENTS TO GO  INC</t>
  </si>
  <si>
    <t>TRACTOR SUPPLY CREDIT PLAN</t>
  </si>
  <si>
    <t>MATHESON TRI-GAS INC</t>
  </si>
  <si>
    <t>CITIBANK</t>
  </si>
  <si>
    <t>DAVID H OUTON</t>
  </si>
  <si>
    <t>NATIONAL FOOD GROUP INC</t>
  </si>
  <si>
    <t>973 MATERIALS  LLC</t>
  </si>
  <si>
    <t>ULINE  INC.</t>
  </si>
  <si>
    <t>RICOH USA INC</t>
  </si>
  <si>
    <t>BASTROP PROVIDENCE  LLC</t>
  </si>
  <si>
    <t>LABATT INSTITUTIONAL SUPPLY CO</t>
  </si>
  <si>
    <t>PAUL GRANADO</t>
  </si>
  <si>
    <t>TIMOTHY HALL</t>
  </si>
  <si>
    <t>STEVE GRANADO</t>
  </si>
  <si>
    <t>MIDTEX MATERIALS</t>
  </si>
  <si>
    <t>RICHARD NELSON MOORE</t>
  </si>
  <si>
    <t>PATRICK ELECTRIC SERVICE</t>
  </si>
  <si>
    <t>AUTUMN J SMITH</t>
  </si>
  <si>
    <t>ADENA LEWIS</t>
  </si>
  <si>
    <t>AMERICAN TIRE DISTRIBUTORS INC</t>
  </si>
  <si>
    <t>SILSBEE FORD</t>
  </si>
  <si>
    <t>HYDRAULIC HOUSE INC</t>
  </si>
  <si>
    <t>CONVERGENCE CABLING  INC.</t>
  </si>
  <si>
    <t>MARIA ANFOSSO</t>
  </si>
  <si>
    <t>TAVCO SERVICES INC</t>
  </si>
  <si>
    <t>BIG WRENCH ROAD SERVICE INC</t>
  </si>
  <si>
    <t>BUG MASTER EXTERMINATING SERVICES  LTD</t>
  </si>
  <si>
    <t>WIND KNOT INCORPORATED</t>
  </si>
  <si>
    <t>ROBERT C. STEUBING</t>
  </si>
  <si>
    <t>GARLAND/DBS  INC.</t>
  </si>
  <si>
    <t>AMAZON CAPITAL SERVICES INC</t>
  </si>
  <si>
    <t>DOUBLE D INTERNATIONAL FOOD CO.  INC.</t>
  </si>
  <si>
    <t>POST OAK HARDWARE  INC.</t>
  </si>
  <si>
    <t>BASTROP COUNTY CARES</t>
  </si>
  <si>
    <t>LONNIE LAWRENCE DAVIS JR</t>
  </si>
  <si>
    <t>REBECCA STRNAD</t>
  </si>
  <si>
    <t>DAVID CONTI</t>
  </si>
  <si>
    <t>SUN COAST RESOURCES</t>
  </si>
  <si>
    <t>US BANK NA</t>
  </si>
  <si>
    <t>LAURA ROBERTSON</t>
  </si>
  <si>
    <t>TEXAS DECON LLC</t>
  </si>
  <si>
    <t>CHRISTINE FILES</t>
  </si>
  <si>
    <t>BERTETTO QUALITY TRAILERS AND PARTS</t>
  </si>
  <si>
    <t>PAPER RETRIEVER OF TEXAS</t>
  </si>
  <si>
    <t>CALBRI ROAD &amp; BRIDGE LLC</t>
  </si>
  <si>
    <t>THE AUBAINE SUPPLY COMPANY  INC</t>
  </si>
  <si>
    <t>AUSTIN TRUCK AND EQUIPMENT  LTD</t>
  </si>
  <si>
    <t>MICHAEL OLDHAM TIRE INC</t>
  </si>
  <si>
    <t>COVERT CHEVROLET-OLDS</t>
  </si>
  <si>
    <t>COOPER EQUIPMENT CO.</t>
  </si>
  <si>
    <t>CEN-TEX MARINE FABRICATORS INC</t>
  </si>
  <si>
    <t>DENTRUST DENTAL TX PC</t>
  </si>
  <si>
    <t>ECOLAB INC</t>
  </si>
  <si>
    <t>EUGENE W BRIGGS JR</t>
  </si>
  <si>
    <t>GT DISTRIBUTORS  INC.</t>
  </si>
  <si>
    <t>BD HOLT CO</t>
  </si>
  <si>
    <t>KENT BROUSSARD TOWER RENTAL INC</t>
  </si>
  <si>
    <t>McCOY'S BUILDING SUPPLY CENTER</t>
  </si>
  <si>
    <t>ALBERT NEAL PFEIFFER</t>
  </si>
  <si>
    <t>PITNEY BOWES GLOBAL FINANCIAL SERVICES</t>
  </si>
  <si>
    <t>PHILIP R DUCLOUX</t>
  </si>
  <si>
    <t>BASTROP COUNTY TAX ASSESSOR</t>
  </si>
  <si>
    <t>B C FOOD GROUP  LLC</t>
  </si>
  <si>
    <t>INDIGENT HEALTHCARE SOLUTIONS</t>
  </si>
  <si>
    <t>TERRILL L FLENNIKEN</t>
  </si>
  <si>
    <t>SCOTT BRYANT</t>
  </si>
  <si>
    <t>JOHN J FIETSAM INC</t>
  </si>
  <si>
    <t>HALFF ASSOCIATES</t>
  </si>
  <si>
    <t>JUSTIN MATTHEW FOHN</t>
  </si>
  <si>
    <t>GULF COAST PAPER CO. INC.</t>
  </si>
  <si>
    <t>UNITED REFRIGERATION INC</t>
  </si>
  <si>
    <t>WASHING EQUIPMENT OF TEXAS</t>
  </si>
  <si>
    <t>O'REILLY AUTOMOTIVE  INC.</t>
  </si>
  <si>
    <t>ANDERSON &amp; ANDERSON LAW FIRM PC</t>
  </si>
  <si>
    <t>JENKINS &amp; JENKINS LLP</t>
  </si>
  <si>
    <t>RS EQUIPMENT CO</t>
  </si>
  <si>
    <t>CHRIS MATT DILLON</t>
  </si>
  <si>
    <t>DUNNE &amp; JUAREZ L.L.C.</t>
  </si>
  <si>
    <t>TULL FARLEY</t>
  </si>
  <si>
    <t>NESTLE WATERS N AMERICA INC</t>
  </si>
  <si>
    <t>FLORENCE BEHAVIN</t>
  </si>
  <si>
    <t>KNIGHT SECURITY SYSTEMS LLC</t>
  </si>
  <si>
    <t>CLIFFORD POWER SYSTEMS INC</t>
  </si>
  <si>
    <t>PM WILSON &amp; ASSOCIATES PLLC</t>
  </si>
  <si>
    <t>DAVID M COLLINS</t>
  </si>
  <si>
    <t>WALLER COUNTY ASPHALT INC</t>
  </si>
  <si>
    <t>ARSENAL ADVERTISING LLC</t>
  </si>
  <si>
    <t>MAO PHARMACY INC</t>
  </si>
  <si>
    <t>QUALYS INC</t>
  </si>
  <si>
    <t>UNITED KWB COLLABORATIONS LLC</t>
  </si>
  <si>
    <t>MATTHEW LEE SULLINS</t>
  </si>
  <si>
    <t>LONE STAR CIRCLE OF CARE</t>
  </si>
  <si>
    <t>MARK MEUTH</t>
  </si>
  <si>
    <t>MEL HAMNER</t>
  </si>
  <si>
    <t>JO DAWN BOMAR</t>
  </si>
  <si>
    <t>TEXAS VISION CLINIC  PLLC</t>
  </si>
  <si>
    <t>FRANCES HUNTER</t>
  </si>
  <si>
    <t>T4 DISTRIBUTION  LLC</t>
  </si>
  <si>
    <t>NORTHWEST CASCADE INC</t>
  </si>
  <si>
    <t>M&amp;C FONSECA CONSTRUCTION CO.  INC.</t>
  </si>
  <si>
    <t>CLINICAL PATHOLOGY LABORATORIES INC</t>
  </si>
  <si>
    <t>FORREST L. SANDERSON</t>
  </si>
  <si>
    <t>BASCOM L HODGES JR</t>
  </si>
  <si>
    <t>MICHELE FRITSCHE C.S.R.</t>
  </si>
  <si>
    <t>SAMMY LERMA III MD</t>
  </si>
  <si>
    <t>BASTROP MEDICAL CLINIC</t>
  </si>
  <si>
    <t>CDW GOVERNMENT INC</t>
  </si>
  <si>
    <t>BLUEBONNET TRAILS MHMR</t>
  </si>
  <si>
    <t>AUSTIN GASTROENTERLOGY</t>
  </si>
  <si>
    <t>TEJAS ELEVATOR COMPANY</t>
  </si>
  <si>
    <t>CHARITTY NOEL ALEXANDER</t>
  </si>
  <si>
    <t>JESSICA LEON-CIPRIANO</t>
  </si>
  <si>
    <t>ERICK RENE RODRIGUEZ</t>
  </si>
  <si>
    <t>BEATRICE MARY FLIPPO</t>
  </si>
  <si>
    <t>JEFFREY NEIL EWING</t>
  </si>
  <si>
    <t>JEFFREY SCOTT KUBICEK</t>
  </si>
  <si>
    <t>NOEMI ANDRADE POTTS</t>
  </si>
  <si>
    <t>MARTIN DAVID RAZ</t>
  </si>
  <si>
    <t>ARIEL KAITLIN DUFFIN</t>
  </si>
  <si>
    <t>THERESA PSENCIK ZETKA</t>
  </si>
  <si>
    <t>CAROL ANN JOHNSTON</t>
  </si>
  <si>
    <t>ANDRE L BINGER</t>
  </si>
  <si>
    <t>ROGER PROKOSCH</t>
  </si>
  <si>
    <t>AQUA WATER SUPPLY CORPORATION</t>
  </si>
  <si>
    <t>CENTERPOINT ENERGY</t>
  </si>
  <si>
    <t>CITY OF SMITHVILLE</t>
  </si>
  <si>
    <t>DONNIE STARK</t>
  </si>
  <si>
    <t>CITY OF ELGIN UTILITIES</t>
  </si>
  <si>
    <t>LEE COUNTY WATER SUPPLY CORP</t>
  </si>
  <si>
    <t>NRG ENERGY INC</t>
  </si>
  <si>
    <t>WASTE CONNECTIONS LONE STAR. INC.</t>
  </si>
  <si>
    <t>1ALL STAR ROLL OFF AND BACKHOE SERVICES LLC</t>
  </si>
  <si>
    <t>ADAM DAKOTA ROWINS</t>
  </si>
  <si>
    <t>AMERICAN ASSN OF NOTARIES</t>
  </si>
  <si>
    <t>AMERISOURCEBERGEN</t>
  </si>
  <si>
    <t>AMG PRINTING &amp; MAILING  LLC</t>
  </si>
  <si>
    <t>C APPLEMAN ENT INC</t>
  </si>
  <si>
    <t>APPRISS INC</t>
  </si>
  <si>
    <t>AQUA BEVERAGE COMPANY/OZARKA</t>
  </si>
  <si>
    <t>ARA / ST.DAVID'S IMAGING  LP</t>
  </si>
  <si>
    <t>ARCHITEXAS - ARCHITECTURE  PLANNING &amp; HISTORIC PRE</t>
  </si>
  <si>
    <t>ASHLEY HERMANS</t>
  </si>
  <si>
    <t>AT&amp;T</t>
  </si>
  <si>
    <t>AT&amp;T MOBILITY</t>
  </si>
  <si>
    <t>RICHARD ATWOOD</t>
  </si>
  <si>
    <t>PTL LAWN &amp; CLEANING SERVICE  INC</t>
  </si>
  <si>
    <t>AUSTIN PLASTICS &amp; SUPPLY INC.</t>
  </si>
  <si>
    <t>BASTROP CENTRAL APPRAISAL DIST.</t>
  </si>
  <si>
    <t>BASTROP COUNTY SHERIFF'S DEPT</t>
  </si>
  <si>
    <t>BASTROP VETERINARY HOSPITAL  INC.</t>
  </si>
  <si>
    <t>BEN E KEITH CO.</t>
  </si>
  <si>
    <t>BIMBO FOODS INC</t>
  </si>
  <si>
    <t>BLUEBONNET ELECTRIC</t>
  </si>
  <si>
    <t>BOB BARKER COMPANY  INC.</t>
  </si>
  <si>
    <t>BRAUNTEX MATERIALS INC</t>
  </si>
  <si>
    <t>CAPITAL AREA RURAL TRANSPORATION SYSTEM</t>
  </si>
  <si>
    <t>CHARLES W CARVER</t>
  </si>
  <si>
    <t>CINTAS</t>
  </si>
  <si>
    <t>CINTAS CORPORATION</t>
  </si>
  <si>
    <t>CNA SURETY</t>
  </si>
  <si>
    <t>COVERTTRACK GROUP INC</t>
  </si>
  <si>
    <t>BUTLER ANIMAL HEALTH HOLDING COMPANY  LLC</t>
  </si>
  <si>
    <t>CRAIG WINTER</t>
  </si>
  <si>
    <t>163"</t>
  </si>
  <si>
    <t>CRESSIDA EVELYN KWOLEK  Ph.D.</t>
  </si>
  <si>
    <t>CROSSHAIRS TEXAS LLC</t>
  </si>
  <si>
    <t>DALE COOK</t>
  </si>
  <si>
    <t>DEAN DAIRY CORPORATE  LLC</t>
  </si>
  <si>
    <t>DELL</t>
  </si>
  <si>
    <t>DICKENS LOCKSMITH INC</t>
  </si>
  <si>
    <t>TEXAS DEPARTMENT OF INFORMATION RESOURCES</t>
  </si>
  <si>
    <t>THE REINALT - THOMAS CORPORATION</t>
  </si>
  <si>
    <t>DONNA SNOWDEN</t>
  </si>
  <si>
    <t>DORA HERNANDEZ</t>
  </si>
  <si>
    <t>KRISTI ARRINGTON KALLINA</t>
  </si>
  <si>
    <t>DAVID MCMULLEN</t>
  </si>
  <si>
    <t>ELANCO US INC</t>
  </si>
  <si>
    <t>ELECTION SYSTEMS &amp; SOFTWARE INC</t>
  </si>
  <si>
    <t>ERGON ASPHALT &amp; EMULSIONS INC</t>
  </si>
  <si>
    <t>FEDERAL EXPRESS</t>
  </si>
  <si>
    <t>FRONTIER BANK</t>
  </si>
  <si>
    <t>108  11/20/20"</t>
  </si>
  <si>
    <t>G4 SPATIAL TECHNOLOGIES</t>
  </si>
  <si>
    <t>GALLS PARENT HOLDINGS LLC</t>
  </si>
  <si>
    <t>GRAINGER INC</t>
  </si>
  <si>
    <t>HEADSETS DIRECT INC.</t>
  </si>
  <si>
    <t>HEARTLAND QUARRIES  LLC</t>
  </si>
  <si>
    <t>HI-LINE</t>
  </si>
  <si>
    <t>HODGSON G ECKEL</t>
  </si>
  <si>
    <t>MARK DUBE</t>
  </si>
  <si>
    <t>GREGORY LUCAS</t>
  </si>
  <si>
    <t>INVISIO COMMUNICATIONS  INC</t>
  </si>
  <si>
    <t>IRON MOUNTAIN RECORDS MGMT INC</t>
  </si>
  <si>
    <t>JAMES MORGAN</t>
  </si>
  <si>
    <t>JON ETHEREDGE</t>
  </si>
  <si>
    <t>KAREN STARKS</t>
  </si>
  <si>
    <t>898  10/08/2020"</t>
  </si>
  <si>
    <t>KRISTA BARTSCH</t>
  </si>
  <si>
    <t>THE LA GRANGE PARTS HOUSE INC</t>
  </si>
  <si>
    <t>LUCIO LEAL</t>
  </si>
  <si>
    <t>AUSTIN LT  INC.</t>
  </si>
  <si>
    <t>LEXISNEXIS RISK DATA MGMT INC</t>
  </si>
  <si>
    <t>LIBERTY TIRE RECYCLING</t>
  </si>
  <si>
    <t>LONGHORN EMERGENCY MEDICAL ASSOC PA</t>
  </si>
  <si>
    <t>MAGIC TOUCH CLEANING SYSTEMS LLC</t>
  </si>
  <si>
    <t>MAIN STOP STORE</t>
  </si>
  <si>
    <t>JOHN W GASPARINI INC</t>
  </si>
  <si>
    <t>MAUREEN S BURROWS MD MPH</t>
  </si>
  <si>
    <t>McCREARY  VESELKA  BRAGG &amp; ALLEN P</t>
  </si>
  <si>
    <t>328  10/20/20"</t>
  </si>
  <si>
    <t>MOISES OR CAROLINE GUERRERO</t>
  </si>
  <si>
    <t>851  10/26/2020"</t>
  </si>
  <si>
    <t>MOTOROLA SOLUTIONS  IN.C</t>
  </si>
  <si>
    <t>MOTOROLA TRUNKED USERS GROUP</t>
  </si>
  <si>
    <t>NALCO COMPANY LLC</t>
  </si>
  <si>
    <t>NALLEY HVAC MECHANICAL LLC</t>
  </si>
  <si>
    <t>NEMO-Q INC</t>
  </si>
  <si>
    <t>NUECES FARM CENTER</t>
  </si>
  <si>
    <t>OFFICE DEPOT</t>
  </si>
  <si>
    <t>ON SITE SERVICES</t>
  </si>
  <si>
    <t>PAIGE TRACTORS INC</t>
  </si>
  <si>
    <t>SL PARKER PARTNERSHIP LLC</t>
  </si>
  <si>
    <t>PATTERSON  VETERINARY SUPPLY INC</t>
  </si>
  <si>
    <t>PB ELECTRONICS  INC</t>
  </si>
  <si>
    <t>RICHLAND RESEARCH</t>
  </si>
  <si>
    <t>PRODUCTIVITY CENTER INC</t>
  </si>
  <si>
    <t>PROGRESSIVE - RESTITUTION ACCT</t>
  </si>
  <si>
    <t>181  10/22/2020"</t>
  </si>
  <si>
    <t>181  11/23/2020"</t>
  </si>
  <si>
    <t>PYE-BARKER FIRE &amp; SAFETY LLC</t>
  </si>
  <si>
    <t>RESERVE ACCOUNT</t>
  </si>
  <si>
    <t>ROSE PIETSCH</t>
  </si>
  <si>
    <t>ROSE PIETSCH COUNTY CLERK</t>
  </si>
  <si>
    <t>FLB SAFETY ENTERPRISES  INC.</t>
  </si>
  <si>
    <t>SALINAS EXCAVATING LLC</t>
  </si>
  <si>
    <t>SANDRA RAMIREZ</t>
  </si>
  <si>
    <t>SHARON HANCOCK</t>
  </si>
  <si>
    <t>962  10/13/2020"</t>
  </si>
  <si>
    <t>962  11/13/20"</t>
  </si>
  <si>
    <t>SHI GOVERNMENT SOLUTIONS INC.</t>
  </si>
  <si>
    <t>SHRED-IT US HOLDCO  INC</t>
  </si>
  <si>
    <t>SKILLPATH NATIONAL SEMINARS TRAINING</t>
  </si>
  <si>
    <t>SMITH STORES  INC.</t>
  </si>
  <si>
    <t>SMITHVILLE AUTO PARTS  INC</t>
  </si>
  <si>
    <t>SOUTHERN TIRE MART LLC</t>
  </si>
  <si>
    <t>STERICYCLE  INC.</t>
  </si>
  <si>
    <t>TEAM VIEWER GMBH</t>
  </si>
  <si>
    <t>TEX-CON OIL CO</t>
  </si>
  <si>
    <t>TEXAS ASSOCIATION OF COUNTIES</t>
  </si>
  <si>
    <t>TEXAS CRUSHED STONE CO.</t>
  </si>
  <si>
    <t>TEXAS DEPT OF PUBLIC SAFETY</t>
  </si>
  <si>
    <t>TEXAS DISPOSAL SYSTEMS  INC.</t>
  </si>
  <si>
    <t>TEXAS MATERIALS GROUP  INC.</t>
  </si>
  <si>
    <t>TEXAS PARKS &amp; WILDLIFE DEPARTMENT</t>
  </si>
  <si>
    <t>THE PRODUCT CENTER</t>
  </si>
  <si>
    <t>TWE-ADVANCE/NEWHOUSE PARTNERSHIP</t>
  </si>
  <si>
    <t>TRAVIS COUNTY CONSTABLE PCT 5</t>
  </si>
  <si>
    <t>TRAVIS COUNTY MEDICAL EXAMINER</t>
  </si>
  <si>
    <t>TRAVIS PAVING &amp; EXCAVATING INC</t>
  </si>
  <si>
    <t>TYLER TECHNOLOGIES INC</t>
  </si>
  <si>
    <t>TEXAS DEPARTMENT OF STATE HEALTH SERVICES</t>
  </si>
  <si>
    <t>VTX COMMUNICATIONS  LLC</t>
  </si>
  <si>
    <t>WAGEWORKS INC  FSA/HSA</t>
  </si>
  <si>
    <t>WASTE MANAGEMENT OF TEXAS  INC</t>
  </si>
  <si>
    <t>WATCH GUARD VIDEO</t>
  </si>
  <si>
    <t>WAYNE WOOD</t>
  </si>
  <si>
    <t>WEI-ANN LIN (REIMBURSEMENTS ONLY)</t>
  </si>
  <si>
    <t>LEYLA YATIM-ALIN</t>
  </si>
  <si>
    <t>WINZER CORPORATION</t>
  </si>
  <si>
    <t>WORKPLACE RESOURCE</t>
  </si>
  <si>
    <t>YVONNE ROCHA</t>
  </si>
  <si>
    <t>ZBATTERY.COM INC</t>
  </si>
  <si>
    <t>ZOETIS US LLC</t>
  </si>
  <si>
    <t>ZORO TOOLS INC</t>
  </si>
  <si>
    <t>LEE COUNTY SHERIFF</t>
  </si>
  <si>
    <t>BLUEBONNET ELECTRIC COOPERATIVE  INC.</t>
  </si>
  <si>
    <t>CITY OF BASTROP</t>
  </si>
  <si>
    <t>CHRISTINA CANNON</t>
  </si>
  <si>
    <t>3-B EXCAVATION &amp; CONSTRUCTION SERVICES  LLS</t>
  </si>
  <si>
    <t>A PLUS BAIL BONDS</t>
  </si>
  <si>
    <t>ARNOLD OIL COMPANY OF AUSTIN LP</t>
  </si>
  <si>
    <t>ABRAM BARKER</t>
  </si>
  <si>
    <t>ALAMO  GROUP (TX)  INC</t>
  </si>
  <si>
    <t>ALLISON  BASS &amp; MAGEE  LLP</t>
  </si>
  <si>
    <t>ARISE HEALTHCARE SYSTEMS LLC</t>
  </si>
  <si>
    <t>ASCENSION SETON</t>
  </si>
  <si>
    <t>J.P. FORAGE  M.D.  P.A.</t>
  </si>
  <si>
    <t>AUSTIN RADIOLOGICAL ASSOC</t>
  </si>
  <si>
    <t>BASTROP BAIL BONDS</t>
  </si>
  <si>
    <t>BASTROP CNTY JUV BOOT CAMP FUND</t>
  </si>
  <si>
    <t>BIDDLE CONSULTING GROUP  INC.</t>
  </si>
  <si>
    <t>BLUEBONNET AREA CRIME STOPPERS PROGRAM</t>
  </si>
  <si>
    <t>CHRISTOPHER WOLF</t>
  </si>
  <si>
    <t>COLUMBUS EYE ASSOCIATES</t>
  </si>
  <si>
    <t>COOK'S CORRECTIONAL</t>
  </si>
  <si>
    <t>DAVID C. FOLKERS  M.D.</t>
  </si>
  <si>
    <t>DOUBLE TUFF TRUCK TARPS INC</t>
  </si>
  <si>
    <t>DRONESENSE  INC.</t>
  </si>
  <si>
    <t>EDUARDO GUERRERO</t>
  </si>
  <si>
    <t>ELGIN FUNERAL HOME</t>
  </si>
  <si>
    <t>ERS-TX SOCIAL SECURITY PROGRAM</t>
  </si>
  <si>
    <t>EYE INSTITUTE OF AUSTIN  PA</t>
  </si>
  <si>
    <t>SP BASTROP THEATRE LP</t>
  </si>
  <si>
    <t>FLEETPRIDE</t>
  </si>
  <si>
    <t>FRANK DELGADO</t>
  </si>
  <si>
    <t>GARLAND T MURLEY</t>
  </si>
  <si>
    <t>GREATER ELGIN CHAMBER OF COMMERCE</t>
  </si>
  <si>
    <t>HEAT TRANSFER SOLUTIONS  INC.</t>
  </si>
  <si>
    <t>JAMES O. BURKE</t>
  </si>
  <si>
    <t>LENNOX INDUSTRIES INC</t>
  </si>
  <si>
    <t>LERVIS &amp; CYNTHIA DEL RIO OCHOA</t>
  </si>
  <si>
    <t>LIVEOAK CARDIOLOGY PA</t>
  </si>
  <si>
    <t>MARK T. MALONE  M.D. P.A</t>
  </si>
  <si>
    <t>MAVRICK J EVANS</t>
  </si>
  <si>
    <t>MEDIMPACT HEALTHCARE SYSTEMS INC</t>
  </si>
  <si>
    <t>MOUNTAIN WEST DERM-AUSTIN PLLC</t>
  </si>
  <si>
    <t>NETSYNC NETWORK SOUTIONS INC.</t>
  </si>
  <si>
    <t>OSBURN ASSOCIATES INC.</t>
  </si>
  <si>
    <t>JOHN DEERE FINANCIAL f.s.b.</t>
  </si>
  <si>
    <t>MC KIM ULLRICH YOUNG LLP</t>
  </si>
  <si>
    <t>MADTEX  INC.</t>
  </si>
  <si>
    <t>BRAZOS VALLEY PATHOLOGY  PLLC</t>
  </si>
  <si>
    <t>MIKE DAVIS</t>
  </si>
  <si>
    <t>ROGELIO VAZQUEZ</t>
  </si>
  <si>
    <t>RUSH CHEVROLET LLC</t>
  </si>
  <si>
    <t>SETON FAMILY OF HOSPITALS</t>
  </si>
  <si>
    <t>SETON HEALTHCARE SPONSORED PROJECTS</t>
  </si>
  <si>
    <t>RONALD JOHN CALDWELL JR</t>
  </si>
  <si>
    <t>SKEETER RUCKER</t>
  </si>
  <si>
    <t>SOLARWINDS</t>
  </si>
  <si>
    <t>DS WATERS OF AMERICA INC</t>
  </si>
  <si>
    <t>SRIDHAR P REDDY MD PA</t>
  </si>
  <si>
    <t>ST DAVID'S HEALTHCARE PARTNERSHIP</t>
  </si>
  <si>
    <t>ST. MARK'S MEDICAL CENTER</t>
  </si>
  <si>
    <t>STATE FARM FIRE &amp; CASUALTY COMPANY</t>
  </si>
  <si>
    <t>STATE OF TEXAS</t>
  </si>
  <si>
    <t>STEGER &amp; BIZZELL ENGINEERING  INC</t>
  </si>
  <si>
    <t>TEXAN EYE  P.A.</t>
  </si>
  <si>
    <t>TEXAN SURGERY CENTER</t>
  </si>
  <si>
    <t>TEXAS ASSOCIATES INSURORS AGENCY</t>
  </si>
  <si>
    <t>TEXAS ASSOCIATION OF VEHICLE THEFT INVESTIGATORS</t>
  </si>
  <si>
    <t>TEXAS COMMISSION ON ENVIRONMENTAL QUALITY</t>
  </si>
  <si>
    <t>TEXAS ECONOMIC DEVELOPMENT COUNCIL</t>
  </si>
  <si>
    <t>WEST PUBLISHING CORPORATION</t>
  </si>
  <si>
    <t>TELVA D KESLER</t>
  </si>
  <si>
    <t>SETON FAMILY OF DOCTORS</t>
  </si>
  <si>
    <t>UNIVERSAL SURGICAL INSTRUMENTS</t>
  </si>
  <si>
    <t>U S ANESTHESIA PARTNERS OF TEXAS PA</t>
  </si>
  <si>
    <t>WESTLAKE ANESTHESIA GROUP PA</t>
  </si>
  <si>
    <t>WILBARGER COUNTY</t>
  </si>
  <si>
    <t>YOLANDA WHEATON</t>
  </si>
  <si>
    <t>FIRST NATIONAL BANK</t>
  </si>
  <si>
    <t>AMERICAN INSTITUTE OF TOXICOLOGY</t>
  </si>
  <si>
    <t>BASTROP COUNTY WOMEN'S SHELTER</t>
  </si>
  <si>
    <t>JOHNSON TECHNICAL SERVICES  INC</t>
  </si>
  <si>
    <t>ADVOCACY OUTREACH</t>
  </si>
  <si>
    <t>ASCENSION CATHOLIC CHURCH</t>
  </si>
  <si>
    <t>BASTROP COUNTY LONG TERM RECOVERY TEAM</t>
  </si>
  <si>
    <t>BASTROP COUNTY EMERGENCY FOOD PANTRY</t>
  </si>
  <si>
    <t>BASTROP COUNTY PROBATION DEPT</t>
  </si>
  <si>
    <t>BASTROP INDEPENDENT SCHOOL DISTRICT</t>
  </si>
  <si>
    <t>CHASCO CONSTRUCTORS LTD LLP</t>
  </si>
  <si>
    <t>COMBINED COMMUNITY ACTION INC</t>
  </si>
  <si>
    <t>DESMAR WALKES</t>
  </si>
  <si>
    <t>MERGERS MARKETING INC.</t>
  </si>
  <si>
    <t>FEED THE NEED MISSIONS</t>
  </si>
  <si>
    <t>FIRST UNITED METHODIST CHURCH</t>
  </si>
  <si>
    <t>FLINK COMPANY</t>
  </si>
  <si>
    <t>GRACE LUTHERAN CHURCH</t>
  </si>
  <si>
    <t>McKESSON MEDICAL-SURGIVAL GOVERNMENT SOLUTIONS LLC</t>
  </si>
  <si>
    <t>MOUNT ROSE BAPTIST CHURCH  INC</t>
  </si>
  <si>
    <t>PRIMERA BAPTIST CHURCH</t>
  </si>
  <si>
    <t>ROSANKY BAPTIST CHURCH</t>
  </si>
  <si>
    <t>RPS INFRASTRUCTURE</t>
  </si>
  <si>
    <t>SMITHVILLE FOOD PANTRY</t>
  </si>
  <si>
    <t>ST.DAVID'S HEALTHCARE PARTNERSHIP</t>
  </si>
  <si>
    <t>TEXAS CENTER FOR LOCAL FOOD</t>
  </si>
  <si>
    <t>THE REFUGE FOR DMST</t>
  </si>
  <si>
    <t>BOEHM TRACTOR SALES INC</t>
  </si>
  <si>
    <t>LAMESA CORPORATION</t>
  </si>
  <si>
    <t>OWEN G DUNN COMPANY</t>
  </si>
  <si>
    <t>IRS-PAYROLL TAXES</t>
  </si>
  <si>
    <t>BASTROP COUNTY ADULT PROBATION</t>
  </si>
  <si>
    <t>CPI QUALIFIED PLAN CONSULTANTS  INC.</t>
  </si>
  <si>
    <t>TEXAS ATTY.GENERAL'S OFFICE</t>
  </si>
  <si>
    <t>TOTAL ADMINISTRATIVE SERVICES CORPORATION</t>
  </si>
  <si>
    <t>TEXAS CNTY &amp; DIST RETIREMENT SYS</t>
  </si>
  <si>
    <t>AmWINS Group Benefits  Inc.</t>
  </si>
  <si>
    <t>GUARDIAN</t>
  </si>
  <si>
    <t>GERALD FLORES OLIVO</t>
  </si>
  <si>
    <t>ALLSTATE-AMERICAN HERITAGE LIFE INS CO</t>
  </si>
  <si>
    <t>COLONIAL LIFE &amp; ACCIDENT INS. CO.</t>
  </si>
  <si>
    <t>TEXAS LEGAL PROTECTION PLAN INC</t>
  </si>
  <si>
    <t>TAC HEALTH BENEFITS POOL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</si>
</sst>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mm/dd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43" fontId="18" fillId="0" borderId="0" xfId="1" applyFont="1"/>
    <xf numFmtId="43" fontId="0" fillId="0" borderId="0" xfId="1" applyFont="1"/>
    <xf numFmtId="165" fontId="18" fillId="0" borderId="0" xfId="0" applyNumberFormat="1" applyFont="1"/>
    <xf numFmtId="165" fontId="0" fillId="0" borderId="0" xfId="0" applyNumberFormat="1"/>
    <xf numFmtId="43" fontId="0" fillId="0" borderId="10" xfId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15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6.7109375" bestFit="1" customWidth="1"/>
    <col min="2" max="2" width="10" bestFit="1" customWidth="1"/>
    <col min="3" max="3" width="17.7109375" style="3" bestFit="1" customWidth="1"/>
    <col min="4" max="4" width="13.140625" style="5" bestFit="1" customWidth="1"/>
    <col min="5" max="5" width="20.5703125" bestFit="1" customWidth="1"/>
    <col min="6" max="6" width="36.28515625" bestFit="1" customWidth="1"/>
    <col min="7" max="7" width="19.7109375" style="3" bestFit="1" customWidth="1"/>
    <col min="8" max="8" width="36.28515625" bestFit="1" customWidth="1"/>
  </cols>
  <sheetData>
    <row r="1" spans="1:8" s="1" customFormat="1" x14ac:dyDescent="0.25">
      <c r="A1" s="1" t="s">
        <v>0</v>
      </c>
      <c r="B1" s="1" t="s">
        <v>1</v>
      </c>
      <c r="C1" s="2" t="s">
        <v>2</v>
      </c>
      <c r="D1" s="4" t="s">
        <v>3</v>
      </c>
      <c r="E1" s="1" t="s">
        <v>4</v>
      </c>
      <c r="F1" s="1" t="s">
        <v>5</v>
      </c>
      <c r="G1" s="2" t="s">
        <v>6</v>
      </c>
      <c r="H1" s="1" t="s">
        <v>7</v>
      </c>
    </row>
    <row r="2" spans="1:8" x14ac:dyDescent="0.25">
      <c r="A2" t="s">
        <v>8</v>
      </c>
      <c r="B2">
        <v>816</v>
      </c>
      <c r="C2" s="3">
        <v>4235.66</v>
      </c>
      <c r="D2" s="5">
        <v>44179</v>
      </c>
      <c r="E2" t="str">
        <f>"202012090696"</f>
        <v>202012090696</v>
      </c>
      <c r="F2" t="str">
        <f>"Statement"</f>
        <v>Statement</v>
      </c>
      <c r="G2" s="3">
        <v>4235.66</v>
      </c>
      <c r="H2" t="str">
        <f>"the branding shop"</f>
        <v>the branding shop</v>
      </c>
    </row>
    <row r="3" spans="1:8" x14ac:dyDescent="0.25">
      <c r="E3" t="str">
        <f>""</f>
        <v/>
      </c>
      <c r="F3" t="str">
        <f>""</f>
        <v/>
      </c>
      <c r="H3" t="str">
        <f>"APCO"</f>
        <v>APCO</v>
      </c>
    </row>
    <row r="4" spans="1:8" x14ac:dyDescent="0.25">
      <c r="E4" t="str">
        <f>""</f>
        <v/>
      </c>
      <c r="F4" t="str">
        <f>""</f>
        <v/>
      </c>
      <c r="H4" t="str">
        <f>"walmart.com"</f>
        <v>walmart.com</v>
      </c>
    </row>
    <row r="5" spans="1:8" x14ac:dyDescent="0.25">
      <c r="E5" t="str">
        <f>""</f>
        <v/>
      </c>
      <c r="F5" t="str">
        <f>""</f>
        <v/>
      </c>
      <c r="H5" t="str">
        <f>"vistaprint"</f>
        <v>vistaprint</v>
      </c>
    </row>
    <row r="6" spans="1:8" x14ac:dyDescent="0.25">
      <c r="E6" t="str">
        <f>""</f>
        <v/>
      </c>
      <c r="F6" t="str">
        <f>""</f>
        <v/>
      </c>
      <c r="H6" t="str">
        <f>"cisco webex"</f>
        <v>cisco webex</v>
      </c>
    </row>
    <row r="7" spans="1:8" x14ac:dyDescent="0.25">
      <c r="E7" t="str">
        <f>""</f>
        <v/>
      </c>
      <c r="F7" t="str">
        <f>""</f>
        <v/>
      </c>
      <c r="H7" t="str">
        <f>"google"</f>
        <v>google</v>
      </c>
    </row>
    <row r="8" spans="1:8" x14ac:dyDescent="0.25">
      <c r="E8" t="str">
        <f>""</f>
        <v/>
      </c>
      <c r="F8" t="str">
        <f>""</f>
        <v/>
      </c>
      <c r="H8" t="str">
        <f>"vrsn"</f>
        <v>vrsn</v>
      </c>
    </row>
    <row r="9" spans="1:8" x14ac:dyDescent="0.25">
      <c r="E9" t="str">
        <f>""</f>
        <v/>
      </c>
      <c r="F9" t="str">
        <f>""</f>
        <v/>
      </c>
      <c r="H9" t="str">
        <f>"cisco webex"</f>
        <v>cisco webex</v>
      </c>
    </row>
    <row r="10" spans="1:8" x14ac:dyDescent="0.25">
      <c r="E10" t="str">
        <f>""</f>
        <v/>
      </c>
      <c r="F10" t="str">
        <f>""</f>
        <v/>
      </c>
      <c r="H10" t="str">
        <f>"go daddy"</f>
        <v>go daddy</v>
      </c>
    </row>
    <row r="11" spans="1:8" x14ac:dyDescent="0.25">
      <c r="E11" t="str">
        <f>""</f>
        <v/>
      </c>
      <c r="F11" t="str">
        <f>""</f>
        <v/>
      </c>
      <c r="H11" t="str">
        <f>"rma toll"</f>
        <v>rma toll</v>
      </c>
    </row>
    <row r="12" spans="1:8" x14ac:dyDescent="0.25">
      <c r="E12" t="str">
        <f>""</f>
        <v/>
      </c>
      <c r="F12" t="str">
        <f>""</f>
        <v/>
      </c>
      <c r="H12" t="str">
        <f>"rosanna garza"</f>
        <v>rosanna garza</v>
      </c>
    </row>
    <row r="13" spans="1:8" x14ac:dyDescent="0.25">
      <c r="E13" t="str">
        <f>""</f>
        <v/>
      </c>
      <c r="F13" t="str">
        <f>""</f>
        <v/>
      </c>
      <c r="H13" t="str">
        <f>"robert bennett"</f>
        <v>robert bennett</v>
      </c>
    </row>
    <row r="14" spans="1:8" x14ac:dyDescent="0.25">
      <c r="E14" t="str">
        <f>""</f>
        <v/>
      </c>
      <c r="F14" t="str">
        <f>""</f>
        <v/>
      </c>
      <c r="H14" t="str">
        <f>"robert bennett"</f>
        <v>robert bennett</v>
      </c>
    </row>
    <row r="15" spans="1:8" x14ac:dyDescent="0.25">
      <c r="E15" t="str">
        <f>""</f>
        <v/>
      </c>
      <c r="F15" t="str">
        <f>""</f>
        <v/>
      </c>
      <c r="H15" t="str">
        <f>"clinic hq"</f>
        <v>clinic hq</v>
      </c>
    </row>
    <row r="16" spans="1:8" x14ac:dyDescent="0.25">
      <c r="E16" t="str">
        <f>""</f>
        <v/>
      </c>
      <c r="F16" t="str">
        <f>""</f>
        <v/>
      </c>
      <c r="H16" t="str">
        <f>"rma toll"</f>
        <v>rma toll</v>
      </c>
    </row>
    <row r="17" spans="1:8" x14ac:dyDescent="0.25">
      <c r="E17" t="str">
        <f>""</f>
        <v/>
      </c>
      <c r="F17" t="str">
        <f>""</f>
        <v/>
      </c>
      <c r="H17" t="str">
        <f>"bastrop feed"</f>
        <v>bastrop feed</v>
      </c>
    </row>
    <row r="18" spans="1:8" x14ac:dyDescent="0.25">
      <c r="E18" t="str">
        <f>""</f>
        <v/>
      </c>
      <c r="F18" t="str">
        <f>""</f>
        <v/>
      </c>
      <c r="H18" t="str">
        <f>"exxon"</f>
        <v>exxon</v>
      </c>
    </row>
    <row r="19" spans="1:8" x14ac:dyDescent="0.25">
      <c r="E19" t="str">
        <f>""</f>
        <v/>
      </c>
      <c r="F19" t="str">
        <f>""</f>
        <v/>
      </c>
      <c r="H19" t="str">
        <f>"lost pines full svc"</f>
        <v>lost pines full svc</v>
      </c>
    </row>
    <row r="20" spans="1:8" x14ac:dyDescent="0.25">
      <c r="E20" t="str">
        <f>""</f>
        <v/>
      </c>
      <c r="F20" t="str">
        <f>""</f>
        <v/>
      </c>
      <c r="H20" t="str">
        <f>"usps"</f>
        <v>usps</v>
      </c>
    </row>
    <row r="21" spans="1:8" x14ac:dyDescent="0.25">
      <c r="E21" t="str">
        <f>""</f>
        <v/>
      </c>
      <c r="F21" t="str">
        <f>""</f>
        <v/>
      </c>
      <c r="H21" t="str">
        <f>"usps"</f>
        <v>usps</v>
      </c>
    </row>
    <row r="22" spans="1:8" x14ac:dyDescent="0.25">
      <c r="E22" t="str">
        <f>""</f>
        <v/>
      </c>
      <c r="F22" t="str">
        <f>""</f>
        <v/>
      </c>
      <c r="H22" t="str">
        <f>"sling tv"</f>
        <v>sling tv</v>
      </c>
    </row>
    <row r="23" spans="1:8" x14ac:dyDescent="0.25">
      <c r="E23" t="str">
        <f>""</f>
        <v/>
      </c>
      <c r="F23" t="str">
        <f>""</f>
        <v/>
      </c>
      <c r="H23" t="str">
        <f>"rma toll"</f>
        <v>rma toll</v>
      </c>
    </row>
    <row r="24" spans="1:8" x14ac:dyDescent="0.25">
      <c r="E24" t="str">
        <f>""</f>
        <v/>
      </c>
      <c r="F24" t="str">
        <f>""</f>
        <v/>
      </c>
      <c r="H24" t="str">
        <f>"parker lumber"</f>
        <v>parker lumber</v>
      </c>
    </row>
    <row r="25" spans="1:8" x14ac:dyDescent="0.25">
      <c r="E25" t="str">
        <f>""</f>
        <v/>
      </c>
      <c r="F25" t="str">
        <f>""</f>
        <v/>
      </c>
      <c r="H25" t="str">
        <f>"rapid car"</f>
        <v>rapid car</v>
      </c>
    </row>
    <row r="26" spans="1:8" x14ac:dyDescent="0.25">
      <c r="E26" t="str">
        <f>""</f>
        <v/>
      </c>
      <c r="F26" t="str">
        <f>""</f>
        <v/>
      </c>
      <c r="H26" t="str">
        <f>"blackland implement"</f>
        <v>blackland implement</v>
      </c>
    </row>
    <row r="27" spans="1:8" x14ac:dyDescent="0.25">
      <c r="E27" t="str">
        <f>""</f>
        <v/>
      </c>
      <c r="F27" t="str">
        <f>""</f>
        <v/>
      </c>
      <c r="H27" t="str">
        <f>"rapid car"</f>
        <v>rapid car</v>
      </c>
    </row>
    <row r="28" spans="1:8" x14ac:dyDescent="0.25">
      <c r="E28" t="str">
        <f>""</f>
        <v/>
      </c>
      <c r="F28" t="str">
        <f>""</f>
        <v/>
      </c>
      <c r="H28" t="str">
        <f>"rma toll"</f>
        <v>rma toll</v>
      </c>
    </row>
    <row r="29" spans="1:8" x14ac:dyDescent="0.25">
      <c r="E29" t="str">
        <f>""</f>
        <v/>
      </c>
      <c r="F29" t="str">
        <f>""</f>
        <v/>
      </c>
      <c r="H29" t="str">
        <f>"staples"</f>
        <v>staples</v>
      </c>
    </row>
    <row r="30" spans="1:8" x14ac:dyDescent="0.25">
      <c r="E30" t="str">
        <f>""</f>
        <v/>
      </c>
      <c r="F30" t="str">
        <f>""</f>
        <v/>
      </c>
      <c r="H30" t="str">
        <f>"harbor freight"</f>
        <v>harbor freight</v>
      </c>
    </row>
    <row r="31" spans="1:8" x14ac:dyDescent="0.25">
      <c r="A31" t="s">
        <v>8</v>
      </c>
      <c r="B31">
        <v>817</v>
      </c>
      <c r="C31" s="3">
        <v>1526.85</v>
      </c>
      <c r="D31" s="5">
        <v>44179</v>
      </c>
      <c r="E31" t="str">
        <f>"202012090697"</f>
        <v>202012090697</v>
      </c>
      <c r="F31" t="str">
        <f>"11/22/2020 STATEMENT 0574"</f>
        <v>11/22/2020 STATEMENT 0574</v>
      </c>
      <c r="G31" s="3">
        <v>1526.85</v>
      </c>
      <c r="H31" t="str">
        <f>"BEST BUY"</f>
        <v>BEST BUY</v>
      </c>
    </row>
    <row r="32" spans="1:8" x14ac:dyDescent="0.25">
      <c r="E32" t="str">
        <f>""</f>
        <v/>
      </c>
      <c r="F32" t="str">
        <f>""</f>
        <v/>
      </c>
      <c r="H32" t="str">
        <f>"COMFORT SUITES"</f>
        <v>COMFORT SUITES</v>
      </c>
    </row>
    <row r="33" spans="1:8" x14ac:dyDescent="0.25">
      <c r="E33" t="str">
        <f>""</f>
        <v/>
      </c>
      <c r="F33" t="str">
        <f>""</f>
        <v/>
      </c>
      <c r="H33" t="str">
        <f>"COMFORT SUITES"</f>
        <v>COMFORT SUITES</v>
      </c>
    </row>
    <row r="34" spans="1:8" x14ac:dyDescent="0.25">
      <c r="E34" t="str">
        <f>""</f>
        <v/>
      </c>
      <c r="F34" t="str">
        <f>""</f>
        <v/>
      </c>
      <c r="H34" t="str">
        <f>"CONFORT SUITES"</f>
        <v>CONFORT SUITES</v>
      </c>
    </row>
    <row r="35" spans="1:8" x14ac:dyDescent="0.25">
      <c r="E35" t="str">
        <f>""</f>
        <v/>
      </c>
      <c r="F35" t="str">
        <f>""</f>
        <v/>
      </c>
      <c r="H35" t="str">
        <f>"COMFORT SUITES"</f>
        <v>COMFORT SUITES</v>
      </c>
    </row>
    <row r="36" spans="1:8" x14ac:dyDescent="0.25">
      <c r="E36" t="str">
        <f>""</f>
        <v/>
      </c>
      <c r="F36" t="str">
        <f>""</f>
        <v/>
      </c>
      <c r="H36" t="str">
        <f>"BEST WESTERN"</f>
        <v>BEST WESTERN</v>
      </c>
    </row>
    <row r="37" spans="1:8" x14ac:dyDescent="0.25">
      <c r="E37" t="str">
        <f>""</f>
        <v/>
      </c>
      <c r="F37" t="str">
        <f>""</f>
        <v/>
      </c>
      <c r="H37" t="str">
        <f>"BEST WESTERN"</f>
        <v>BEST WESTERN</v>
      </c>
    </row>
    <row r="38" spans="1:8" x14ac:dyDescent="0.25">
      <c r="E38" t="str">
        <f>""</f>
        <v/>
      </c>
      <c r="F38" t="str">
        <f>""</f>
        <v/>
      </c>
      <c r="H38" t="str">
        <f>"HOLIDAY INN"</f>
        <v>HOLIDAY INN</v>
      </c>
    </row>
    <row r="39" spans="1:8" x14ac:dyDescent="0.25">
      <c r="E39" t="str">
        <f>""</f>
        <v/>
      </c>
      <c r="F39" t="str">
        <f>""</f>
        <v/>
      </c>
      <c r="H39" t="str">
        <f>"TEXAS FACILITIES COM"</f>
        <v>TEXAS FACILITIES COM</v>
      </c>
    </row>
    <row r="40" spans="1:8" x14ac:dyDescent="0.25">
      <c r="E40" t="str">
        <f>""</f>
        <v/>
      </c>
      <c r="F40" t="str">
        <f>""</f>
        <v/>
      </c>
      <c r="H40" t="str">
        <f>"TACTIX - TRAINING"</f>
        <v>TACTIX - TRAINING</v>
      </c>
    </row>
    <row r="41" spans="1:8" x14ac:dyDescent="0.25">
      <c r="E41" t="str">
        <f>""</f>
        <v/>
      </c>
      <c r="F41" t="str">
        <f>""</f>
        <v/>
      </c>
      <c r="H41" t="str">
        <f>"THE UPS STORE"</f>
        <v>THE UPS STORE</v>
      </c>
    </row>
    <row r="42" spans="1:8" x14ac:dyDescent="0.25">
      <c r="A42" t="s">
        <v>9</v>
      </c>
      <c r="B42">
        <v>833</v>
      </c>
      <c r="C42" s="3">
        <v>-112.42</v>
      </c>
      <c r="D42" s="5">
        <v>44193</v>
      </c>
      <c r="E42" t="str">
        <f t="shared" ref="E42:E55" si="0">"CHECK"</f>
        <v>CHECK</v>
      </c>
      <c r="F42" t="str">
        <f>""</f>
        <v/>
      </c>
      <c r="G42" s="3">
        <v>-112.42</v>
      </c>
    </row>
    <row r="43" spans="1:8" x14ac:dyDescent="0.25">
      <c r="A43" t="s">
        <v>10</v>
      </c>
      <c r="B43">
        <v>834</v>
      </c>
      <c r="C43" s="3">
        <v>-959.64</v>
      </c>
      <c r="D43" s="5">
        <v>44193</v>
      </c>
      <c r="E43" t="str">
        <f t="shared" si="0"/>
        <v>CHECK</v>
      </c>
      <c r="F43" t="str">
        <f>""</f>
        <v/>
      </c>
      <c r="G43" s="3">
        <v>-959.64</v>
      </c>
    </row>
    <row r="44" spans="1:8" x14ac:dyDescent="0.25">
      <c r="A44" t="s">
        <v>11</v>
      </c>
      <c r="B44">
        <v>835</v>
      </c>
      <c r="C44" s="3">
        <v>-2449.8000000000002</v>
      </c>
      <c r="D44" s="5">
        <v>44193</v>
      </c>
      <c r="E44" t="str">
        <f t="shared" si="0"/>
        <v>CHECK</v>
      </c>
      <c r="F44" t="str">
        <f>""</f>
        <v/>
      </c>
      <c r="G44" s="3">
        <v>-2449.8000000000002</v>
      </c>
    </row>
    <row r="45" spans="1:8" x14ac:dyDescent="0.25">
      <c r="A45" t="s">
        <v>12</v>
      </c>
      <c r="B45">
        <v>836</v>
      </c>
      <c r="C45" s="3">
        <v>-12.48</v>
      </c>
      <c r="D45" s="5">
        <v>44193</v>
      </c>
      <c r="E45" t="str">
        <f t="shared" si="0"/>
        <v>CHECK</v>
      </c>
      <c r="F45" t="str">
        <f>""</f>
        <v/>
      </c>
      <c r="G45" s="3">
        <v>-12.48</v>
      </c>
    </row>
    <row r="46" spans="1:8" x14ac:dyDescent="0.25">
      <c r="A46" t="s">
        <v>13</v>
      </c>
      <c r="B46">
        <v>837</v>
      </c>
      <c r="C46" s="3">
        <v>-477.34</v>
      </c>
      <c r="D46" s="5">
        <v>44193</v>
      </c>
      <c r="E46" t="str">
        <f t="shared" si="0"/>
        <v>CHECK</v>
      </c>
      <c r="F46" t="str">
        <f>""</f>
        <v/>
      </c>
      <c r="G46" s="3">
        <v>-477.34</v>
      </c>
    </row>
    <row r="47" spans="1:8" x14ac:dyDescent="0.25">
      <c r="A47" t="s">
        <v>14</v>
      </c>
      <c r="B47">
        <v>838</v>
      </c>
      <c r="C47" s="3">
        <v>-6</v>
      </c>
      <c r="D47" s="5">
        <v>44193</v>
      </c>
      <c r="E47" t="str">
        <f t="shared" si="0"/>
        <v>CHECK</v>
      </c>
      <c r="F47" t="str">
        <f>""</f>
        <v/>
      </c>
      <c r="G47" s="3">
        <v>-6</v>
      </c>
    </row>
    <row r="48" spans="1:8" x14ac:dyDescent="0.25">
      <c r="A48" t="s">
        <v>15</v>
      </c>
      <c r="B48">
        <v>839</v>
      </c>
      <c r="C48" s="3">
        <v>-215.82</v>
      </c>
      <c r="D48" s="5">
        <v>44193</v>
      </c>
      <c r="E48" t="str">
        <f t="shared" si="0"/>
        <v>CHECK</v>
      </c>
      <c r="F48" t="str">
        <f>""</f>
        <v/>
      </c>
      <c r="G48" s="3">
        <v>-215.82</v>
      </c>
    </row>
    <row r="49" spans="1:8" x14ac:dyDescent="0.25">
      <c r="A49" t="s">
        <v>16</v>
      </c>
      <c r="B49">
        <v>840</v>
      </c>
      <c r="C49" s="3">
        <v>-359.99</v>
      </c>
      <c r="D49" s="5">
        <v>44193</v>
      </c>
      <c r="E49" t="str">
        <f t="shared" si="0"/>
        <v>CHECK</v>
      </c>
      <c r="F49" t="str">
        <f>""</f>
        <v/>
      </c>
      <c r="G49" s="3">
        <v>-359.99</v>
      </c>
    </row>
    <row r="50" spans="1:8" x14ac:dyDescent="0.25">
      <c r="A50" t="s">
        <v>17</v>
      </c>
      <c r="B50">
        <v>841</v>
      </c>
      <c r="C50" s="3">
        <v>-472.82</v>
      </c>
      <c r="D50" s="5">
        <v>44193</v>
      </c>
      <c r="E50" t="str">
        <f t="shared" si="0"/>
        <v>CHECK</v>
      </c>
      <c r="F50" t="str">
        <f>""</f>
        <v/>
      </c>
      <c r="G50" s="3">
        <v>-472.82</v>
      </c>
    </row>
    <row r="51" spans="1:8" x14ac:dyDescent="0.25">
      <c r="A51" t="s">
        <v>18</v>
      </c>
      <c r="B51">
        <v>842</v>
      </c>
      <c r="C51" s="3">
        <v>-167.19</v>
      </c>
      <c r="D51" s="5">
        <v>44193</v>
      </c>
      <c r="E51" t="str">
        <f t="shared" si="0"/>
        <v>CHECK</v>
      </c>
      <c r="F51" t="str">
        <f>""</f>
        <v/>
      </c>
      <c r="G51" s="3">
        <v>-167.19</v>
      </c>
    </row>
    <row r="52" spans="1:8" x14ac:dyDescent="0.25">
      <c r="A52" t="s">
        <v>19</v>
      </c>
      <c r="B52">
        <v>843</v>
      </c>
      <c r="C52" s="3">
        <v>-429.96</v>
      </c>
      <c r="D52" s="5">
        <v>44193</v>
      </c>
      <c r="E52" t="str">
        <f t="shared" si="0"/>
        <v>CHECK</v>
      </c>
      <c r="F52" t="str">
        <f>""</f>
        <v/>
      </c>
      <c r="G52" s="3">
        <v>-429.96</v>
      </c>
    </row>
    <row r="53" spans="1:8" x14ac:dyDescent="0.25">
      <c r="A53" t="s">
        <v>20</v>
      </c>
      <c r="B53">
        <v>844</v>
      </c>
      <c r="C53" s="3">
        <v>-1991.9</v>
      </c>
      <c r="D53" s="5">
        <v>44193</v>
      </c>
      <c r="E53" t="str">
        <f t="shared" si="0"/>
        <v>CHECK</v>
      </c>
      <c r="F53" t="str">
        <f>""</f>
        <v/>
      </c>
      <c r="G53" s="3">
        <v>-1991.9</v>
      </c>
    </row>
    <row r="54" spans="1:8" x14ac:dyDescent="0.25">
      <c r="A54" t="s">
        <v>21</v>
      </c>
      <c r="B54">
        <v>845</v>
      </c>
      <c r="C54" s="3">
        <v>-104.94</v>
      </c>
      <c r="D54" s="5">
        <v>44193</v>
      </c>
      <c r="E54" t="str">
        <f t="shared" si="0"/>
        <v>CHECK</v>
      </c>
      <c r="F54" t="str">
        <f>""</f>
        <v/>
      </c>
      <c r="G54" s="3">
        <v>-104.94</v>
      </c>
    </row>
    <row r="55" spans="1:8" x14ac:dyDescent="0.25">
      <c r="A55" t="s">
        <v>22</v>
      </c>
      <c r="B55">
        <v>846</v>
      </c>
      <c r="C55" s="3">
        <v>-169.4</v>
      </c>
      <c r="D55" s="5">
        <v>44193</v>
      </c>
      <c r="E55" t="str">
        <f t="shared" si="0"/>
        <v>CHECK</v>
      </c>
      <c r="F55" t="str">
        <f>""</f>
        <v/>
      </c>
      <c r="G55" s="3">
        <v>-169.4</v>
      </c>
    </row>
    <row r="56" spans="1:8" x14ac:dyDescent="0.25">
      <c r="A56" t="s">
        <v>23</v>
      </c>
      <c r="B56">
        <v>847</v>
      </c>
      <c r="C56" s="3">
        <v>7929.7</v>
      </c>
      <c r="D56" s="5">
        <v>44193</v>
      </c>
      <c r="E56" t="str">
        <f>"202012280934"</f>
        <v>202012280934</v>
      </c>
      <c r="F56" t="str">
        <f>"ACCT#72-5613 / 12032020"</f>
        <v>ACCT#72-5613 / 12032020</v>
      </c>
      <c r="G56" s="3">
        <v>7929.7</v>
      </c>
      <c r="H56" t="str">
        <f>"ACCT#72-5613 / 12032020"</f>
        <v>ACCT#72-5613 / 12032020</v>
      </c>
    </row>
    <row r="57" spans="1:8" x14ac:dyDescent="0.25">
      <c r="A57" t="s">
        <v>24</v>
      </c>
      <c r="B57">
        <v>3602</v>
      </c>
      <c r="C57" s="3">
        <v>2415</v>
      </c>
      <c r="D57" s="5">
        <v>44180</v>
      </c>
      <c r="E57" t="str">
        <f>"202012030539"</f>
        <v>202012030539</v>
      </c>
      <c r="F57" t="str">
        <f>"INVESTIGATIVE SVCS - NOV 2020"</f>
        <v>INVESTIGATIVE SVCS - NOV 2020</v>
      </c>
      <c r="G57" s="3">
        <v>910</v>
      </c>
      <c r="H57" t="str">
        <f>"INVESTIGATIVE SVCS - NOV 2020"</f>
        <v>INVESTIGATIVE SVCS - NOV 2020</v>
      </c>
    </row>
    <row r="58" spans="1:8" x14ac:dyDescent="0.25">
      <c r="E58" t="str">
        <f>"202012080666"</f>
        <v>202012080666</v>
      </c>
      <c r="F58" t="str">
        <f>"DEC 01  2020 INVOICE"</f>
        <v>DEC 01  2020 INVOICE</v>
      </c>
      <c r="G58" s="3">
        <v>1505</v>
      </c>
      <c r="H58" t="str">
        <f>"DEC 01  2020 (JAIL)"</f>
        <v>DEC 01  2020 (JAIL)</v>
      </c>
    </row>
    <row r="59" spans="1:8" x14ac:dyDescent="0.25">
      <c r="A59" t="s">
        <v>25</v>
      </c>
      <c r="B59">
        <v>3603</v>
      </c>
      <c r="C59" s="3">
        <v>4169.55</v>
      </c>
      <c r="D59" s="5">
        <v>44180</v>
      </c>
      <c r="E59" t="str">
        <f>"INO850459"</f>
        <v>INO850459</v>
      </c>
      <c r="F59" t="str">
        <f>"INV IN0850459"</f>
        <v>INV IN0850459</v>
      </c>
      <c r="G59" s="3">
        <v>4169.55</v>
      </c>
      <c r="H59" t="str">
        <f>"INV IN0850459"</f>
        <v>INV IN0850459</v>
      </c>
    </row>
    <row r="60" spans="1:8" x14ac:dyDescent="0.25">
      <c r="E60" t="str">
        <f>""</f>
        <v/>
      </c>
      <c r="F60" t="str">
        <f>""</f>
        <v/>
      </c>
      <c r="H60" t="str">
        <f>"INV IN0850255"</f>
        <v>INV IN0850255</v>
      </c>
    </row>
    <row r="61" spans="1:8" x14ac:dyDescent="0.25">
      <c r="A61" t="s">
        <v>26</v>
      </c>
      <c r="B61">
        <v>3604</v>
      </c>
      <c r="C61" s="3">
        <v>24595.05</v>
      </c>
      <c r="D61" s="5">
        <v>44180</v>
      </c>
      <c r="E61" t="str">
        <f>"9725-001-119025 1"</f>
        <v>9725-001-119025 1</v>
      </c>
      <c r="F61" t="str">
        <f>"ACCT#9725-001/REC BASE/PCT#2"</f>
        <v>ACCT#9725-001/REC BASE/PCT#2</v>
      </c>
      <c r="G61" s="3">
        <v>51.28</v>
      </c>
      <c r="H61" t="str">
        <f>"ACCT#9725-001/REC BASE/PCT#2"</f>
        <v>ACCT#9725-001/REC BASE/PCT#2</v>
      </c>
    </row>
    <row r="62" spans="1:8" x14ac:dyDescent="0.25">
      <c r="E62" t="str">
        <f>"9725-001-119161"</f>
        <v>9725-001-119161</v>
      </c>
      <c r="F62" t="str">
        <f>"ACCT#9725-001 PCT#2"</f>
        <v>ACCT#9725-001 PCT#2</v>
      </c>
      <c r="G62" s="3">
        <v>1547.36</v>
      </c>
      <c r="H62" t="str">
        <f>"ACCT#9725-001 PCT#2"</f>
        <v>ACCT#9725-001 PCT#2</v>
      </c>
    </row>
    <row r="63" spans="1:8" x14ac:dyDescent="0.25">
      <c r="E63" t="str">
        <f>"9725-001-119189"</f>
        <v>9725-001-119189</v>
      </c>
      <c r="F63" t="str">
        <f>"ACCT#9725-001/REC BASE/PCT#2"</f>
        <v>ACCT#9725-001/REC BASE/PCT#2</v>
      </c>
      <c r="G63" s="3">
        <v>1743.7</v>
      </c>
      <c r="H63" t="str">
        <f>"ACCT#9725-001/REC BASE/PCT#2"</f>
        <v>ACCT#9725-001/REC BASE/PCT#2</v>
      </c>
    </row>
    <row r="64" spans="1:8" x14ac:dyDescent="0.25">
      <c r="E64" t="str">
        <f>"9725-001-119214"</f>
        <v>9725-001-119214</v>
      </c>
      <c r="F64" t="str">
        <f>"973 MATERIALS  LLC"</f>
        <v>973 MATERIALS  LLC</v>
      </c>
      <c r="G64" s="3">
        <v>216.74</v>
      </c>
      <c r="H64" t="str">
        <f>"973 MATERIALS  LLC"</f>
        <v>973 MATERIALS  LLC</v>
      </c>
    </row>
    <row r="65" spans="5:8" x14ac:dyDescent="0.25">
      <c r="E65" t="str">
        <f>"9725-001-119239"</f>
        <v>9725-001-119239</v>
      </c>
      <c r="F65" t="str">
        <f>"ACCT#9725-001/REC BASE/PCT#2"</f>
        <v>ACCT#9725-001/REC BASE/PCT#2</v>
      </c>
      <c r="G65" s="3">
        <v>1243.2</v>
      </c>
      <c r="H65" t="str">
        <f>"ACCT#9725-001/REC BASE/PCT#2"</f>
        <v>ACCT#9725-001/REC BASE/PCT#2</v>
      </c>
    </row>
    <row r="66" spans="5:8" x14ac:dyDescent="0.25">
      <c r="E66" t="str">
        <f>"9725-001-119296"</f>
        <v>9725-001-119296</v>
      </c>
      <c r="F66" t="str">
        <f>"ACCT#9725-001 REC BASE PCT2"</f>
        <v>ACCT#9725-001 REC BASE PCT2</v>
      </c>
      <c r="G66" s="3">
        <v>851.12</v>
      </c>
      <c r="H66" t="str">
        <f>"ACCT#9725-001 REC BASE PCT2"</f>
        <v>ACCT#9725-001 REC BASE PCT2</v>
      </c>
    </row>
    <row r="67" spans="5:8" x14ac:dyDescent="0.25">
      <c r="E67" t="str">
        <f>"9725-001-119322"</f>
        <v>9725-001-119322</v>
      </c>
      <c r="F67" t="str">
        <f>"ACCT #9725-001 REC BASE PCT2"</f>
        <v>ACCT #9725-001 REC BASE PCT2</v>
      </c>
      <c r="G67" s="3">
        <v>1052.71</v>
      </c>
      <c r="H67" t="str">
        <f>"ACCT #9725-001 REC BASE PCT2"</f>
        <v>ACCT #9725-001 REC BASE PCT2</v>
      </c>
    </row>
    <row r="68" spans="5:8" x14ac:dyDescent="0.25">
      <c r="E68" t="str">
        <f>"9725-001-119350"</f>
        <v>9725-001-119350</v>
      </c>
      <c r="F68" t="str">
        <f>"ACCT#9725-001 REC BASE PCT2"</f>
        <v>ACCT#9725-001 REC BASE PCT2</v>
      </c>
      <c r="G68" s="3">
        <v>1452.77</v>
      </c>
      <c r="H68" t="str">
        <f>"ACCT#9725-001 REC BASE PCT2"</f>
        <v>ACCT#9725-001 REC BASE PCT2</v>
      </c>
    </row>
    <row r="69" spans="5:8" x14ac:dyDescent="0.25">
      <c r="E69" t="str">
        <f>"9725-001-119369"</f>
        <v>9725-001-119369</v>
      </c>
      <c r="F69" t="str">
        <f>"ACCT #9725-001 REC BASE PCT2"</f>
        <v>ACCT #9725-001 REC BASE PCT2</v>
      </c>
      <c r="G69" s="3">
        <v>3781.14</v>
      </c>
      <c r="H69" t="str">
        <f>"ACCT #9725-001 REC BASE PCT2"</f>
        <v>ACCT #9725-001 REC BASE PCT2</v>
      </c>
    </row>
    <row r="70" spans="5:8" x14ac:dyDescent="0.25">
      <c r="E70" t="str">
        <f>"9725-001-119399"</f>
        <v>9725-001-119399</v>
      </c>
      <c r="F70" t="str">
        <f>"ACCT #9725-001 REC BASE PCT2"</f>
        <v>ACCT #9725-001 REC BASE PCT2</v>
      </c>
      <c r="G70" s="3">
        <v>824.69</v>
      </c>
      <c r="H70" t="str">
        <f>"ACCT #9725-001 REC BASE PCT2"</f>
        <v>ACCT #9725-001 REC BASE PCT2</v>
      </c>
    </row>
    <row r="71" spans="5:8" x14ac:dyDescent="0.25">
      <c r="E71" t="str">
        <f>"9725-001-119423"</f>
        <v>9725-001-119423</v>
      </c>
      <c r="F71" t="str">
        <f>"ACCT#9725-001 REC BASE PCT2"</f>
        <v>ACCT#9725-001 REC BASE PCT2</v>
      </c>
      <c r="G71" s="3">
        <v>1697.17</v>
      </c>
      <c r="H71" t="str">
        <f>"ACCT#9725-001 REC BASE PCT2"</f>
        <v>ACCT#9725-001 REC BASE PCT2</v>
      </c>
    </row>
    <row r="72" spans="5:8" x14ac:dyDescent="0.25">
      <c r="E72" t="str">
        <f>"9725-001-119444"</f>
        <v>9725-001-119444</v>
      </c>
      <c r="F72" t="str">
        <f>"ACCT#9725-001 REC BASE PCT#2"</f>
        <v>ACCT#9725-001 REC BASE PCT#2</v>
      </c>
      <c r="G72" s="3">
        <v>1044.6500000000001</v>
      </c>
      <c r="H72" t="str">
        <f>"ACCT#9725-001 REC BASE PCT#2"</f>
        <v>ACCT#9725-001 REC BASE PCT#2</v>
      </c>
    </row>
    <row r="73" spans="5:8" x14ac:dyDescent="0.25">
      <c r="E73" t="str">
        <f>"9725-001-119467"</f>
        <v>9725-001-119467</v>
      </c>
      <c r="F73" t="str">
        <f>"ACCT#9725-001/REC BASE/PCT#2"</f>
        <v>ACCT#9725-001/REC BASE/PCT#2</v>
      </c>
      <c r="G73" s="3">
        <v>1262.19</v>
      </c>
      <c r="H73" t="str">
        <f>"ACCT#9725-001/REC BASE/PCT#2"</f>
        <v>ACCT#9725-001/REC BASE/PCT#2</v>
      </c>
    </row>
    <row r="74" spans="5:8" x14ac:dyDescent="0.25">
      <c r="E74" t="str">
        <f>"9725-0010119269"</f>
        <v>9725-0010119269</v>
      </c>
      <c r="F74" t="str">
        <f>"ACCT#9725-001 REC BASE PCT2"</f>
        <v>ACCT#9725-001 REC BASE PCT2</v>
      </c>
      <c r="G74" s="3">
        <v>1256.78</v>
      </c>
      <c r="H74" t="str">
        <f>"ACCT#9725-001 REC BASE PCT2"</f>
        <v>ACCT#9725-001 REC BASE PCT2</v>
      </c>
    </row>
    <row r="75" spans="5:8" x14ac:dyDescent="0.25">
      <c r="E75" t="str">
        <f>"9725-004-119224"</f>
        <v>9725-004-119224</v>
      </c>
      <c r="F75" t="str">
        <f>"ACCT#9725-004/REC BASE/PCT#1"</f>
        <v>ACCT#9725-004/REC BASE/PCT#1</v>
      </c>
      <c r="G75" s="3">
        <v>229.16</v>
      </c>
      <c r="H75" t="str">
        <f>"ACCT#9725-004/REC BASE/PCT#1"</f>
        <v>ACCT#9725-004/REC BASE/PCT#1</v>
      </c>
    </row>
    <row r="76" spans="5:8" x14ac:dyDescent="0.25">
      <c r="E76" t="str">
        <f>"9725-004-119252"</f>
        <v>9725-004-119252</v>
      </c>
      <c r="F76" t="str">
        <f>"ACCT#9725-004/REC BASE/PCT#1"</f>
        <v>ACCT#9725-004/REC BASE/PCT#1</v>
      </c>
      <c r="G76" s="3">
        <v>298.29000000000002</v>
      </c>
      <c r="H76" t="str">
        <f>"ACCT#9725-004/REC BASE/PCT#1"</f>
        <v>ACCT#9725-004/REC BASE/PCT#1</v>
      </c>
    </row>
    <row r="77" spans="5:8" x14ac:dyDescent="0.25">
      <c r="E77" t="str">
        <f>"9725-004-119307"</f>
        <v>9725-004-119307</v>
      </c>
      <c r="F77" t="str">
        <f>"ACCT#9725-004/REC BASE/PCT#1"</f>
        <v>ACCT#9725-004/REC BASE/PCT#1</v>
      </c>
      <c r="G77" s="3">
        <v>369.17</v>
      </c>
      <c r="H77" t="str">
        <f>"ACCT#9725-004/REC BASE/PCT#1"</f>
        <v>ACCT#9725-004/REC BASE/PCT#1</v>
      </c>
    </row>
    <row r="78" spans="5:8" x14ac:dyDescent="0.25">
      <c r="E78" t="str">
        <f>"9725-004-119333"</f>
        <v>9725-004-119333</v>
      </c>
      <c r="F78" t="str">
        <f>"ACCT#9725-004/REC BASE/PCT#1"</f>
        <v>ACCT#9725-004/REC BASE/PCT#1</v>
      </c>
      <c r="G78" s="3">
        <v>856.81</v>
      </c>
      <c r="H78" t="str">
        <f>"ACCT#9725-004/REC BASE/PCT#1"</f>
        <v>ACCT#9725-004/REC BASE/PCT#1</v>
      </c>
    </row>
    <row r="79" spans="5:8" x14ac:dyDescent="0.25">
      <c r="E79" t="str">
        <f>"9725-007-119200"</f>
        <v>9725-007-119200</v>
      </c>
      <c r="F79" t="str">
        <f>"ACCT#9725-007/REC BASE/PCT#4"</f>
        <v>ACCT#9725-007/REC BASE/PCT#4</v>
      </c>
      <c r="G79" s="3">
        <v>604.19000000000005</v>
      </c>
      <c r="H79" t="str">
        <f>"ACCT#9725-007/REC BASE/PCT#4"</f>
        <v>ACCT#9725-007/REC BASE/PCT#4</v>
      </c>
    </row>
    <row r="80" spans="5:8" x14ac:dyDescent="0.25">
      <c r="E80" t="str">
        <f>"9725-007-119225"</f>
        <v>9725-007-119225</v>
      </c>
      <c r="F80" t="str">
        <f>"ACCT#9725-007/REC BASE/PCT#4"</f>
        <v>ACCT#9725-007/REC BASE/PCT#4</v>
      </c>
      <c r="G80" s="3">
        <v>1012.56</v>
      </c>
      <c r="H80" t="str">
        <f>"ACCT#9725-007/REC BASE/PCT#4"</f>
        <v>ACCT#9725-007/REC BASE/PCT#4</v>
      </c>
    </row>
    <row r="81" spans="1:8" x14ac:dyDescent="0.25">
      <c r="E81" t="str">
        <f>"9725-007-119253"</f>
        <v>9725-007-119253</v>
      </c>
      <c r="F81" t="str">
        <f>"ACCT#9725-007/REC BASE/PCT#4"</f>
        <v>ACCT#9725-007/REC BASE/PCT#4</v>
      </c>
      <c r="G81" s="3">
        <v>990.34</v>
      </c>
      <c r="H81" t="str">
        <f>"ACCT#9725-007/REC BASE/PCT#4"</f>
        <v>ACCT#9725-007/REC BASE/PCT#4</v>
      </c>
    </row>
    <row r="82" spans="1:8" x14ac:dyDescent="0.25">
      <c r="E82" t="str">
        <f>"9725-007-119360"</f>
        <v>9725-007-119360</v>
      </c>
      <c r="F82" t="str">
        <f>"ACCT#9725-007/REC BASE/PCT#4"</f>
        <v>ACCT#9725-007/REC BASE/PCT#4</v>
      </c>
      <c r="G82" s="3">
        <v>1005.64</v>
      </c>
      <c r="H82" t="str">
        <f>"ACCT#9725-007/REC BASE/PCT#4"</f>
        <v>ACCT#9725-007/REC BASE/PCT#4</v>
      </c>
    </row>
    <row r="83" spans="1:8" x14ac:dyDescent="0.25">
      <c r="E83" t="str">
        <f>"9725-007-119383"</f>
        <v>9725-007-119383</v>
      </c>
      <c r="F83" t="str">
        <f>"ACCT#9725-007/REC BASE/PCT#4"</f>
        <v>ACCT#9725-007/REC BASE/PCT#4</v>
      </c>
      <c r="G83" s="3">
        <v>1203.3900000000001</v>
      </c>
      <c r="H83" t="str">
        <f>"ACCT#9725-007/REC BASE/PCT#4"</f>
        <v>ACCT#9725-007/REC BASE/PCT#4</v>
      </c>
    </row>
    <row r="84" spans="1:8" x14ac:dyDescent="0.25">
      <c r="A84" t="s">
        <v>27</v>
      </c>
      <c r="B84">
        <v>3605</v>
      </c>
      <c r="C84" s="3">
        <v>657.94</v>
      </c>
      <c r="D84" s="5">
        <v>44180</v>
      </c>
      <c r="E84" t="str">
        <f>"125657240"</f>
        <v>125657240</v>
      </c>
      <c r="F84" t="str">
        <f>"Uline Order"</f>
        <v>Uline Order</v>
      </c>
      <c r="G84" s="3">
        <v>371.08</v>
      </c>
      <c r="H84" t="str">
        <f>"H-1377"</f>
        <v>H-1377</v>
      </c>
    </row>
    <row r="85" spans="1:8" x14ac:dyDescent="0.25">
      <c r="E85" t="str">
        <f>""</f>
        <v/>
      </c>
      <c r="F85" t="str">
        <f>""</f>
        <v/>
      </c>
      <c r="H85" t="str">
        <f>"Shipping"</f>
        <v>Shipping</v>
      </c>
    </row>
    <row r="86" spans="1:8" x14ac:dyDescent="0.25">
      <c r="E86" t="str">
        <f>"126671741"</f>
        <v>126671741</v>
      </c>
      <c r="F86" t="str">
        <f>"INV 126671741"</f>
        <v>INV 126671741</v>
      </c>
      <c r="G86" s="3">
        <v>286.86</v>
      </c>
      <c r="H86" t="str">
        <f>"INV 126671741"</f>
        <v>INV 126671741</v>
      </c>
    </row>
    <row r="87" spans="1:8" x14ac:dyDescent="0.25">
      <c r="A87" t="s">
        <v>28</v>
      </c>
      <c r="B87">
        <v>3606</v>
      </c>
      <c r="C87" s="3">
        <v>7464.68</v>
      </c>
      <c r="D87" s="5">
        <v>44180</v>
      </c>
      <c r="E87" t="str">
        <f>"5060710360"</f>
        <v>5060710360</v>
      </c>
      <c r="F87" t="str">
        <f>"CUST#12847097/CONT#4896380"</f>
        <v>CUST#12847097/CONT#4896380</v>
      </c>
      <c r="G87" s="3">
        <v>7308</v>
      </c>
      <c r="H87" t="str">
        <f t="shared" ref="H87:H115" si="1">"CUST#12847097/CONT#4896380"</f>
        <v>CUST#12847097/CONT#4896380</v>
      </c>
    </row>
    <row r="88" spans="1:8" x14ac:dyDescent="0.25">
      <c r="E88" t="str">
        <f>""</f>
        <v/>
      </c>
      <c r="F88" t="str">
        <f>""</f>
        <v/>
      </c>
      <c r="H88" t="str">
        <f t="shared" si="1"/>
        <v>CUST#12847097/CONT#4896380</v>
      </c>
    </row>
    <row r="89" spans="1:8" x14ac:dyDescent="0.25">
      <c r="E89" t="str">
        <f>""</f>
        <v/>
      </c>
      <c r="F89" t="str">
        <f>""</f>
        <v/>
      </c>
      <c r="H89" t="str">
        <f t="shared" si="1"/>
        <v>CUST#12847097/CONT#4896380</v>
      </c>
    </row>
    <row r="90" spans="1:8" x14ac:dyDescent="0.25">
      <c r="E90" t="str">
        <f>""</f>
        <v/>
      </c>
      <c r="F90" t="str">
        <f>""</f>
        <v/>
      </c>
      <c r="H90" t="str">
        <f t="shared" si="1"/>
        <v>CUST#12847097/CONT#4896380</v>
      </c>
    </row>
    <row r="91" spans="1:8" x14ac:dyDescent="0.25">
      <c r="E91" t="str">
        <f>""</f>
        <v/>
      </c>
      <c r="F91" t="str">
        <f>""</f>
        <v/>
      </c>
      <c r="H91" t="str">
        <f t="shared" si="1"/>
        <v>CUST#12847097/CONT#4896380</v>
      </c>
    </row>
    <row r="92" spans="1:8" x14ac:dyDescent="0.25">
      <c r="E92" t="str">
        <f>""</f>
        <v/>
      </c>
      <c r="F92" t="str">
        <f>""</f>
        <v/>
      </c>
      <c r="H92" t="str">
        <f t="shared" si="1"/>
        <v>CUST#12847097/CONT#4896380</v>
      </c>
    </row>
    <row r="93" spans="1:8" x14ac:dyDescent="0.25">
      <c r="E93" t="str">
        <f>""</f>
        <v/>
      </c>
      <c r="F93" t="str">
        <f>""</f>
        <v/>
      </c>
      <c r="H93" t="str">
        <f t="shared" si="1"/>
        <v>CUST#12847097/CONT#4896380</v>
      </c>
    </row>
    <row r="94" spans="1:8" x14ac:dyDescent="0.25">
      <c r="E94" t="str">
        <f>""</f>
        <v/>
      </c>
      <c r="F94" t="str">
        <f>""</f>
        <v/>
      </c>
      <c r="H94" t="str">
        <f t="shared" si="1"/>
        <v>CUST#12847097/CONT#4896380</v>
      </c>
    </row>
    <row r="95" spans="1:8" x14ac:dyDescent="0.25">
      <c r="E95" t="str">
        <f>""</f>
        <v/>
      </c>
      <c r="F95" t="str">
        <f>""</f>
        <v/>
      </c>
      <c r="H95" t="str">
        <f t="shared" si="1"/>
        <v>CUST#12847097/CONT#4896380</v>
      </c>
    </row>
    <row r="96" spans="1:8" x14ac:dyDescent="0.25">
      <c r="E96" t="str">
        <f>""</f>
        <v/>
      </c>
      <c r="F96" t="str">
        <f>""</f>
        <v/>
      </c>
      <c r="H96" t="str">
        <f t="shared" si="1"/>
        <v>CUST#12847097/CONT#4896380</v>
      </c>
    </row>
    <row r="97" spans="5:8" x14ac:dyDescent="0.25">
      <c r="E97" t="str">
        <f>""</f>
        <v/>
      </c>
      <c r="F97" t="str">
        <f>""</f>
        <v/>
      </c>
      <c r="H97" t="str">
        <f t="shared" si="1"/>
        <v>CUST#12847097/CONT#4896380</v>
      </c>
    </row>
    <row r="98" spans="5:8" x14ac:dyDescent="0.25">
      <c r="E98" t="str">
        <f>""</f>
        <v/>
      </c>
      <c r="F98" t="str">
        <f>""</f>
        <v/>
      </c>
      <c r="H98" t="str">
        <f t="shared" si="1"/>
        <v>CUST#12847097/CONT#4896380</v>
      </c>
    </row>
    <row r="99" spans="5:8" x14ac:dyDescent="0.25">
      <c r="E99" t="str">
        <f>""</f>
        <v/>
      </c>
      <c r="F99" t="str">
        <f>""</f>
        <v/>
      </c>
      <c r="H99" t="str">
        <f t="shared" si="1"/>
        <v>CUST#12847097/CONT#4896380</v>
      </c>
    </row>
    <row r="100" spans="5:8" x14ac:dyDescent="0.25">
      <c r="E100" t="str">
        <f>""</f>
        <v/>
      </c>
      <c r="F100" t="str">
        <f>""</f>
        <v/>
      </c>
      <c r="H100" t="str">
        <f t="shared" si="1"/>
        <v>CUST#12847097/CONT#4896380</v>
      </c>
    </row>
    <row r="101" spans="5:8" x14ac:dyDescent="0.25">
      <c r="E101" t="str">
        <f>""</f>
        <v/>
      </c>
      <c r="F101" t="str">
        <f>""</f>
        <v/>
      </c>
      <c r="H101" t="str">
        <f t="shared" si="1"/>
        <v>CUST#12847097/CONT#4896380</v>
      </c>
    </row>
    <row r="102" spans="5:8" x14ac:dyDescent="0.25">
      <c r="E102" t="str">
        <f>""</f>
        <v/>
      </c>
      <c r="F102" t="str">
        <f>""</f>
        <v/>
      </c>
      <c r="H102" t="str">
        <f t="shared" si="1"/>
        <v>CUST#12847097/CONT#4896380</v>
      </c>
    </row>
    <row r="103" spans="5:8" x14ac:dyDescent="0.25">
      <c r="E103" t="str">
        <f>""</f>
        <v/>
      </c>
      <c r="F103" t="str">
        <f>""</f>
        <v/>
      </c>
      <c r="H103" t="str">
        <f t="shared" si="1"/>
        <v>CUST#12847097/CONT#4896380</v>
      </c>
    </row>
    <row r="104" spans="5:8" x14ac:dyDescent="0.25">
      <c r="E104" t="str">
        <f>""</f>
        <v/>
      </c>
      <c r="F104" t="str">
        <f>""</f>
        <v/>
      </c>
      <c r="H104" t="str">
        <f t="shared" si="1"/>
        <v>CUST#12847097/CONT#4896380</v>
      </c>
    </row>
    <row r="105" spans="5:8" x14ac:dyDescent="0.25">
      <c r="E105" t="str">
        <f>""</f>
        <v/>
      </c>
      <c r="F105" t="str">
        <f>""</f>
        <v/>
      </c>
      <c r="H105" t="str">
        <f t="shared" si="1"/>
        <v>CUST#12847097/CONT#4896380</v>
      </c>
    </row>
    <row r="106" spans="5:8" x14ac:dyDescent="0.25">
      <c r="E106" t="str">
        <f>""</f>
        <v/>
      </c>
      <c r="F106" t="str">
        <f>""</f>
        <v/>
      </c>
      <c r="H106" t="str">
        <f t="shared" si="1"/>
        <v>CUST#12847097/CONT#4896380</v>
      </c>
    </row>
    <row r="107" spans="5:8" x14ac:dyDescent="0.25">
      <c r="E107" t="str">
        <f>""</f>
        <v/>
      </c>
      <c r="F107" t="str">
        <f>""</f>
        <v/>
      </c>
      <c r="H107" t="str">
        <f t="shared" si="1"/>
        <v>CUST#12847097/CONT#4896380</v>
      </c>
    </row>
    <row r="108" spans="5:8" x14ac:dyDescent="0.25">
      <c r="E108" t="str">
        <f>""</f>
        <v/>
      </c>
      <c r="F108" t="str">
        <f>""</f>
        <v/>
      </c>
      <c r="H108" t="str">
        <f t="shared" si="1"/>
        <v>CUST#12847097/CONT#4896380</v>
      </c>
    </row>
    <row r="109" spans="5:8" x14ac:dyDescent="0.25">
      <c r="E109" t="str">
        <f>""</f>
        <v/>
      </c>
      <c r="F109" t="str">
        <f>""</f>
        <v/>
      </c>
      <c r="H109" t="str">
        <f t="shared" si="1"/>
        <v>CUST#12847097/CONT#4896380</v>
      </c>
    </row>
    <row r="110" spans="5:8" x14ac:dyDescent="0.25">
      <c r="E110" t="str">
        <f>""</f>
        <v/>
      </c>
      <c r="F110" t="str">
        <f>""</f>
        <v/>
      </c>
      <c r="H110" t="str">
        <f t="shared" si="1"/>
        <v>CUST#12847097/CONT#4896380</v>
      </c>
    </row>
    <row r="111" spans="5:8" x14ac:dyDescent="0.25">
      <c r="E111" t="str">
        <f>""</f>
        <v/>
      </c>
      <c r="F111" t="str">
        <f>""</f>
        <v/>
      </c>
      <c r="H111" t="str">
        <f t="shared" si="1"/>
        <v>CUST#12847097/CONT#4896380</v>
      </c>
    </row>
    <row r="112" spans="5:8" x14ac:dyDescent="0.25">
      <c r="E112" t="str">
        <f>""</f>
        <v/>
      </c>
      <c r="F112" t="str">
        <f>""</f>
        <v/>
      </c>
      <c r="H112" t="str">
        <f t="shared" si="1"/>
        <v>CUST#12847097/CONT#4896380</v>
      </c>
    </row>
    <row r="113" spans="1:8" x14ac:dyDescent="0.25">
      <c r="E113" t="str">
        <f>""</f>
        <v/>
      </c>
      <c r="F113" t="str">
        <f>""</f>
        <v/>
      </c>
      <c r="H113" t="str">
        <f t="shared" si="1"/>
        <v>CUST#12847097/CONT#4896380</v>
      </c>
    </row>
    <row r="114" spans="1:8" x14ac:dyDescent="0.25">
      <c r="E114" t="str">
        <f>""</f>
        <v/>
      </c>
      <c r="F114" t="str">
        <f>""</f>
        <v/>
      </c>
      <c r="H114" t="str">
        <f t="shared" si="1"/>
        <v>CUST#12847097/CONT#4896380</v>
      </c>
    </row>
    <row r="115" spans="1:8" x14ac:dyDescent="0.25">
      <c r="E115" t="str">
        <f>""</f>
        <v/>
      </c>
      <c r="F115" t="str">
        <f>""</f>
        <v/>
      </c>
      <c r="H115" t="str">
        <f t="shared" si="1"/>
        <v>CUST#12847097/CONT#4896380</v>
      </c>
    </row>
    <row r="116" spans="1:8" x14ac:dyDescent="0.25">
      <c r="E116" t="str">
        <f>"5060710360-P2"</f>
        <v>5060710360-P2</v>
      </c>
      <c r="F116" t="str">
        <f>"CONTRACT#4896380/PCT#2"</f>
        <v>CONTRACT#4896380/PCT#2</v>
      </c>
      <c r="G116" s="3">
        <v>156.68</v>
      </c>
      <c r="H116" t="str">
        <f>"CONTRACT#4896380/PCT#2"</f>
        <v>CONTRACT#4896380/PCT#2</v>
      </c>
    </row>
    <row r="117" spans="1:8" x14ac:dyDescent="0.25">
      <c r="A117" t="s">
        <v>29</v>
      </c>
      <c r="B117">
        <v>3607</v>
      </c>
      <c r="C117" s="3">
        <v>1580</v>
      </c>
      <c r="D117" s="5">
        <v>44180</v>
      </c>
      <c r="E117" t="str">
        <f>"2020176"</f>
        <v>2020176</v>
      </c>
      <c r="F117" t="str">
        <f>"TRANSPORT A ROBINETT"</f>
        <v>TRANSPORT A ROBINETT</v>
      </c>
      <c r="G117" s="3">
        <v>390</v>
      </c>
      <c r="H117" t="str">
        <f>"TRANSPORT A ROBINETT"</f>
        <v>TRANSPORT A ROBINETT</v>
      </c>
    </row>
    <row r="118" spans="1:8" x14ac:dyDescent="0.25">
      <c r="E118" t="str">
        <f>"2020183"</f>
        <v>2020183</v>
      </c>
      <c r="F118" t="str">
        <f>"TRANSPORT A ROBINETT"</f>
        <v>TRANSPORT A ROBINETT</v>
      </c>
      <c r="G118" s="3">
        <v>695</v>
      </c>
      <c r="H118" t="str">
        <f>"TRANSPORT A ROBINETT"</f>
        <v>TRANSPORT A ROBINETT</v>
      </c>
    </row>
    <row r="119" spans="1:8" x14ac:dyDescent="0.25">
      <c r="E119" t="str">
        <f>"2020187"</f>
        <v>2020187</v>
      </c>
      <c r="F119" t="str">
        <f>"TRANSPORT S HOLLAND"</f>
        <v>TRANSPORT S HOLLAND</v>
      </c>
      <c r="G119" s="3">
        <v>495</v>
      </c>
      <c r="H119" t="str">
        <f>"TRANSPORT S HOLLAND"</f>
        <v>TRANSPORT S HOLLAND</v>
      </c>
    </row>
    <row r="120" spans="1:8" x14ac:dyDescent="0.25">
      <c r="A120" t="s">
        <v>30</v>
      </c>
      <c r="B120">
        <v>3608</v>
      </c>
      <c r="C120" s="3">
        <v>2745.71</v>
      </c>
      <c r="D120" s="5">
        <v>44180</v>
      </c>
      <c r="E120" t="str">
        <f>"11183194"</f>
        <v>11183194</v>
      </c>
      <c r="F120" t="str">
        <f>"INV 11183194"</f>
        <v>INV 11183194</v>
      </c>
      <c r="G120" s="3">
        <v>1931.55</v>
      </c>
      <c r="H120" t="str">
        <f>"INV 11183194"</f>
        <v>INV 11183194</v>
      </c>
    </row>
    <row r="121" spans="1:8" x14ac:dyDescent="0.25">
      <c r="E121" t="str">
        <f>""</f>
        <v/>
      </c>
      <c r="F121" t="str">
        <f>""</f>
        <v/>
      </c>
      <c r="H121" t="str">
        <f>"INV 11243941"</f>
        <v>INV 11243941</v>
      </c>
    </row>
    <row r="122" spans="1:8" x14ac:dyDescent="0.25">
      <c r="E122" t="str">
        <f>"12020648"</f>
        <v>12020648</v>
      </c>
      <c r="F122" t="str">
        <f>"INV 12020648"</f>
        <v>INV 12020648</v>
      </c>
      <c r="G122" s="3">
        <v>814.16</v>
      </c>
      <c r="H122" t="str">
        <f>"INV 12020648"</f>
        <v>INV 12020648</v>
      </c>
    </row>
    <row r="123" spans="1:8" x14ac:dyDescent="0.25">
      <c r="A123" t="s">
        <v>31</v>
      </c>
      <c r="B123">
        <v>3609</v>
      </c>
      <c r="C123" s="3">
        <v>468</v>
      </c>
      <c r="D123" s="5">
        <v>44180</v>
      </c>
      <c r="E123" t="str">
        <f>"202012080672"</f>
        <v>202012080672</v>
      </c>
      <c r="F123" t="str">
        <f>"TRASH REMOVAL 12/7-12/10 / P4"</f>
        <v>TRASH REMOVAL 12/7-12/10 / P4</v>
      </c>
      <c r="G123" s="3">
        <v>234</v>
      </c>
      <c r="H123" t="str">
        <f>"TRASH REMOVAL 12/7-12/10 / P4"</f>
        <v>TRASH REMOVAL 12/7-12/10 / P4</v>
      </c>
    </row>
    <row r="124" spans="1:8" x14ac:dyDescent="0.25">
      <c r="E124" t="str">
        <f>"202012080673"</f>
        <v>202012080673</v>
      </c>
      <c r="F124" t="str">
        <f>"TRASH REMOVAL 11/23-11/30 / P4"</f>
        <v>TRASH REMOVAL 11/23-11/30 / P4</v>
      </c>
      <c r="G124" s="3">
        <v>234</v>
      </c>
      <c r="H124" t="str">
        <f>"PAUL GRANADO"</f>
        <v>PAUL GRANADO</v>
      </c>
    </row>
    <row r="125" spans="1:8" x14ac:dyDescent="0.25">
      <c r="A125" t="s">
        <v>32</v>
      </c>
      <c r="B125">
        <v>3610</v>
      </c>
      <c r="C125" s="3">
        <v>3761.16</v>
      </c>
      <c r="D125" s="5">
        <v>44180</v>
      </c>
      <c r="E125" t="str">
        <f>"202012070567"</f>
        <v>202012070567</v>
      </c>
      <c r="F125" t="str">
        <f>"HAULING EXPS 11/17/20-12/04/20"</f>
        <v>HAULING EXPS 11/17/20-12/04/20</v>
      </c>
      <c r="G125" s="3">
        <v>3761.16</v>
      </c>
      <c r="H125" t="str">
        <f>"HAULING EXPS 11/17/20-12/04/20"</f>
        <v>HAULING EXPS 11/17/20-12/04/20</v>
      </c>
    </row>
    <row r="126" spans="1:8" x14ac:dyDescent="0.25">
      <c r="A126" t="s">
        <v>33</v>
      </c>
      <c r="B126">
        <v>3611</v>
      </c>
      <c r="C126" s="3">
        <v>468</v>
      </c>
      <c r="D126" s="5">
        <v>44180</v>
      </c>
      <c r="E126" t="str">
        <f>"202012080674"</f>
        <v>202012080674</v>
      </c>
      <c r="F126" t="str">
        <f>"TRASH REMOVAL 12/7-12/11 / P4"</f>
        <v>TRASH REMOVAL 12/7-12/11 / P4</v>
      </c>
      <c r="G126" s="3">
        <v>234</v>
      </c>
      <c r="H126" t="str">
        <f>"TRASH REMOVAL 12/7-12/11 / P4"</f>
        <v>TRASH REMOVAL 12/7-12/11 / P4</v>
      </c>
    </row>
    <row r="127" spans="1:8" x14ac:dyDescent="0.25">
      <c r="E127" t="str">
        <f>"202012080675"</f>
        <v>202012080675</v>
      </c>
      <c r="F127" t="str">
        <f>"TRASH REMOVAL 11/23-11/30 / P4"</f>
        <v>TRASH REMOVAL 11/23-11/30 / P4</v>
      </c>
      <c r="G127" s="3">
        <v>234</v>
      </c>
      <c r="H127" t="str">
        <f>"TRASH REMOVAL 11/23-11/30 / P4"</f>
        <v>TRASH REMOVAL 11/23-11/30 / P4</v>
      </c>
    </row>
    <row r="128" spans="1:8" x14ac:dyDescent="0.25">
      <c r="A128" t="s">
        <v>34</v>
      </c>
      <c r="B128">
        <v>3612</v>
      </c>
      <c r="C128" s="3">
        <v>10840.65</v>
      </c>
      <c r="D128" s="5">
        <v>44180</v>
      </c>
      <c r="E128" t="str">
        <f>"23443"</f>
        <v>23443</v>
      </c>
      <c r="F128" t="str">
        <f>"FREIGHT SALES/PCT#2"</f>
        <v>FREIGHT SALES/PCT#2</v>
      </c>
      <c r="G128" s="3">
        <v>2994.55</v>
      </c>
      <c r="H128" t="str">
        <f>"FREIGHT SALES/PCT#2"</f>
        <v>FREIGHT SALES/PCT#2</v>
      </c>
    </row>
    <row r="129" spans="1:8" x14ac:dyDescent="0.25">
      <c r="E129" t="str">
        <f>"23484"</f>
        <v>23484</v>
      </c>
      <c r="F129" t="str">
        <f>"FREIGHT SALES/PCT#2"</f>
        <v>FREIGHT SALES/PCT#2</v>
      </c>
      <c r="G129" s="3">
        <v>2610.9</v>
      </c>
      <c r="H129" t="str">
        <f>"FREIGHT SALES/PCT#2"</f>
        <v>FREIGHT SALES/PCT#2</v>
      </c>
    </row>
    <row r="130" spans="1:8" x14ac:dyDescent="0.25">
      <c r="E130" t="str">
        <f>"23530"</f>
        <v>23530</v>
      </c>
      <c r="F130" t="str">
        <f>"FREIGHT SALES/PCT#2"</f>
        <v>FREIGHT SALES/PCT#2</v>
      </c>
      <c r="G130" s="3">
        <v>3193.3</v>
      </c>
      <c r="H130" t="str">
        <f>"FREIGHT SALES/PCT#2"</f>
        <v>FREIGHT SALES/PCT#2</v>
      </c>
    </row>
    <row r="131" spans="1:8" x14ac:dyDescent="0.25">
      <c r="E131" t="str">
        <f>"23586"</f>
        <v>23586</v>
      </c>
      <c r="F131" t="str">
        <f>"FREIGHT SALES/PCT#2"</f>
        <v>FREIGHT SALES/PCT#2</v>
      </c>
      <c r="G131" s="3">
        <v>2041.9</v>
      </c>
      <c r="H131" t="str">
        <f>"FREIGHT SALES/PCT#2"</f>
        <v>FREIGHT SALES/PCT#2</v>
      </c>
    </row>
    <row r="132" spans="1:8" x14ac:dyDescent="0.25">
      <c r="A132" t="s">
        <v>35</v>
      </c>
      <c r="B132">
        <v>3613</v>
      </c>
      <c r="C132" s="3">
        <v>525</v>
      </c>
      <c r="D132" s="5">
        <v>44180</v>
      </c>
      <c r="E132" t="str">
        <f>"202012030534"</f>
        <v>202012030534</v>
      </c>
      <c r="F132" t="str">
        <f>"AC 2020-0821A"</f>
        <v>AC 2020-0821A</v>
      </c>
      <c r="G132" s="3">
        <v>100</v>
      </c>
      <c r="H132" t="str">
        <f>"AC 2020-0821A"</f>
        <v>AC 2020-0821A</v>
      </c>
    </row>
    <row r="133" spans="1:8" x14ac:dyDescent="0.25">
      <c r="E133" t="str">
        <f>"202012030535"</f>
        <v>202012030535</v>
      </c>
      <c r="F133" t="str">
        <f>"423-7556"</f>
        <v>423-7556</v>
      </c>
      <c r="G133" s="3">
        <v>100</v>
      </c>
      <c r="H133" t="str">
        <f>"423-7556"</f>
        <v>423-7556</v>
      </c>
    </row>
    <row r="134" spans="1:8" x14ac:dyDescent="0.25">
      <c r="E134" t="str">
        <f>"202012070589"</f>
        <v>202012070589</v>
      </c>
      <c r="F134" t="str">
        <f>"20-20030"</f>
        <v>20-20030</v>
      </c>
      <c r="G134" s="3">
        <v>325</v>
      </c>
      <c r="H134" t="str">
        <f>"20-20030"</f>
        <v>20-20030</v>
      </c>
    </row>
    <row r="135" spans="1:8" x14ac:dyDescent="0.25">
      <c r="A135" t="s">
        <v>36</v>
      </c>
      <c r="B135">
        <v>3614</v>
      </c>
      <c r="C135" s="3">
        <v>5752.65</v>
      </c>
      <c r="D135" s="5">
        <v>44180</v>
      </c>
      <c r="E135" t="str">
        <f>"2008446"</f>
        <v>2008446</v>
      </c>
      <c r="F135" t="str">
        <f>"ACCT#BA-CNTY-01/INSTALL OUTLET"</f>
        <v>ACCT#BA-CNTY-01/INSTALL OUTLET</v>
      </c>
      <c r="G135" s="3">
        <v>1178.6500000000001</v>
      </c>
      <c r="H135" t="str">
        <f>"ACCT#BA-CNTY-01/MATERIALS/LABO"</f>
        <v>ACCT#BA-CNTY-01/MATERIALS/LABO</v>
      </c>
    </row>
    <row r="136" spans="1:8" x14ac:dyDescent="0.25">
      <c r="E136" t="str">
        <f>"2008447"</f>
        <v>2008447</v>
      </c>
      <c r="F136" t="str">
        <f>"ACCT#BA-CNTY-01/INSTALL LIGHTS"</f>
        <v>ACCT#BA-CNTY-01/INSTALL LIGHTS</v>
      </c>
      <c r="G136" s="3">
        <v>2828.95</v>
      </c>
      <c r="H136" t="str">
        <f>"ACCT#BA-CNTY-01/INSTALL LIGHTS"</f>
        <v>ACCT#BA-CNTY-01/INSTALL LIGHTS</v>
      </c>
    </row>
    <row r="137" spans="1:8" x14ac:dyDescent="0.25">
      <c r="E137" t="str">
        <f>"2008448"</f>
        <v>2008448</v>
      </c>
      <c r="F137" t="str">
        <f>"ACCT#BA-CNTY01/INSTALL 3 WALL"</f>
        <v>ACCT#BA-CNTY01/INSTALL 3 WALL</v>
      </c>
      <c r="G137" s="3">
        <v>1495.05</v>
      </c>
      <c r="H137" t="str">
        <f>"ACCT#BA-CNTY01/INSTALL 3 WALL"</f>
        <v>ACCT#BA-CNTY01/INSTALL 3 WALL</v>
      </c>
    </row>
    <row r="138" spans="1:8" x14ac:dyDescent="0.25">
      <c r="E138" t="str">
        <f>"2008450"</f>
        <v>2008450</v>
      </c>
      <c r="F138" t="str">
        <f>"ACCT#BA-CNTY-01/TROUBLESHOOT"</f>
        <v>ACCT#BA-CNTY-01/TROUBLESHOOT</v>
      </c>
      <c r="G138" s="3">
        <v>250</v>
      </c>
      <c r="H138" t="str">
        <f>"ACCT#BA-CNTY-01/TROUBLESHOOT"</f>
        <v>ACCT#BA-CNTY-01/TROUBLESHOOT</v>
      </c>
    </row>
    <row r="139" spans="1:8" x14ac:dyDescent="0.25">
      <c r="A139" t="s">
        <v>37</v>
      </c>
      <c r="B139">
        <v>3615</v>
      </c>
      <c r="C139" s="3">
        <v>900</v>
      </c>
      <c r="D139" s="5">
        <v>44180</v>
      </c>
      <c r="E139" t="str">
        <f>"2187"</f>
        <v>2187</v>
      </c>
      <c r="F139" t="str">
        <f>"HUNTERS CROSSING STATUS HRING"</f>
        <v>HUNTERS CROSSING STATUS HRING</v>
      </c>
      <c r="G139" s="3">
        <v>450</v>
      </c>
      <c r="H139" t="str">
        <f>"HUNTERS CROSSING STATUS HRING"</f>
        <v>HUNTERS CROSSING STATUS HRING</v>
      </c>
    </row>
    <row r="140" spans="1:8" x14ac:dyDescent="0.25">
      <c r="E140" t="str">
        <f>"2188"</f>
        <v>2188</v>
      </c>
      <c r="F140" t="str">
        <f>"WRIT OF HABEAS CORPUS-13679A"</f>
        <v>WRIT OF HABEAS CORPUS-13679A</v>
      </c>
      <c r="G140" s="3">
        <v>450</v>
      </c>
      <c r="H140" t="str">
        <f>"WRIT OF HABEAS CORPUS-13679A"</f>
        <v>WRIT OF HABEAS CORPUS-13679A</v>
      </c>
    </row>
    <row r="141" spans="1:8" x14ac:dyDescent="0.25">
      <c r="A141" t="s">
        <v>38</v>
      </c>
      <c r="B141">
        <v>3616</v>
      </c>
      <c r="C141" s="3">
        <v>416.05</v>
      </c>
      <c r="D141" s="5">
        <v>44180</v>
      </c>
      <c r="E141" t="str">
        <f>"202012070571"</f>
        <v>202012070571</v>
      </c>
      <c r="F141" t="str">
        <f>"REIMBURSEMENT-MAIL CHIMP NOVEM"</f>
        <v>REIMBURSEMENT-MAIL CHIMP NOVEM</v>
      </c>
      <c r="G141" s="3">
        <v>93.8</v>
      </c>
      <c r="H141" t="str">
        <f>"REIMBURSEMENT-MAIL CHIMP NOVEM"</f>
        <v>REIMBURSEMENT-MAIL CHIMP NOVEM</v>
      </c>
    </row>
    <row r="142" spans="1:8" x14ac:dyDescent="0.25">
      <c r="E142" t="str">
        <f>"202012070572"</f>
        <v>202012070572</v>
      </c>
      <c r="F142" t="str">
        <f>"REIMBURSE SXSW REG/REAL PLACES"</f>
        <v>REIMBURSE SXSW REG/REAL PLACES</v>
      </c>
      <c r="G142" s="3">
        <v>248</v>
      </c>
      <c r="H142" t="str">
        <f>"REIMBURSE SXSW REG/REAL PLACES"</f>
        <v>REIMBURSE SXSW REG/REAL PLACES</v>
      </c>
    </row>
    <row r="143" spans="1:8" x14ac:dyDescent="0.25">
      <c r="E143" t="str">
        <f>"202012070573"</f>
        <v>202012070573</v>
      </c>
      <c r="F143" t="str">
        <f>"REIMBURSE REAL PLACES-HARRIS"</f>
        <v>REIMBURSE REAL PLACES-HARRIS</v>
      </c>
      <c r="G143" s="3">
        <v>74.25</v>
      </c>
      <c r="H143" t="str">
        <f>"REIMBURSE REAL PLACES-HARRIS"</f>
        <v>REIMBURSE REAL PLACES-HARRIS</v>
      </c>
    </row>
    <row r="144" spans="1:8" x14ac:dyDescent="0.25">
      <c r="A144" t="s">
        <v>39</v>
      </c>
      <c r="B144">
        <v>3617</v>
      </c>
      <c r="C144" s="3">
        <v>6117.06</v>
      </c>
      <c r="D144" s="5">
        <v>44180</v>
      </c>
      <c r="E144" t="str">
        <f>"S14463477"</f>
        <v>S14463477</v>
      </c>
      <c r="F144" t="str">
        <f>"ACCT#379865 PCT#2"</f>
        <v>ACCT#379865 PCT#2</v>
      </c>
      <c r="G144" s="3">
        <v>6117.06</v>
      </c>
      <c r="H144" t="str">
        <f>"ACCT#379865 PCT#2"</f>
        <v>ACCT#379865 PCT#2</v>
      </c>
    </row>
    <row r="145" spans="1:8" x14ac:dyDescent="0.25">
      <c r="A145" t="s">
        <v>40</v>
      </c>
      <c r="B145">
        <v>3618</v>
      </c>
      <c r="C145" s="3">
        <v>20144.8</v>
      </c>
      <c r="D145" s="5">
        <v>44180</v>
      </c>
      <c r="E145" t="str">
        <f>"03451F"</f>
        <v>03451F</v>
      </c>
      <c r="F145" t="str">
        <f>"SILSBEE FORD"</f>
        <v>SILSBEE FORD</v>
      </c>
      <c r="G145" s="3">
        <v>20144.8</v>
      </c>
      <c r="H145" t="str">
        <f>"2021 Ford Explorer"</f>
        <v>2021 Ford Explorer</v>
      </c>
    </row>
    <row r="146" spans="1:8" x14ac:dyDescent="0.25">
      <c r="E146" t="str">
        <f>""</f>
        <v/>
      </c>
      <c r="F146" t="str">
        <f>""</f>
        <v/>
      </c>
      <c r="H146" t="str">
        <f>"Model Discount"</f>
        <v>Model Discount</v>
      </c>
    </row>
    <row r="147" spans="1:8" x14ac:dyDescent="0.25">
      <c r="E147" t="str">
        <f>""</f>
        <v/>
      </c>
      <c r="F147" t="str">
        <f>""</f>
        <v/>
      </c>
      <c r="H147" t="str">
        <f>"Options"</f>
        <v>Options</v>
      </c>
    </row>
    <row r="148" spans="1:8" x14ac:dyDescent="0.25">
      <c r="E148" t="str">
        <f>""</f>
        <v/>
      </c>
      <c r="F148" t="str">
        <f>""</f>
        <v/>
      </c>
      <c r="H148" t="str">
        <f>"Buyboard Fee"</f>
        <v>Buyboard Fee</v>
      </c>
    </row>
    <row r="149" spans="1:8" x14ac:dyDescent="0.25">
      <c r="E149" t="str">
        <f>""</f>
        <v/>
      </c>
      <c r="F149" t="str">
        <f>""</f>
        <v/>
      </c>
      <c r="H149" t="str">
        <f>"Tade Ins"</f>
        <v>Tade Ins</v>
      </c>
    </row>
    <row r="150" spans="1:8" x14ac:dyDescent="0.25">
      <c r="E150" t="str">
        <f>""</f>
        <v/>
      </c>
      <c r="F150" t="str">
        <f>""</f>
        <v/>
      </c>
      <c r="H150" t="str">
        <f>"Unpublished Options"</f>
        <v>Unpublished Options</v>
      </c>
    </row>
    <row r="151" spans="1:8" x14ac:dyDescent="0.25">
      <c r="E151" t="str">
        <f>""</f>
        <v/>
      </c>
      <c r="F151" t="str">
        <f>""</f>
        <v/>
      </c>
      <c r="H151" t="str">
        <f>"Floor Plan"</f>
        <v>Floor Plan</v>
      </c>
    </row>
    <row r="152" spans="1:8" x14ac:dyDescent="0.25">
      <c r="E152" t="str">
        <f>""</f>
        <v/>
      </c>
      <c r="F152" t="str">
        <f>""</f>
        <v/>
      </c>
      <c r="H152" t="str">
        <f>"Lot Insurance"</f>
        <v>Lot Insurance</v>
      </c>
    </row>
    <row r="153" spans="1:8" x14ac:dyDescent="0.25">
      <c r="A153" t="s">
        <v>41</v>
      </c>
      <c r="B153">
        <v>3619</v>
      </c>
      <c r="C153" s="3">
        <v>32.51</v>
      </c>
      <c r="D153" s="5">
        <v>44180</v>
      </c>
      <c r="E153" t="str">
        <f>"205499"</f>
        <v>205499</v>
      </c>
      <c r="F153" t="str">
        <f>"BALL VALVE/ADAPTER/PCT#3"</f>
        <v>BALL VALVE/ADAPTER/PCT#3</v>
      </c>
      <c r="G153" s="3">
        <v>32.51</v>
      </c>
      <c r="H153" t="str">
        <f>"BALL VALVE/ADAPTER/PCT#3"</f>
        <v>BALL VALVE/ADAPTER/PCT#3</v>
      </c>
    </row>
    <row r="154" spans="1:8" x14ac:dyDescent="0.25">
      <c r="A154" t="s">
        <v>42</v>
      </c>
      <c r="B154">
        <v>3620</v>
      </c>
      <c r="C154" s="3">
        <v>184</v>
      </c>
      <c r="D154" s="5">
        <v>44180</v>
      </c>
      <c r="E154" t="str">
        <f>"20722"</f>
        <v>20722</v>
      </c>
      <c r="F154" t="str">
        <f>"TERMINATE/TEST/LABEL EXIST CAB"</f>
        <v>TERMINATE/TEST/LABEL EXIST CAB</v>
      </c>
      <c r="G154" s="3">
        <v>184</v>
      </c>
      <c r="H154" t="str">
        <f>"TERMINATE/TEST/LABEL EXIST CAB"</f>
        <v>TERMINATE/TEST/LABEL EXIST CAB</v>
      </c>
    </row>
    <row r="155" spans="1:8" x14ac:dyDescent="0.25">
      <c r="A155" t="s">
        <v>43</v>
      </c>
      <c r="B155">
        <v>3621</v>
      </c>
      <c r="C155" s="3">
        <v>375</v>
      </c>
      <c r="D155" s="5">
        <v>44180</v>
      </c>
      <c r="E155" t="str">
        <f>"202011300329"</f>
        <v>202011300329</v>
      </c>
      <c r="F155" t="str">
        <f>"423RD DISTRICT COURT 100620"</f>
        <v>423RD DISTRICT COURT 100620</v>
      </c>
      <c r="G155" s="3">
        <v>125</v>
      </c>
      <c r="H155" t="str">
        <f>"423RD DISTRICT COURT 100620"</f>
        <v>423RD DISTRICT COURT 100620</v>
      </c>
    </row>
    <row r="156" spans="1:8" x14ac:dyDescent="0.25">
      <c r="E156" t="str">
        <f>"202012030538"</f>
        <v>202012030538</v>
      </c>
      <c r="F156" t="str">
        <f>"423RD DIST COURT 12012020"</f>
        <v>423RD DIST COURT 12012020</v>
      </c>
      <c r="G156" s="3">
        <v>125</v>
      </c>
      <c r="H156" t="str">
        <f>"423RD DIST COURT 12012020"</f>
        <v>423RD DIST COURT 12012020</v>
      </c>
    </row>
    <row r="157" spans="1:8" x14ac:dyDescent="0.25">
      <c r="E157" t="str">
        <f>"202012070606"</f>
        <v>202012070606</v>
      </c>
      <c r="F157" t="str">
        <f>"COURT DATE 12/1/20"</f>
        <v>COURT DATE 12/1/20</v>
      </c>
      <c r="G157" s="3">
        <v>125</v>
      </c>
      <c r="H157" t="str">
        <f>"COURT DATE 12/1/20"</f>
        <v>COURT DATE 12/1/20</v>
      </c>
    </row>
    <row r="158" spans="1:8" x14ac:dyDescent="0.25">
      <c r="A158" t="s">
        <v>44</v>
      </c>
      <c r="B158">
        <v>3622</v>
      </c>
      <c r="C158" s="3">
        <v>29.28</v>
      </c>
      <c r="D158" s="5">
        <v>44180</v>
      </c>
      <c r="E158" t="str">
        <f>"20120105"</f>
        <v>20120105</v>
      </c>
      <c r="F158" t="str">
        <f>"SVC CONTRACT 11/02-12/01"</f>
        <v>SVC CONTRACT 11/02-12/01</v>
      </c>
      <c r="G158" s="3">
        <v>29.28</v>
      </c>
      <c r="H158" t="str">
        <f>"SVC CONTRACT 11/02-12/01"</f>
        <v>SVC CONTRACT 11/02-12/01</v>
      </c>
    </row>
    <row r="159" spans="1:8" x14ac:dyDescent="0.25">
      <c r="A159" t="s">
        <v>45</v>
      </c>
      <c r="B159">
        <v>3623</v>
      </c>
      <c r="C159" s="3">
        <v>1677.46</v>
      </c>
      <c r="D159" s="5">
        <v>44180</v>
      </c>
      <c r="E159" t="str">
        <f>"5543"</f>
        <v>5543</v>
      </c>
      <c r="F159" t="str">
        <f>"LABOR/REPAIR/PCT#1"</f>
        <v>LABOR/REPAIR/PCT#1</v>
      </c>
      <c r="G159" s="3">
        <v>941.18</v>
      </c>
      <c r="H159" t="str">
        <f>"LABOR/REPAIR/PCT#1"</f>
        <v>LABOR/REPAIR/PCT#1</v>
      </c>
    </row>
    <row r="160" spans="1:8" x14ac:dyDescent="0.25">
      <c r="E160" t="str">
        <f>"5589"</f>
        <v>5589</v>
      </c>
      <c r="F160" t="str">
        <f>"REPLACED SPRING/PCT#4"</f>
        <v>REPLACED SPRING/PCT#4</v>
      </c>
      <c r="G160" s="3">
        <v>220</v>
      </c>
      <c r="H160" t="str">
        <f>"REPLACED SPRING/PCT#4"</f>
        <v>REPLACED SPRING/PCT#4</v>
      </c>
    </row>
    <row r="161" spans="1:8" x14ac:dyDescent="0.25">
      <c r="E161" t="str">
        <f>"5608"</f>
        <v>5608</v>
      </c>
      <c r="F161" t="str">
        <f>"2002 INTL/PCT#1"</f>
        <v>2002 INTL/PCT#1</v>
      </c>
      <c r="G161" s="3">
        <v>516.28</v>
      </c>
      <c r="H161" t="str">
        <f>"2002 INTL/PCT#1"</f>
        <v>2002 INTL/PCT#1</v>
      </c>
    </row>
    <row r="162" spans="1:8" x14ac:dyDescent="0.25">
      <c r="A162" t="s">
        <v>46</v>
      </c>
      <c r="B162">
        <v>3624</v>
      </c>
      <c r="C162" s="3">
        <v>2110</v>
      </c>
      <c r="D162" s="5">
        <v>44180</v>
      </c>
      <c r="E162" t="str">
        <f>"192604"</f>
        <v>192604</v>
      </c>
      <c r="F162" t="str">
        <f>"ACCT#188757/RD&amp;BRIDGE/SIGN SHP"</f>
        <v>ACCT#188757/RD&amp;BRIDGE/SIGN SHP</v>
      </c>
      <c r="G162" s="3">
        <v>95</v>
      </c>
      <c r="H162" t="str">
        <f>"ACCT#188757/RD&amp;BRIDGE/SIGN SHP"</f>
        <v>ACCT#188757/RD&amp;BRIDGE/SIGN SHP</v>
      </c>
    </row>
    <row r="163" spans="1:8" x14ac:dyDescent="0.25">
      <c r="E163" t="str">
        <f>"192643"</f>
        <v>192643</v>
      </c>
      <c r="F163" t="str">
        <f>"ACCT#188757/COM CT JUVE BOOT C"</f>
        <v>ACCT#188757/COM CT JUVE BOOT C</v>
      </c>
      <c r="G163" s="3">
        <v>118.5</v>
      </c>
      <c r="H163" t="str">
        <f>"ACCT#188757/COM CT JUVE BOOT C"</f>
        <v>ACCT#188757/COM CT JUVE BOOT C</v>
      </c>
    </row>
    <row r="164" spans="1:8" x14ac:dyDescent="0.25">
      <c r="E164" t="str">
        <f>"192718"</f>
        <v>192718</v>
      </c>
      <c r="F164" t="str">
        <f>"ACCT#188757/MIKE FISHER BLDG"</f>
        <v>ACCT#188757/MIKE FISHER BLDG</v>
      </c>
      <c r="G164" s="3">
        <v>112</v>
      </c>
      <c r="H164" t="str">
        <f>"ACCT#188757/MIKE FISHER BLDG"</f>
        <v>ACCT#188757/MIKE FISHER BLDG</v>
      </c>
    </row>
    <row r="165" spans="1:8" x14ac:dyDescent="0.25">
      <c r="E165" t="str">
        <f>"193334"</f>
        <v>193334</v>
      </c>
      <c r="F165" t="str">
        <f>"ACCT#188757/EXT HABITAT OFFICE"</f>
        <v>ACCT#188757/EXT HABITAT OFFICE</v>
      </c>
      <c r="G165" s="3">
        <v>89</v>
      </c>
      <c r="H165" t="str">
        <f>"ACCT#188757/EXT HABITAT OFFICE"</f>
        <v>ACCT#188757/EXT HABITAT OFFICE</v>
      </c>
    </row>
    <row r="166" spans="1:8" x14ac:dyDescent="0.25">
      <c r="E166" t="str">
        <f>"193340"</f>
        <v>193340</v>
      </c>
      <c r="F166" t="str">
        <f>"ACCT#188757/HISTORIC JAIL"</f>
        <v>ACCT#188757/HISTORIC JAIL</v>
      </c>
      <c r="G166" s="3">
        <v>76</v>
      </c>
      <c r="H166" t="str">
        <f>"ACCT#188757/HISTORIC JAIL"</f>
        <v>ACCT#188757/HISTORIC JAIL</v>
      </c>
    </row>
    <row r="167" spans="1:8" x14ac:dyDescent="0.25">
      <c r="E167" t="str">
        <f>"193342"</f>
        <v>193342</v>
      </c>
      <c r="F167" t="str">
        <f>"ACCT#188757/CT HOUSE MAIN/ANNX"</f>
        <v>ACCT#188757/CT HOUSE MAIN/ANNX</v>
      </c>
      <c r="G167" s="3">
        <v>137</v>
      </c>
      <c r="H167" t="str">
        <f>"ACCT#188757/CT HOUSE MAIN/ANNX"</f>
        <v>ACCT#188757/CT HOUSE MAIN/ANNX</v>
      </c>
    </row>
    <row r="168" spans="1:8" x14ac:dyDescent="0.25">
      <c r="E168" t="str">
        <f>"193352"</f>
        <v>193352</v>
      </c>
      <c r="F168" t="str">
        <f>"ACCT#188757/JUVENILE PROB"</f>
        <v>ACCT#188757/JUVENILE PROB</v>
      </c>
      <c r="G168" s="3">
        <v>132</v>
      </c>
      <c r="H168" t="str">
        <f>"ACCT#188757/JUVENILE PROB"</f>
        <v>ACCT#188757/JUVENILE PROB</v>
      </c>
    </row>
    <row r="169" spans="1:8" x14ac:dyDescent="0.25">
      <c r="E169" t="str">
        <f>"193716"</f>
        <v>193716</v>
      </c>
      <c r="F169" t="str">
        <f>"ACCT#188757/LBJ BLDG/HLTH DEPT"</f>
        <v>ACCT#188757/LBJ BLDG/HLTH DEPT</v>
      </c>
      <c r="G169" s="3">
        <v>69</v>
      </c>
      <c r="H169" t="str">
        <f>"ACCT#188757/LBJ BLDG/HLTH DEPT"</f>
        <v>ACCT#188757/LBJ BLDG/HLTH DEPT</v>
      </c>
    </row>
    <row r="170" spans="1:8" x14ac:dyDescent="0.25">
      <c r="E170" t="str">
        <f>"193727"</f>
        <v>193727</v>
      </c>
      <c r="F170" t="str">
        <f>"ACCT#188757/PCT#4 RD &amp; BRIDGE"</f>
        <v>ACCT#188757/PCT#4 RD &amp; BRIDGE</v>
      </c>
      <c r="G170" s="3">
        <v>95.5</v>
      </c>
      <c r="H170" t="str">
        <f>"ACCT#188757/PCT#4 RD &amp; BRIDGE"</f>
        <v>ACCT#188757/PCT#4 RD &amp; BRIDGE</v>
      </c>
    </row>
    <row r="171" spans="1:8" x14ac:dyDescent="0.25">
      <c r="E171" t="str">
        <f>"193799"</f>
        <v>193799</v>
      </c>
      <c r="F171" t="str">
        <f>"ACCT#188757/TAX OFFICE"</f>
        <v>ACCT#188757/TAX OFFICE</v>
      </c>
      <c r="G171" s="3">
        <v>102</v>
      </c>
      <c r="H171" t="str">
        <f>"ACCT#188757/TAX OFFICE"</f>
        <v>ACCT#188757/TAX OFFICE</v>
      </c>
    </row>
    <row r="172" spans="1:8" x14ac:dyDescent="0.25">
      <c r="E172" t="str">
        <f>"195786"</f>
        <v>195786</v>
      </c>
      <c r="F172" t="str">
        <f>"ACCT#188757 ANIMAL SHELTER"</f>
        <v>ACCT#188757 ANIMAL SHELTER</v>
      </c>
      <c r="G172" s="3">
        <v>290</v>
      </c>
      <c r="H172" t="str">
        <f>"ACCT#188757 ANIMAL SHELTER"</f>
        <v>ACCT#188757 ANIMAL SHELTER</v>
      </c>
    </row>
    <row r="173" spans="1:8" x14ac:dyDescent="0.25">
      <c r="E173" t="str">
        <f>"195825"</f>
        <v>195825</v>
      </c>
      <c r="F173" t="str">
        <f>"ACCT#188757 CEDAR CREEK PARK"</f>
        <v>ACCT#188757 CEDAR CREEK PARK</v>
      </c>
      <c r="G173" s="3">
        <v>125</v>
      </c>
      <c r="H173" t="str">
        <f>"ACCT#188757 CEDAR CREEK PARK"</f>
        <v>ACCT#188757 CEDAR CREEK PARK</v>
      </c>
    </row>
    <row r="174" spans="1:8" x14ac:dyDescent="0.25">
      <c r="E174" t="str">
        <f>"196143"</f>
        <v>196143</v>
      </c>
      <c r="F174" t="str">
        <f>"ACCT#188757/LOST PINES PARK"</f>
        <v>ACCT#188757/LOST PINES PARK</v>
      </c>
      <c r="G174" s="3">
        <v>75</v>
      </c>
      <c r="H174" t="str">
        <f>"ACCT#188757/LOST PINES PARK"</f>
        <v>ACCT#188757/LOST PINES PARK</v>
      </c>
    </row>
    <row r="175" spans="1:8" x14ac:dyDescent="0.25">
      <c r="E175" t="str">
        <f>"196350"</f>
        <v>196350</v>
      </c>
      <c r="F175" t="str">
        <f>"ACCT#188757/COURTHOUSE MAIN/AN"</f>
        <v>ACCT#188757/COURTHOUSE MAIN/AN</v>
      </c>
      <c r="G175" s="3">
        <v>594</v>
      </c>
      <c r="H175" t="str">
        <f>"ACCT#188757/COURTHOUSE MAIN/AN"</f>
        <v>ACCT#188757/COURTHOUSE MAIN/AN</v>
      </c>
    </row>
    <row r="176" spans="1:8" x14ac:dyDescent="0.25">
      <c r="A176" t="s">
        <v>47</v>
      </c>
      <c r="B176">
        <v>3625</v>
      </c>
      <c r="C176" s="3">
        <v>904</v>
      </c>
      <c r="D176" s="5">
        <v>44180</v>
      </c>
      <c r="E176" t="str">
        <f>"5880"</f>
        <v>5880</v>
      </c>
      <c r="F176" t="str">
        <f>"INV 5880"</f>
        <v>INV 5880</v>
      </c>
      <c r="G176" s="3">
        <v>600</v>
      </c>
      <c r="H176" t="str">
        <f>"INV 5880"</f>
        <v>INV 5880</v>
      </c>
    </row>
    <row r="177" spans="1:8" x14ac:dyDescent="0.25">
      <c r="E177" t="str">
        <f>"5881"</f>
        <v>5881</v>
      </c>
      <c r="F177" t="str">
        <f>"INV 5881"</f>
        <v>INV 5881</v>
      </c>
      <c r="G177" s="3">
        <v>304</v>
      </c>
      <c r="H177" t="str">
        <f>"INV 5881"</f>
        <v>INV 5881</v>
      </c>
    </row>
    <row r="178" spans="1:8" x14ac:dyDescent="0.25">
      <c r="A178" t="s">
        <v>48</v>
      </c>
      <c r="B178">
        <v>3626</v>
      </c>
      <c r="C178" s="3">
        <v>5750</v>
      </c>
      <c r="D178" s="5">
        <v>44180</v>
      </c>
      <c r="E178" t="str">
        <f>"WA 2455-2020"</f>
        <v>WA 2455-2020</v>
      </c>
      <c r="F178" t="str">
        <f>"RIGHT OF WAY DETERMINATION/P1"</f>
        <v>RIGHT OF WAY DETERMINATION/P1</v>
      </c>
      <c r="G178" s="3">
        <v>4150</v>
      </c>
      <c r="H178" t="str">
        <f>"RIGHT OF WAY DETERMINATION/P1"</f>
        <v>RIGHT OF WAY DETERMINATION/P1</v>
      </c>
    </row>
    <row r="179" spans="1:8" x14ac:dyDescent="0.25">
      <c r="E179" t="str">
        <f>"WA 2511-2020"</f>
        <v>WA 2511-2020</v>
      </c>
      <c r="F179" t="str">
        <f>"RIGHT OF WAY/PCT#1"</f>
        <v>RIGHT OF WAY/PCT#1</v>
      </c>
      <c r="G179" s="3">
        <v>1600</v>
      </c>
      <c r="H179" t="str">
        <f>"RIGHT OF WAY/PCT#1"</f>
        <v>RIGHT OF WAY/PCT#1</v>
      </c>
    </row>
    <row r="180" spans="1:8" x14ac:dyDescent="0.25">
      <c r="A180" t="s">
        <v>49</v>
      </c>
      <c r="B180">
        <v>3627</v>
      </c>
      <c r="C180" s="3">
        <v>6791.89</v>
      </c>
      <c r="D180" s="5">
        <v>44180</v>
      </c>
      <c r="E180" t="str">
        <f>"202012080661"</f>
        <v>202012080661</v>
      </c>
      <c r="F180" t="str">
        <f>"Proposal"</f>
        <v>Proposal</v>
      </c>
      <c r="G180" s="3">
        <v>6791.89</v>
      </c>
      <c r="H180" t="str">
        <f>"Labor"</f>
        <v>Labor</v>
      </c>
    </row>
    <row r="181" spans="1:8" x14ac:dyDescent="0.25">
      <c r="E181" t="str">
        <f>""</f>
        <v/>
      </c>
      <c r="F181" t="str">
        <f>""</f>
        <v/>
      </c>
      <c r="H181" t="str">
        <f>"Additional Repair"</f>
        <v>Additional Repair</v>
      </c>
    </row>
    <row r="182" spans="1:8" x14ac:dyDescent="0.25">
      <c r="E182" t="str">
        <f>""</f>
        <v/>
      </c>
      <c r="F182" t="str">
        <f>""</f>
        <v/>
      </c>
      <c r="H182" t="str">
        <f>"General Conditions"</f>
        <v>General Conditions</v>
      </c>
    </row>
    <row r="183" spans="1:8" x14ac:dyDescent="0.25">
      <c r="A183" t="s">
        <v>50</v>
      </c>
      <c r="B183">
        <v>3628</v>
      </c>
      <c r="C183" s="3">
        <v>4360.42</v>
      </c>
      <c r="D183" s="5">
        <v>44180</v>
      </c>
      <c r="E183" t="str">
        <f>"11T1-KRKR-Q3TP"</f>
        <v>11T1-KRKR-Q3TP</v>
      </c>
      <c r="F183" t="str">
        <f>"AMAZON CAPITAL SERVICES INC"</f>
        <v>AMAZON CAPITAL SERVICES INC</v>
      </c>
      <c r="G183" s="3">
        <v>2610.6</v>
      </c>
      <c r="H183" t="str">
        <f>"Office Chairs"</f>
        <v>Office Chairs</v>
      </c>
    </row>
    <row r="184" spans="1:8" x14ac:dyDescent="0.25">
      <c r="E184" t="str">
        <f>"202012030495"</f>
        <v>202012030495</v>
      </c>
      <c r="F184" t="str">
        <f>"AMAZON CAPITAL SERVICES INC"</f>
        <v>AMAZON CAPITAL SERVICES INC</v>
      </c>
      <c r="G184" s="3">
        <v>629.5</v>
      </c>
      <c r="H184" t="str">
        <f>"Barricades"</f>
        <v>Barricades</v>
      </c>
    </row>
    <row r="185" spans="1:8" x14ac:dyDescent="0.25">
      <c r="E185" t="str">
        <f>"202012030496"</f>
        <v>202012030496</v>
      </c>
      <c r="F185" t="str">
        <f>"Amazon Order"</f>
        <v>Amazon Order</v>
      </c>
      <c r="G185" s="3">
        <v>227.64</v>
      </c>
      <c r="H185" t="str">
        <f>"Screen Protector"</f>
        <v>Screen Protector</v>
      </c>
    </row>
    <row r="186" spans="1:8" x14ac:dyDescent="0.25">
      <c r="E186" t="str">
        <f>"202012030500"</f>
        <v>202012030500</v>
      </c>
      <c r="F186" t="str">
        <f>"Amazon Order"</f>
        <v>Amazon Order</v>
      </c>
      <c r="G186" s="3">
        <v>38.5</v>
      </c>
      <c r="H186" t="str">
        <f>"Mailers"</f>
        <v>Mailers</v>
      </c>
    </row>
    <row r="187" spans="1:8" x14ac:dyDescent="0.25">
      <c r="E187" t="str">
        <f>"202012030502"</f>
        <v>202012030502</v>
      </c>
      <c r="F187" t="str">
        <f>"AMAZON CAPITAL SERVICES INC"</f>
        <v>AMAZON CAPITAL SERVICES INC</v>
      </c>
      <c r="G187" s="3">
        <v>35.99</v>
      </c>
      <c r="H187" t="str">
        <f>"Ultraviolet Light"</f>
        <v>Ultraviolet Light</v>
      </c>
    </row>
    <row r="188" spans="1:8" x14ac:dyDescent="0.25">
      <c r="E188" t="str">
        <f>"202012030503"</f>
        <v>202012030503</v>
      </c>
      <c r="F188" t="str">
        <f>"Amazon Order"</f>
        <v>Amazon Order</v>
      </c>
      <c r="G188" s="3">
        <v>312.7</v>
      </c>
      <c r="H188" t="str">
        <f>"Stone Grinder Kit"</f>
        <v>Stone Grinder Kit</v>
      </c>
    </row>
    <row r="189" spans="1:8" x14ac:dyDescent="0.25">
      <c r="E189" t="str">
        <f>""</f>
        <v/>
      </c>
      <c r="F189" t="str">
        <f>""</f>
        <v/>
      </c>
      <c r="H189" t="str">
        <f>"Polishing Pads"</f>
        <v>Polishing Pads</v>
      </c>
    </row>
    <row r="190" spans="1:8" x14ac:dyDescent="0.25">
      <c r="E190" t="str">
        <f>"202012030554"</f>
        <v>202012030554</v>
      </c>
      <c r="F190" t="str">
        <f>"AMAZON CAPITAL SERVICES INC"</f>
        <v>AMAZON CAPITAL SERVICES INC</v>
      </c>
      <c r="G190" s="3">
        <v>96.64</v>
      </c>
      <c r="H190" t="str">
        <f>"Toner Cartridge"</f>
        <v>Toner Cartridge</v>
      </c>
    </row>
    <row r="191" spans="1:8" x14ac:dyDescent="0.25">
      <c r="E191" t="str">
        <f>""</f>
        <v/>
      </c>
      <c r="F191" t="str">
        <f>""</f>
        <v/>
      </c>
      <c r="H191" t="str">
        <f>"Shipping"</f>
        <v>Shipping</v>
      </c>
    </row>
    <row r="192" spans="1:8" x14ac:dyDescent="0.25">
      <c r="E192" t="str">
        <f>"202012030555"</f>
        <v>202012030555</v>
      </c>
      <c r="F192" t="str">
        <f>"AMAZON CAPITAL SERVICES INC"</f>
        <v>AMAZON CAPITAL SERVICES INC</v>
      </c>
      <c r="G192" s="3">
        <v>73.98</v>
      </c>
      <c r="H192" t="str">
        <f>"DDR3L"</f>
        <v>DDR3L</v>
      </c>
    </row>
    <row r="193" spans="1:8" x14ac:dyDescent="0.25">
      <c r="E193" t="str">
        <f>"202012030556"</f>
        <v>202012030556</v>
      </c>
      <c r="F193" t="str">
        <f>"AMAZON CAPITAL SERVICES INC"</f>
        <v>AMAZON CAPITAL SERVICES INC</v>
      </c>
      <c r="G193" s="3">
        <v>195.93</v>
      </c>
      <c r="H193" t="str">
        <f>"R500 Presentation"</f>
        <v>R500 Presentation</v>
      </c>
    </row>
    <row r="194" spans="1:8" x14ac:dyDescent="0.25">
      <c r="E194" t="str">
        <f>""</f>
        <v/>
      </c>
      <c r="F194" t="str">
        <f>""</f>
        <v/>
      </c>
      <c r="H194" t="str">
        <f>"Busylight"</f>
        <v>Busylight</v>
      </c>
    </row>
    <row r="195" spans="1:8" x14ac:dyDescent="0.25">
      <c r="E195" t="str">
        <f>""</f>
        <v/>
      </c>
      <c r="F195" t="str">
        <f>""</f>
        <v/>
      </c>
      <c r="H195" t="str">
        <f>"Sennheiser"</f>
        <v>Sennheiser</v>
      </c>
    </row>
    <row r="196" spans="1:8" x14ac:dyDescent="0.25">
      <c r="E196" t="str">
        <f>"202012030557"</f>
        <v>202012030557</v>
      </c>
      <c r="F196" t="str">
        <f>"AMAZON CAPITAL SERVICES INC"</f>
        <v>AMAZON CAPITAL SERVICES INC</v>
      </c>
      <c r="G196" s="3">
        <v>84</v>
      </c>
      <c r="H196" t="str">
        <f>"Stylus"</f>
        <v>Stylus</v>
      </c>
    </row>
    <row r="197" spans="1:8" x14ac:dyDescent="0.25">
      <c r="E197" t="str">
        <f>"202012030564"</f>
        <v>202012030564</v>
      </c>
      <c r="F197" t="str">
        <f>"AMAZON CAPITAL SERVICES INC"</f>
        <v>AMAZON CAPITAL SERVICES INC</v>
      </c>
      <c r="G197" s="3">
        <v>14.98</v>
      </c>
      <c r="H197" t="str">
        <f>"Stamp"</f>
        <v>Stamp</v>
      </c>
    </row>
    <row r="198" spans="1:8" x14ac:dyDescent="0.25">
      <c r="E198" t="str">
        <f>""</f>
        <v/>
      </c>
      <c r="F198" t="str">
        <f>""</f>
        <v/>
      </c>
      <c r="H198" t="str">
        <f>"Shipping"</f>
        <v>Shipping</v>
      </c>
    </row>
    <row r="199" spans="1:8" x14ac:dyDescent="0.25">
      <c r="E199" t="str">
        <f>"202012030565"</f>
        <v>202012030565</v>
      </c>
      <c r="F199" t="str">
        <f>"AMAZON CAPITAL SERVICES INC"</f>
        <v>AMAZON CAPITAL SERVICES INC</v>
      </c>
      <c r="G199" s="3">
        <v>39.96</v>
      </c>
      <c r="H199" t="str">
        <f>"lOCTITE SUPER GLUE"</f>
        <v>lOCTITE SUPER GLUE</v>
      </c>
    </row>
    <row r="200" spans="1:8" x14ac:dyDescent="0.25">
      <c r="A200" t="s">
        <v>51</v>
      </c>
      <c r="B200">
        <v>3629</v>
      </c>
      <c r="C200" s="3">
        <v>2487.46</v>
      </c>
      <c r="D200" s="5">
        <v>44180</v>
      </c>
      <c r="E200" t="str">
        <f>"29758 D"</f>
        <v>29758 D</v>
      </c>
      <c r="F200" t="str">
        <f>"INV 29758 D"</f>
        <v>INV 29758 D</v>
      </c>
      <c r="G200" s="3">
        <v>2487.46</v>
      </c>
      <c r="H200" t="str">
        <f>"INV 29758 D"</f>
        <v>INV 29758 D</v>
      </c>
    </row>
    <row r="201" spans="1:8" x14ac:dyDescent="0.25">
      <c r="A201" t="s">
        <v>52</v>
      </c>
      <c r="B201">
        <v>3630</v>
      </c>
      <c r="C201" s="3">
        <v>311.91000000000003</v>
      </c>
      <c r="D201" s="5">
        <v>44180</v>
      </c>
      <c r="E201" t="str">
        <f>"202012080651"</f>
        <v>202012080651</v>
      </c>
      <c r="F201" t="str">
        <f>"ACCT#0005 PCT4"</f>
        <v>ACCT#0005 PCT4</v>
      </c>
      <c r="G201" s="3">
        <v>311.91000000000003</v>
      </c>
      <c r="H201" t="str">
        <f>"ACCT#0005 PCT4"</f>
        <v>ACCT#0005 PCT4</v>
      </c>
    </row>
    <row r="202" spans="1:8" x14ac:dyDescent="0.25">
      <c r="A202" t="s">
        <v>53</v>
      </c>
      <c r="B202">
        <v>3631</v>
      </c>
      <c r="C202" s="3">
        <v>4437.21</v>
      </c>
      <c r="D202" s="5">
        <v>44180</v>
      </c>
      <c r="E202" t="str">
        <f>"202011300316"</f>
        <v>202011300316</v>
      </c>
      <c r="F202" t="str">
        <f>"GRANT REIMBURSEMENT - OCTOBER"</f>
        <v>GRANT REIMBURSEMENT - OCTOBER</v>
      </c>
      <c r="G202" s="3">
        <v>4437.21</v>
      </c>
      <c r="H202" t="str">
        <f>"GRANT REIMBURSEMENT - OCTOBER"</f>
        <v>GRANT REIMBURSEMENT - OCTOBER</v>
      </c>
    </row>
    <row r="203" spans="1:8" x14ac:dyDescent="0.25">
      <c r="A203" t="s">
        <v>54</v>
      </c>
      <c r="B203">
        <v>3632</v>
      </c>
      <c r="C203" s="3">
        <v>1033.5</v>
      </c>
      <c r="D203" s="5">
        <v>44180</v>
      </c>
      <c r="E203" t="str">
        <f>"202012080676"</f>
        <v>202012080676</v>
      </c>
      <c r="F203" t="str">
        <f>"TRASH REMOVAL 12/1-12/13 / P4"</f>
        <v>TRASH REMOVAL 12/1-12/13 / P4</v>
      </c>
      <c r="G203" s="3">
        <v>559</v>
      </c>
      <c r="H203" t="str">
        <f>"TRASH REMOVAL 12/1-12/13 / P4"</f>
        <v>TRASH REMOVAL 12/1-12/13 / P4</v>
      </c>
    </row>
    <row r="204" spans="1:8" x14ac:dyDescent="0.25">
      <c r="E204" t="str">
        <f>"202012080677"</f>
        <v>202012080677</v>
      </c>
      <c r="F204" t="str">
        <f>"TRASH REMOVAL 11/23-11/30 / P4"</f>
        <v>TRASH REMOVAL 11/23-11/30 / P4</v>
      </c>
      <c r="G204" s="3">
        <v>474.5</v>
      </c>
      <c r="H204" t="str">
        <f>"TRASH REMOVAL 11/23-11/30 / P4"</f>
        <v>TRASH REMOVAL 11/23-11/30 / P4</v>
      </c>
    </row>
    <row r="205" spans="1:8" x14ac:dyDescent="0.25">
      <c r="A205" t="s">
        <v>55</v>
      </c>
      <c r="B205">
        <v>3633</v>
      </c>
      <c r="C205" s="3">
        <v>2660</v>
      </c>
      <c r="D205" s="5">
        <v>44180</v>
      </c>
      <c r="E205" t="str">
        <f>"22"</f>
        <v>22</v>
      </c>
      <c r="F205" t="str">
        <f>"PROF SVCS/NOV 17-26  DEC 1-3"</f>
        <v>PROF SVCS/NOV 17-26  DEC 1-3</v>
      </c>
      <c r="G205" s="3">
        <v>2660</v>
      </c>
      <c r="H205" t="str">
        <f>"PROF SVCS/NOV 17-26  DEC 1-3"</f>
        <v>PROF SVCS/NOV 17-26  DEC 1-3</v>
      </c>
    </row>
    <row r="206" spans="1:8" x14ac:dyDescent="0.25">
      <c r="E206" t="str">
        <f>""</f>
        <v/>
      </c>
      <c r="F206" t="str">
        <f>""</f>
        <v/>
      </c>
      <c r="H206" t="str">
        <f>"PROF SVCS/NOV 17-26  DEC 1-3"</f>
        <v>PROF SVCS/NOV 17-26  DEC 1-3</v>
      </c>
    </row>
    <row r="207" spans="1:8" x14ac:dyDescent="0.25">
      <c r="A207" t="s">
        <v>56</v>
      </c>
      <c r="B207">
        <v>3634</v>
      </c>
      <c r="C207" s="3">
        <v>2500</v>
      </c>
      <c r="D207" s="5">
        <v>44180</v>
      </c>
      <c r="E207" t="str">
        <f>"394581"</f>
        <v>394581</v>
      </c>
      <c r="F207" t="str">
        <f>"DAVID CONTI"</f>
        <v>DAVID CONTI</v>
      </c>
      <c r="G207" s="3">
        <v>2500</v>
      </c>
      <c r="H207" t="str">
        <f>"Fenc Repair"</f>
        <v>Fenc Repair</v>
      </c>
    </row>
    <row r="208" spans="1:8" x14ac:dyDescent="0.25">
      <c r="A208" t="s">
        <v>57</v>
      </c>
      <c r="B208">
        <v>3635</v>
      </c>
      <c r="C208" s="3">
        <v>2270.2199999999998</v>
      </c>
      <c r="D208" s="5">
        <v>44180</v>
      </c>
      <c r="E208" t="str">
        <f>"95910809"</f>
        <v>95910809</v>
      </c>
      <c r="F208" t="str">
        <f>"ACCT#10187718 PCT2"</f>
        <v>ACCT#10187718 PCT2</v>
      </c>
      <c r="G208" s="3">
        <v>2270.2199999999998</v>
      </c>
      <c r="H208" t="str">
        <f>"ACCT#10187718 PCT2"</f>
        <v>ACCT#10187718 PCT2</v>
      </c>
    </row>
    <row r="209" spans="1:8" x14ac:dyDescent="0.25">
      <c r="A209" t="s">
        <v>58</v>
      </c>
      <c r="B209">
        <v>3636</v>
      </c>
      <c r="C209" s="3">
        <v>31987.9</v>
      </c>
      <c r="D209" s="5">
        <v>44180</v>
      </c>
      <c r="E209" t="str">
        <f>"869395921048"</f>
        <v>869395921048</v>
      </c>
      <c r="F209" t="str">
        <f>"Statement"</f>
        <v>Statement</v>
      </c>
      <c r="G209" s="3">
        <v>31987.9</v>
      </c>
      <c r="H209" t="str">
        <f>"fuel"</f>
        <v>fuel</v>
      </c>
    </row>
    <row r="210" spans="1:8" x14ac:dyDescent="0.25">
      <c r="E210" t="str">
        <f>""</f>
        <v/>
      </c>
      <c r="F210" t="str">
        <f>""</f>
        <v/>
      </c>
      <c r="H210" t="str">
        <f>"tax"</f>
        <v>tax</v>
      </c>
    </row>
    <row r="211" spans="1:8" x14ac:dyDescent="0.25">
      <c r="E211" t="str">
        <f>""</f>
        <v/>
      </c>
      <c r="F211" t="str">
        <f>""</f>
        <v/>
      </c>
      <c r="H211" t="str">
        <f>"fuel"</f>
        <v>fuel</v>
      </c>
    </row>
    <row r="212" spans="1:8" x14ac:dyDescent="0.25">
      <c r="E212" t="str">
        <f>""</f>
        <v/>
      </c>
      <c r="F212" t="str">
        <f>""</f>
        <v/>
      </c>
      <c r="H212" t="str">
        <f>"tax"</f>
        <v>tax</v>
      </c>
    </row>
    <row r="213" spans="1:8" x14ac:dyDescent="0.25">
      <c r="E213" t="str">
        <f>""</f>
        <v/>
      </c>
      <c r="F213" t="str">
        <f>""</f>
        <v/>
      </c>
      <c r="H213" t="str">
        <f>"fuel"</f>
        <v>fuel</v>
      </c>
    </row>
    <row r="214" spans="1:8" x14ac:dyDescent="0.25">
      <c r="E214" t="str">
        <f>""</f>
        <v/>
      </c>
      <c r="F214" t="str">
        <f>""</f>
        <v/>
      </c>
      <c r="H214" t="str">
        <f>"tax"</f>
        <v>tax</v>
      </c>
    </row>
    <row r="215" spans="1:8" x14ac:dyDescent="0.25">
      <c r="E215" t="str">
        <f>""</f>
        <v/>
      </c>
      <c r="F215" t="str">
        <f>""</f>
        <v/>
      </c>
      <c r="H215" t="str">
        <f>"maintenance"</f>
        <v>maintenance</v>
      </c>
    </row>
    <row r="216" spans="1:8" x14ac:dyDescent="0.25">
      <c r="E216" t="str">
        <f>""</f>
        <v/>
      </c>
      <c r="F216" t="str">
        <f>""</f>
        <v/>
      </c>
      <c r="H216" t="str">
        <f>"fuel"</f>
        <v>fuel</v>
      </c>
    </row>
    <row r="217" spans="1:8" x14ac:dyDescent="0.25">
      <c r="E217" t="str">
        <f>""</f>
        <v/>
      </c>
      <c r="F217" t="str">
        <f>""</f>
        <v/>
      </c>
      <c r="H217" t="str">
        <f>"tax"</f>
        <v>tax</v>
      </c>
    </row>
    <row r="218" spans="1:8" x14ac:dyDescent="0.25">
      <c r="E218" t="str">
        <f>""</f>
        <v/>
      </c>
      <c r="F218" t="str">
        <f>""</f>
        <v/>
      </c>
      <c r="H218" t="str">
        <f>"maintenance"</f>
        <v>maintenance</v>
      </c>
    </row>
    <row r="219" spans="1:8" x14ac:dyDescent="0.25">
      <c r="E219" t="str">
        <f>""</f>
        <v/>
      </c>
      <c r="F219" t="str">
        <f>""</f>
        <v/>
      </c>
      <c r="H219" t="str">
        <f>"fuel"</f>
        <v>fuel</v>
      </c>
    </row>
    <row r="220" spans="1:8" x14ac:dyDescent="0.25">
      <c r="E220" t="str">
        <f>""</f>
        <v/>
      </c>
      <c r="F220" t="str">
        <f>""</f>
        <v/>
      </c>
      <c r="H220" t="str">
        <f>"tax"</f>
        <v>tax</v>
      </c>
    </row>
    <row r="221" spans="1:8" x14ac:dyDescent="0.25">
      <c r="E221" t="str">
        <f>""</f>
        <v/>
      </c>
      <c r="F221" t="str">
        <f>""</f>
        <v/>
      </c>
      <c r="H221" t="str">
        <f>"maintenance"</f>
        <v>maintenance</v>
      </c>
    </row>
    <row r="222" spans="1:8" x14ac:dyDescent="0.25">
      <c r="E222" t="str">
        <f>""</f>
        <v/>
      </c>
      <c r="F222" t="str">
        <f>""</f>
        <v/>
      </c>
      <c r="H222" t="str">
        <f>"fuel"</f>
        <v>fuel</v>
      </c>
    </row>
    <row r="223" spans="1:8" x14ac:dyDescent="0.25">
      <c r="E223" t="str">
        <f>""</f>
        <v/>
      </c>
      <c r="F223" t="str">
        <f>""</f>
        <v/>
      </c>
      <c r="H223" t="str">
        <f>"maintenance"</f>
        <v>maintenance</v>
      </c>
    </row>
    <row r="224" spans="1:8" x14ac:dyDescent="0.25">
      <c r="E224" t="str">
        <f>""</f>
        <v/>
      </c>
      <c r="F224" t="str">
        <f>""</f>
        <v/>
      </c>
      <c r="H224" t="str">
        <f>"fuel"</f>
        <v>fuel</v>
      </c>
    </row>
    <row r="225" spans="1:8" x14ac:dyDescent="0.25">
      <c r="E225" t="str">
        <f>""</f>
        <v/>
      </c>
      <c r="F225" t="str">
        <f>""</f>
        <v/>
      </c>
      <c r="H225" t="str">
        <f>"tax"</f>
        <v>tax</v>
      </c>
    </row>
    <row r="226" spans="1:8" x14ac:dyDescent="0.25">
      <c r="E226" t="str">
        <f>""</f>
        <v/>
      </c>
      <c r="F226" t="str">
        <f>""</f>
        <v/>
      </c>
      <c r="H226" t="str">
        <f>"fuel"</f>
        <v>fuel</v>
      </c>
    </row>
    <row r="227" spans="1:8" x14ac:dyDescent="0.25">
      <c r="E227" t="str">
        <f>""</f>
        <v/>
      </c>
      <c r="F227" t="str">
        <f>""</f>
        <v/>
      </c>
      <c r="H227" t="str">
        <f>"tax"</f>
        <v>tax</v>
      </c>
    </row>
    <row r="228" spans="1:8" x14ac:dyDescent="0.25">
      <c r="E228" t="str">
        <f>""</f>
        <v/>
      </c>
      <c r="F228" t="str">
        <f>""</f>
        <v/>
      </c>
      <c r="H228" t="str">
        <f>"maintenance"</f>
        <v>maintenance</v>
      </c>
    </row>
    <row r="229" spans="1:8" x14ac:dyDescent="0.25">
      <c r="E229" t="str">
        <f>""</f>
        <v/>
      </c>
      <c r="F229" t="str">
        <f>""</f>
        <v/>
      </c>
      <c r="H229" t="str">
        <f>"fuel"</f>
        <v>fuel</v>
      </c>
    </row>
    <row r="230" spans="1:8" x14ac:dyDescent="0.25">
      <c r="E230" t="str">
        <f>""</f>
        <v/>
      </c>
      <c r="F230" t="str">
        <f>""</f>
        <v/>
      </c>
      <c r="H230" t="str">
        <f>"tax"</f>
        <v>tax</v>
      </c>
    </row>
    <row r="231" spans="1:8" x14ac:dyDescent="0.25">
      <c r="E231" t="str">
        <f>""</f>
        <v/>
      </c>
      <c r="F231" t="str">
        <f>""</f>
        <v/>
      </c>
      <c r="H231" t="str">
        <f>"fuel"</f>
        <v>fuel</v>
      </c>
    </row>
    <row r="232" spans="1:8" x14ac:dyDescent="0.25">
      <c r="E232" t="str">
        <f>""</f>
        <v/>
      </c>
      <c r="F232" t="str">
        <f>""</f>
        <v/>
      </c>
      <c r="H232" t="str">
        <f>"tax"</f>
        <v>tax</v>
      </c>
    </row>
    <row r="233" spans="1:8" x14ac:dyDescent="0.25">
      <c r="E233" t="str">
        <f>""</f>
        <v/>
      </c>
      <c r="F233" t="str">
        <f>""</f>
        <v/>
      </c>
      <c r="H233" t="str">
        <f>"fuel"</f>
        <v>fuel</v>
      </c>
    </row>
    <row r="234" spans="1:8" x14ac:dyDescent="0.25">
      <c r="E234" t="str">
        <f>""</f>
        <v/>
      </c>
      <c r="F234" t="str">
        <f>""</f>
        <v/>
      </c>
      <c r="H234" t="str">
        <f>"tax"</f>
        <v>tax</v>
      </c>
    </row>
    <row r="235" spans="1:8" x14ac:dyDescent="0.25">
      <c r="E235" t="str">
        <f>""</f>
        <v/>
      </c>
      <c r="F235" t="str">
        <f>""</f>
        <v/>
      </c>
      <c r="H235" t="str">
        <f>"maintenance"</f>
        <v>maintenance</v>
      </c>
    </row>
    <row r="236" spans="1:8" x14ac:dyDescent="0.25">
      <c r="A236" t="s">
        <v>59</v>
      </c>
      <c r="B236">
        <v>3637</v>
      </c>
      <c r="C236" s="3">
        <v>150</v>
      </c>
      <c r="D236" s="5">
        <v>44180</v>
      </c>
      <c r="E236" t="str">
        <f>"156904"</f>
        <v>156904</v>
      </c>
      <c r="F236" t="str">
        <f>"CLEANING SERVICES PCT2"</f>
        <v>CLEANING SERVICES PCT2</v>
      </c>
      <c r="G236" s="3">
        <v>150</v>
      </c>
      <c r="H236" t="str">
        <f>"CLEANING SERVICES PCT2"</f>
        <v>CLEANING SERVICES PCT2</v>
      </c>
    </row>
    <row r="237" spans="1:8" x14ac:dyDescent="0.25">
      <c r="A237" t="s">
        <v>60</v>
      </c>
      <c r="B237">
        <v>3638</v>
      </c>
      <c r="C237" s="3">
        <v>110</v>
      </c>
      <c r="D237" s="5">
        <v>44180</v>
      </c>
      <c r="E237" t="str">
        <f>"16588"</f>
        <v>16588</v>
      </c>
      <c r="F237" t="str">
        <f>"ACCT#1267/ANIMAL SHELTER"</f>
        <v>ACCT#1267/ANIMAL SHELTER</v>
      </c>
      <c r="G237" s="3">
        <v>110</v>
      </c>
      <c r="H237" t="str">
        <f>"ACCT#1267/ANIMAL SHELTER"</f>
        <v>ACCT#1267/ANIMAL SHELTER</v>
      </c>
    </row>
    <row r="238" spans="1:8" x14ac:dyDescent="0.25">
      <c r="A238" t="s">
        <v>61</v>
      </c>
      <c r="B238">
        <v>3639</v>
      </c>
      <c r="C238" s="3">
        <v>57.9</v>
      </c>
      <c r="D238" s="5">
        <v>44180</v>
      </c>
      <c r="E238" t="str">
        <f>"202012080686"</f>
        <v>202012080686</v>
      </c>
      <c r="F238" t="str">
        <f>"REIMBURSE MASK/PANTS"</f>
        <v>REIMBURSE MASK/PANTS</v>
      </c>
      <c r="G238" s="3">
        <v>57.9</v>
      </c>
      <c r="H238" t="str">
        <f>"REIMBURSE MASK/PANTS"</f>
        <v>REIMBURSE MASK/PANTS</v>
      </c>
    </row>
    <row r="239" spans="1:8" x14ac:dyDescent="0.25">
      <c r="A239" t="s">
        <v>62</v>
      </c>
      <c r="B239">
        <v>3640</v>
      </c>
      <c r="C239" s="3">
        <v>9700</v>
      </c>
      <c r="D239" s="5">
        <v>44180</v>
      </c>
      <c r="E239" t="str">
        <f>"202012030499"</f>
        <v>202012030499</v>
      </c>
      <c r="F239" t="str">
        <f>"BERTETTO QUALITY TRAILERS AND"</f>
        <v>BERTETTO QUALITY TRAILERS AND</v>
      </c>
      <c r="G239" s="3">
        <v>9700</v>
      </c>
      <c r="H239" t="str">
        <f>"83 x16' Trailer"</f>
        <v>83 x16' Trailer</v>
      </c>
    </row>
    <row r="240" spans="1:8" x14ac:dyDescent="0.25">
      <c r="E240" t="str">
        <f>""</f>
        <v/>
      </c>
      <c r="F240" t="str">
        <f>""</f>
        <v/>
      </c>
      <c r="H240" t="str">
        <f>"20' Trailer"</f>
        <v>20' Trailer</v>
      </c>
    </row>
    <row r="241" spans="1:8" x14ac:dyDescent="0.25">
      <c r="A241" t="s">
        <v>63</v>
      </c>
      <c r="B241">
        <v>3641</v>
      </c>
      <c r="C241" s="3">
        <v>145</v>
      </c>
      <c r="D241" s="5">
        <v>44180</v>
      </c>
      <c r="E241" t="str">
        <f>"0000054788"</f>
        <v>0000054788</v>
      </c>
      <c r="F241" t="str">
        <f>"INV 0000054788"</f>
        <v>INV 0000054788</v>
      </c>
      <c r="G241" s="3">
        <v>145</v>
      </c>
      <c r="H241" t="str">
        <f>"INV 0000054788"</f>
        <v>INV 0000054788</v>
      </c>
    </row>
    <row r="242" spans="1:8" x14ac:dyDescent="0.25">
      <c r="A242" t="s">
        <v>64</v>
      </c>
      <c r="B242">
        <v>3642</v>
      </c>
      <c r="C242" s="3">
        <v>18225</v>
      </c>
      <c r="D242" s="5">
        <v>44180</v>
      </c>
      <c r="E242" t="str">
        <f>"202012080662"</f>
        <v>202012080662</v>
      </c>
      <c r="F242" t="str">
        <f>"RFB"</f>
        <v>RFB</v>
      </c>
      <c r="G242" s="3">
        <v>18225</v>
      </c>
      <c r="H242" t="str">
        <f>"Bid Amount"</f>
        <v>Bid Amount</v>
      </c>
    </row>
    <row r="243" spans="1:8" x14ac:dyDescent="0.25">
      <c r="A243" t="s">
        <v>65</v>
      </c>
      <c r="B243">
        <v>3643</v>
      </c>
      <c r="C243" s="3">
        <v>64.83</v>
      </c>
      <c r="D243" s="5">
        <v>44180</v>
      </c>
      <c r="E243" t="str">
        <f>"3009"</f>
        <v>3009</v>
      </c>
      <c r="F243" t="str">
        <f>"HOSE ASSEMBLY/PCT#4"</f>
        <v>HOSE ASSEMBLY/PCT#4</v>
      </c>
      <c r="G243" s="3">
        <v>64.83</v>
      </c>
      <c r="H243" t="str">
        <f>"HOSE ASSEMBLY/PCT#4"</f>
        <v>HOSE ASSEMBLY/PCT#4</v>
      </c>
    </row>
    <row r="244" spans="1:8" x14ac:dyDescent="0.25">
      <c r="A244" t="s">
        <v>66</v>
      </c>
      <c r="B244">
        <v>3644</v>
      </c>
      <c r="C244" s="3">
        <v>682.75</v>
      </c>
      <c r="D244" s="5">
        <v>44180</v>
      </c>
      <c r="E244" t="str">
        <f>"54604AP"</f>
        <v>54604AP</v>
      </c>
      <c r="F244" t="str">
        <f>"ACCT#3324/PCT#3"</f>
        <v>ACCT#3324/PCT#3</v>
      </c>
      <c r="G244" s="3">
        <v>183.66</v>
      </c>
      <c r="H244" t="str">
        <f>"ACCT#3324/PCT#3"</f>
        <v>ACCT#3324/PCT#3</v>
      </c>
    </row>
    <row r="245" spans="1:8" x14ac:dyDescent="0.25">
      <c r="E245" t="str">
        <f>"55108AP"</f>
        <v>55108AP</v>
      </c>
      <c r="F245" t="str">
        <f>"ACCT#3326/PCT#4"</f>
        <v>ACCT#3326/PCT#4</v>
      </c>
      <c r="G245" s="3">
        <v>499.09</v>
      </c>
      <c r="H245" t="str">
        <f>"ACCT#3326/PCT#4"</f>
        <v>ACCT#3326/PCT#4</v>
      </c>
    </row>
    <row r="246" spans="1:8" x14ac:dyDescent="0.25">
      <c r="A246" t="s">
        <v>67</v>
      </c>
      <c r="B246">
        <v>3645</v>
      </c>
      <c r="C246" s="3">
        <v>407.49</v>
      </c>
      <c r="D246" s="5">
        <v>44180</v>
      </c>
      <c r="E246" t="str">
        <f>"202012030550"</f>
        <v>202012030550</v>
      </c>
      <c r="F246" t="str">
        <f>"CUST ID:0011/PCT#3"</f>
        <v>CUST ID:0011/PCT#3</v>
      </c>
      <c r="G246" s="3">
        <v>239.49</v>
      </c>
      <c r="H246" t="str">
        <f>"CUST ID:0011"</f>
        <v>CUST ID:0011</v>
      </c>
    </row>
    <row r="247" spans="1:8" x14ac:dyDescent="0.25">
      <c r="E247" t="str">
        <f>"377707"</f>
        <v>377707</v>
      </c>
      <c r="F247" t="str">
        <f>"CUST ID:0017/ANIMAL SVCS"</f>
        <v>CUST ID:0017/ANIMAL SVCS</v>
      </c>
      <c r="G247" s="3">
        <v>7</v>
      </c>
      <c r="H247" t="str">
        <f>"CUST ID:0017/ANIMAL SVCS"</f>
        <v>CUST ID:0017/ANIMAL SVCS</v>
      </c>
    </row>
    <row r="248" spans="1:8" x14ac:dyDescent="0.25">
      <c r="E248" t="str">
        <f>"378092"</f>
        <v>378092</v>
      </c>
      <c r="F248" t="str">
        <f>"CUST ID 0010 TIRE REP PCT2"</f>
        <v>CUST ID 0010 TIRE REP PCT2</v>
      </c>
      <c r="G248" s="3">
        <v>123</v>
      </c>
      <c r="H248" t="str">
        <f>"CUST ID 0010 TIRE REP PCT2"</f>
        <v>CUST ID 0010 TIRE REP PCT2</v>
      </c>
    </row>
    <row r="249" spans="1:8" x14ac:dyDescent="0.25">
      <c r="E249" t="str">
        <f>"378272"</f>
        <v>378272</v>
      </c>
      <c r="F249" t="str">
        <f>"CUST ID:0009/PCT#1"</f>
        <v>CUST ID:0009/PCT#1</v>
      </c>
      <c r="G249" s="3">
        <v>38</v>
      </c>
      <c r="H249" t="str">
        <f>"CUST ID:0009/PCT#1"</f>
        <v>CUST ID:0009/PCT#1</v>
      </c>
    </row>
    <row r="250" spans="1:8" x14ac:dyDescent="0.25">
      <c r="A250" t="s">
        <v>68</v>
      </c>
      <c r="B250">
        <v>3646</v>
      </c>
      <c r="C250" s="3">
        <v>36.06</v>
      </c>
      <c r="D250" s="5">
        <v>44180</v>
      </c>
      <c r="E250" t="str">
        <f>"254198CVW"</f>
        <v>254198CVW</v>
      </c>
      <c r="F250" t="str">
        <f>"CUST#4011/PAINT/PCT#4"</f>
        <v>CUST#4011/PAINT/PCT#4</v>
      </c>
      <c r="G250" s="3">
        <v>36.06</v>
      </c>
      <c r="H250" t="str">
        <f>"CUST#4011/PAINT/PCT#4"</f>
        <v>CUST#4011/PAINT/PCT#4</v>
      </c>
    </row>
    <row r="251" spans="1:8" x14ac:dyDescent="0.25">
      <c r="A251" t="s">
        <v>69</v>
      </c>
      <c r="B251">
        <v>3647</v>
      </c>
      <c r="C251" s="3">
        <v>31.87</v>
      </c>
      <c r="D251" s="5">
        <v>44180</v>
      </c>
      <c r="E251" t="str">
        <f>"IG00568"</f>
        <v>IG00568</v>
      </c>
      <c r="F251" t="str">
        <f>"ACCT#063/PART CHARGE/PCT#1"</f>
        <v>ACCT#063/PART CHARGE/PCT#1</v>
      </c>
      <c r="G251" s="3">
        <v>31.87</v>
      </c>
      <c r="H251" t="str">
        <f>"ACCT#063/PART CHARGE/PCT#1"</f>
        <v>ACCT#063/PART CHARGE/PCT#1</v>
      </c>
    </row>
    <row r="252" spans="1:8" x14ac:dyDescent="0.25">
      <c r="A252" t="s">
        <v>70</v>
      </c>
      <c r="B252">
        <v>3648</v>
      </c>
      <c r="C252" s="3">
        <v>175</v>
      </c>
      <c r="D252" s="5">
        <v>44180</v>
      </c>
      <c r="E252" t="str">
        <f>"24671"</f>
        <v>24671</v>
      </c>
      <c r="F252" t="str">
        <f>"STRENGTHEN ASPHALT BAR/PCT#2"</f>
        <v>STRENGTHEN ASPHALT BAR/PCT#2</v>
      </c>
      <c r="G252" s="3">
        <v>175</v>
      </c>
      <c r="H252" t="str">
        <f>"STRENGTHEN ASPHALT BAR/PCT#2"</f>
        <v>STRENGTHEN ASPHALT BAR/PCT#2</v>
      </c>
    </row>
    <row r="253" spans="1:8" x14ac:dyDescent="0.25">
      <c r="A253" t="s">
        <v>71</v>
      </c>
      <c r="B253">
        <v>3649</v>
      </c>
      <c r="C253" s="3">
        <v>2067.5</v>
      </c>
      <c r="D253" s="5">
        <v>44180</v>
      </c>
      <c r="E253" t="str">
        <f>"BATX017037"</f>
        <v>BATX017037</v>
      </c>
      <c r="F253" t="str">
        <f>"INV BATX017037"</f>
        <v>INV BATX017037</v>
      </c>
      <c r="G253" s="3">
        <v>2067.5</v>
      </c>
      <c r="H253" t="str">
        <f>"INV BATX017037"</f>
        <v>INV BATX017037</v>
      </c>
    </row>
    <row r="254" spans="1:8" x14ac:dyDescent="0.25">
      <c r="A254" t="s">
        <v>72</v>
      </c>
      <c r="B254">
        <v>3650</v>
      </c>
      <c r="C254" s="3">
        <v>3086.06</v>
      </c>
      <c r="D254" s="5">
        <v>44180</v>
      </c>
      <c r="E254" t="str">
        <f>"6258527025"</f>
        <v>6258527025</v>
      </c>
      <c r="F254" t="str">
        <f>"INV 6258527025"</f>
        <v>INV 6258527025</v>
      </c>
      <c r="G254" s="3">
        <v>1006.06</v>
      </c>
      <c r="H254" t="str">
        <f>"INV 6258527025"</f>
        <v>INV 6258527025</v>
      </c>
    </row>
    <row r="255" spans="1:8" x14ac:dyDescent="0.25">
      <c r="E255" t="str">
        <f>"6258803124"</f>
        <v>6258803124</v>
      </c>
      <c r="F255" t="str">
        <f>"INV 6258803124"</f>
        <v>INV 6258803124</v>
      </c>
      <c r="G255" s="3">
        <v>2080</v>
      </c>
      <c r="H255" t="str">
        <f>"INV 6258803124"</f>
        <v>INV 6258803124</v>
      </c>
    </row>
    <row r="256" spans="1:8" x14ac:dyDescent="0.25">
      <c r="A256" t="s">
        <v>73</v>
      </c>
      <c r="B256">
        <v>3651</v>
      </c>
      <c r="C256" s="3">
        <v>61.25</v>
      </c>
      <c r="D256" s="5">
        <v>44180</v>
      </c>
      <c r="E256" t="str">
        <f>"113041"</f>
        <v>113041</v>
      </c>
      <c r="F256" t="str">
        <f>"BUSINESS CARDS/TREASURER"</f>
        <v>BUSINESS CARDS/TREASURER</v>
      </c>
      <c r="G256" s="3">
        <v>61.25</v>
      </c>
      <c r="H256" t="str">
        <f>"BUSINESS CARDS/TREASURER"</f>
        <v>BUSINESS CARDS/TREASURER</v>
      </c>
    </row>
    <row r="257" spans="1:8" x14ac:dyDescent="0.25">
      <c r="A257" t="s">
        <v>74</v>
      </c>
      <c r="B257">
        <v>3652</v>
      </c>
      <c r="C257" s="3">
        <v>1104.2</v>
      </c>
      <c r="D257" s="5">
        <v>44180</v>
      </c>
      <c r="E257" t="str">
        <f>"0803106"</f>
        <v>0803106</v>
      </c>
      <c r="F257" t="str">
        <f>"INV0803106"</f>
        <v>INV0803106</v>
      </c>
      <c r="G257" s="3">
        <v>152.52000000000001</v>
      </c>
      <c r="H257" t="str">
        <f>"INV0803106"</f>
        <v>INV0803106</v>
      </c>
    </row>
    <row r="258" spans="1:8" x14ac:dyDescent="0.25">
      <c r="E258" t="str">
        <f>""</f>
        <v/>
      </c>
      <c r="F258" t="str">
        <f>""</f>
        <v/>
      </c>
      <c r="H258" t="str">
        <f>"INV0806177"</f>
        <v>INV0806177</v>
      </c>
    </row>
    <row r="259" spans="1:8" x14ac:dyDescent="0.25">
      <c r="E259" t="str">
        <f>"0806922"</f>
        <v>0806922</v>
      </c>
      <c r="F259" t="str">
        <f>"INV0806922"</f>
        <v>INV0806922</v>
      </c>
      <c r="G259" s="3">
        <v>101.68</v>
      </c>
      <c r="H259" t="str">
        <f>"INV0806922"</f>
        <v>INV0806922</v>
      </c>
    </row>
    <row r="260" spans="1:8" x14ac:dyDescent="0.25">
      <c r="E260" t="str">
        <f>"0807660"</f>
        <v>0807660</v>
      </c>
      <c r="F260" t="str">
        <f>"INV 0807660"</f>
        <v>INV 0807660</v>
      </c>
      <c r="G260" s="3">
        <v>850</v>
      </c>
      <c r="H260" t="str">
        <f>"INV 0807660"</f>
        <v>INV 0807660</v>
      </c>
    </row>
    <row r="261" spans="1:8" x14ac:dyDescent="0.25">
      <c r="E261" t="str">
        <f>""</f>
        <v/>
      </c>
      <c r="F261" t="str">
        <f>""</f>
        <v/>
      </c>
      <c r="H261" t="str">
        <f>"INV 0807660 (HALF)"</f>
        <v>INV 0807660 (HALF)</v>
      </c>
    </row>
    <row r="262" spans="1:8" x14ac:dyDescent="0.25">
      <c r="A262" t="s">
        <v>75</v>
      </c>
      <c r="B262">
        <v>3653</v>
      </c>
      <c r="C262" s="3">
        <v>3921.57</v>
      </c>
      <c r="D262" s="5">
        <v>44180</v>
      </c>
      <c r="E262" t="str">
        <f>"PIKP0095171"</f>
        <v>PIKP0095171</v>
      </c>
      <c r="F262" t="str">
        <f>"CUST#0129150/PCT#3"</f>
        <v>CUST#0129150/PCT#3</v>
      </c>
      <c r="G262" s="3">
        <v>113.35</v>
      </c>
      <c r="H262" t="str">
        <f>"CUST#0129150/PCT#3"</f>
        <v>CUST#0129150/PCT#3</v>
      </c>
    </row>
    <row r="263" spans="1:8" x14ac:dyDescent="0.25">
      <c r="E263" t="str">
        <f>"PIM60042946"</f>
        <v>PIM60042946</v>
      </c>
      <c r="F263" t="str">
        <f>"CUST#0129200/PCT#4"</f>
        <v>CUST#0129200/PCT#4</v>
      </c>
      <c r="G263" s="3">
        <v>98.56</v>
      </c>
      <c r="H263" t="str">
        <f>"CUST#0129200/PCT#4"</f>
        <v>CUST#0129200/PCT#4</v>
      </c>
    </row>
    <row r="264" spans="1:8" x14ac:dyDescent="0.25">
      <c r="E264" t="str">
        <f>"PIMA0344872"</f>
        <v>PIMA0344872</v>
      </c>
      <c r="F264" t="str">
        <f>"CUST#0129150/PCT#3"</f>
        <v>CUST#0129150/PCT#3</v>
      </c>
      <c r="G264" s="3">
        <v>353.78</v>
      </c>
      <c r="H264" t="str">
        <f>"CUST#0129150/PCT#3"</f>
        <v>CUST#0129150/PCT#3</v>
      </c>
    </row>
    <row r="265" spans="1:8" x14ac:dyDescent="0.25">
      <c r="E265" t="str">
        <f>"PIMA0345134"</f>
        <v>PIMA0345134</v>
      </c>
      <c r="F265" t="str">
        <f>"CUST#0129150/BOLT/NUT/PCT#3"</f>
        <v>CUST#0129150/BOLT/NUT/PCT#3</v>
      </c>
      <c r="G265" s="3">
        <v>63.92</v>
      </c>
      <c r="H265" t="str">
        <f>"CUST#0129150/BOLT/NUT/PCT#3"</f>
        <v>CUST#0129150/BOLT/NUT/PCT#3</v>
      </c>
    </row>
    <row r="266" spans="1:8" x14ac:dyDescent="0.25">
      <c r="E266" t="str">
        <f>"WIUS0142076"</f>
        <v>WIUS0142076</v>
      </c>
      <c r="F266" t="str">
        <f>"CUST#0129100/PCT#2"</f>
        <v>CUST#0129100/PCT#2</v>
      </c>
      <c r="G266" s="3">
        <v>1448.06</v>
      </c>
      <c r="H266" t="str">
        <f>"CUST#0129100/PCT#2"</f>
        <v>CUST#0129100/PCT#2</v>
      </c>
    </row>
    <row r="267" spans="1:8" x14ac:dyDescent="0.25">
      <c r="E267" t="str">
        <f>"WIUS0142402"</f>
        <v>WIUS0142402</v>
      </c>
      <c r="F267" t="str">
        <f>"CUST#0129050/PCT#1"</f>
        <v>CUST#0129050/PCT#1</v>
      </c>
      <c r="G267" s="3">
        <v>1843.9</v>
      </c>
      <c r="H267" t="str">
        <f>"CUST#0129050/PCT#1"</f>
        <v>CUST#0129050/PCT#1</v>
      </c>
    </row>
    <row r="268" spans="1:8" x14ac:dyDescent="0.25">
      <c r="A268" t="s">
        <v>76</v>
      </c>
      <c r="B268">
        <v>3654</v>
      </c>
      <c r="C268" s="3">
        <v>2717</v>
      </c>
      <c r="D268" s="5">
        <v>44180</v>
      </c>
      <c r="E268" t="str">
        <f>"383"</f>
        <v>383</v>
      </c>
      <c r="F268" t="str">
        <f>"TOWER RENT"</f>
        <v>TOWER RENT</v>
      </c>
      <c r="G268" s="3">
        <v>2717</v>
      </c>
      <c r="H268" t="str">
        <f>"TOWER RENT"</f>
        <v>TOWER RENT</v>
      </c>
    </row>
    <row r="269" spans="1:8" x14ac:dyDescent="0.25">
      <c r="A269" t="s">
        <v>77</v>
      </c>
      <c r="B269">
        <v>3655</v>
      </c>
      <c r="C269" s="3">
        <v>21.22</v>
      </c>
      <c r="D269" s="5">
        <v>44180</v>
      </c>
      <c r="E269" t="str">
        <f>"698228"</f>
        <v>698228</v>
      </c>
      <c r="F269" t="str">
        <f>"ACCT#0900-98011130-001/SIGN SH"</f>
        <v>ACCT#0900-98011130-001/SIGN SH</v>
      </c>
      <c r="G269" s="3">
        <v>21.22</v>
      </c>
      <c r="H269" t="str">
        <f>"ACCT#0900-98011130-001/SIGN SH"</f>
        <v>ACCT#0900-98011130-001/SIGN SH</v>
      </c>
    </row>
    <row r="270" spans="1:8" x14ac:dyDescent="0.25">
      <c r="A270" t="s">
        <v>78</v>
      </c>
      <c r="B270">
        <v>3656</v>
      </c>
      <c r="C270" s="3">
        <v>1000</v>
      </c>
      <c r="D270" s="5">
        <v>44180</v>
      </c>
      <c r="E270" t="str">
        <f>"202011300325"</f>
        <v>202011300325</v>
      </c>
      <c r="F270" t="str">
        <f>"1JP100118A"</f>
        <v>1JP100118A</v>
      </c>
      <c r="G270" s="3">
        <v>200</v>
      </c>
      <c r="H270" t="str">
        <f>"1JP100118A"</f>
        <v>1JP100118A</v>
      </c>
    </row>
    <row r="271" spans="1:8" x14ac:dyDescent="0.25">
      <c r="E271" t="str">
        <f>"202011300326"</f>
        <v>202011300326</v>
      </c>
      <c r="F271" t="str">
        <f>"JP1082820019G"</f>
        <v>JP1082820019G</v>
      </c>
      <c r="G271" s="3">
        <v>200</v>
      </c>
      <c r="H271" t="str">
        <f>"JP1082820019G"</f>
        <v>JP1082820019G</v>
      </c>
    </row>
    <row r="272" spans="1:8" x14ac:dyDescent="0.25">
      <c r="E272" t="str">
        <f>"202011300327"</f>
        <v>202011300327</v>
      </c>
      <c r="F272" t="str">
        <f>"16 897"</f>
        <v>16 897</v>
      </c>
      <c r="G272" s="3">
        <v>400</v>
      </c>
      <c r="H272" t="str">
        <f>"16 897"</f>
        <v>16 897</v>
      </c>
    </row>
    <row r="273" spans="1:8" x14ac:dyDescent="0.25">
      <c r="E273" t="str">
        <f>"202011300328"</f>
        <v>202011300328</v>
      </c>
      <c r="F273" t="str">
        <f>"08282019J"</f>
        <v>08282019J</v>
      </c>
      <c r="G273" s="3">
        <v>200</v>
      </c>
      <c r="H273" t="str">
        <f>"08282019J"</f>
        <v>08282019J</v>
      </c>
    </row>
    <row r="274" spans="1:8" x14ac:dyDescent="0.25">
      <c r="A274" t="s">
        <v>79</v>
      </c>
      <c r="B274">
        <v>3657</v>
      </c>
      <c r="C274" s="3">
        <v>608.25</v>
      </c>
      <c r="D274" s="5">
        <v>44180</v>
      </c>
      <c r="E274" t="str">
        <f>"3312445136"</f>
        <v>3312445136</v>
      </c>
      <c r="F274" t="str">
        <f>"ACCT#0010366024/TAX ASSESSOR"</f>
        <v>ACCT#0010366024/TAX ASSESSOR</v>
      </c>
      <c r="G274" s="3">
        <v>195.96</v>
      </c>
      <c r="H274" t="str">
        <f>"ACCT#0010366024/TAX ASSESSOR"</f>
        <v>ACCT#0010366024/TAX ASSESSOR</v>
      </c>
    </row>
    <row r="275" spans="1:8" x14ac:dyDescent="0.25">
      <c r="E275" t="str">
        <f>"3312465994"</f>
        <v>3312465994</v>
      </c>
      <c r="F275" t="str">
        <f>"INV 3312465994"</f>
        <v>INV 3312465994</v>
      </c>
      <c r="G275" s="3">
        <v>412.29</v>
      </c>
      <c r="H275" t="str">
        <f>"INV 3312465994"</f>
        <v>INV 3312465994</v>
      </c>
    </row>
    <row r="276" spans="1:8" x14ac:dyDescent="0.25">
      <c r="A276" t="s">
        <v>80</v>
      </c>
      <c r="B276">
        <v>3658</v>
      </c>
      <c r="C276" s="3">
        <v>250</v>
      </c>
      <c r="D276" s="5">
        <v>44180</v>
      </c>
      <c r="E276" t="str">
        <f>"202012070579"</f>
        <v>202012070579</v>
      </c>
      <c r="F276" t="str">
        <f>"J-3227"</f>
        <v>J-3227</v>
      </c>
      <c r="G276" s="3">
        <v>250</v>
      </c>
      <c r="H276" t="str">
        <f>"J-3227"</f>
        <v>J-3227</v>
      </c>
    </row>
    <row r="277" spans="1:8" x14ac:dyDescent="0.25">
      <c r="A277" t="s">
        <v>81</v>
      </c>
      <c r="B277">
        <v>3659</v>
      </c>
      <c r="C277" s="3">
        <v>52.5</v>
      </c>
      <c r="D277" s="5">
        <v>44180</v>
      </c>
      <c r="E277" t="str">
        <f>"202012010360"</f>
        <v>202012010360</v>
      </c>
      <c r="F277" t="str">
        <f>"VEHICLE REGISTRATION"</f>
        <v>VEHICLE REGISTRATION</v>
      </c>
      <c r="G277" s="3">
        <v>7.5</v>
      </c>
      <c r="H277" t="str">
        <f>"VEHICLE REGISTRATION"</f>
        <v>VEHICLE REGISTRATION</v>
      </c>
    </row>
    <row r="278" spans="1:8" x14ac:dyDescent="0.25">
      <c r="E278" t="str">
        <f>"202012070569"</f>
        <v>202012070569</v>
      </c>
      <c r="F278" t="str">
        <f>"VEHICLE REG-HEALTH &amp; SANITATIO"</f>
        <v>VEHICLE REG-HEALTH &amp; SANITATIO</v>
      </c>
      <c r="G278" s="3">
        <v>7.5</v>
      </c>
      <c r="H278" t="str">
        <f>"VEHICLE REG-HEALTH &amp; SANITATIO"</f>
        <v>VEHICLE REG-HEALTH &amp; SANITATIO</v>
      </c>
    </row>
    <row r="279" spans="1:8" x14ac:dyDescent="0.25">
      <c r="E279" t="str">
        <f>"202012070570"</f>
        <v>202012070570</v>
      </c>
      <c r="F279" t="str">
        <f>"VEHICLE REGISTRATIONS/SHERIFF"</f>
        <v>VEHICLE REGISTRATIONS/SHERIFF</v>
      </c>
      <c r="G279" s="3">
        <v>37.5</v>
      </c>
      <c r="H279" t="str">
        <f>"VEHICLE REGISTRATIONS/SHERIFF"</f>
        <v>VEHICLE REGISTRATIONS/SHERIFF</v>
      </c>
    </row>
    <row r="280" spans="1:8" x14ac:dyDescent="0.25">
      <c r="A280" t="s">
        <v>82</v>
      </c>
      <c r="B280">
        <v>3660</v>
      </c>
      <c r="C280" s="3">
        <v>2134.12</v>
      </c>
      <c r="D280" s="5">
        <v>44180</v>
      </c>
      <c r="E280" t="str">
        <f>"24966"</f>
        <v>24966</v>
      </c>
      <c r="F280" t="str">
        <f>"INV 24966"</f>
        <v>INV 24966</v>
      </c>
      <c r="G280" s="3">
        <v>2134.12</v>
      </c>
      <c r="H280" t="str">
        <f>"INV 24966"</f>
        <v>INV 24966</v>
      </c>
    </row>
    <row r="281" spans="1:8" x14ac:dyDescent="0.25">
      <c r="A281" t="s">
        <v>83</v>
      </c>
      <c r="B281">
        <v>3661</v>
      </c>
      <c r="C281" s="3">
        <v>2430</v>
      </c>
      <c r="D281" s="5">
        <v>44180</v>
      </c>
      <c r="E281" t="str">
        <f>"70861"</f>
        <v>70861</v>
      </c>
      <c r="F281" t="str">
        <f>"PROF SVCS JANUARY 2021"</f>
        <v>PROF SVCS JANUARY 2021</v>
      </c>
      <c r="G281" s="3">
        <v>2430</v>
      </c>
      <c r="H281" t="str">
        <f>"PROF SVCS JANUARY 2021"</f>
        <v>PROF SVCS JANUARY 2021</v>
      </c>
    </row>
    <row r="282" spans="1:8" x14ac:dyDescent="0.25">
      <c r="E282" t="str">
        <f>""</f>
        <v/>
      </c>
      <c r="F282" t="str">
        <f>""</f>
        <v/>
      </c>
      <c r="H282" t="str">
        <f>"PROF SVCS JANUARY 2021"</f>
        <v>PROF SVCS JANUARY 2021</v>
      </c>
    </row>
    <row r="283" spans="1:8" x14ac:dyDescent="0.25">
      <c r="A283" t="s">
        <v>84</v>
      </c>
      <c r="B283">
        <v>3662</v>
      </c>
      <c r="C283" s="3">
        <v>69</v>
      </c>
      <c r="D283" s="5">
        <v>44180</v>
      </c>
      <c r="E283" t="str">
        <f>"202011300317"</f>
        <v>202011300317</v>
      </c>
      <c r="F283" t="str">
        <f>"MILEAGE REIMBURSEMENT"</f>
        <v>MILEAGE REIMBURSEMENT</v>
      </c>
      <c r="G283" s="3">
        <v>69</v>
      </c>
      <c r="H283" t="str">
        <f>"MILEAGE REIMBURSEMENT"</f>
        <v>MILEAGE REIMBURSEMENT</v>
      </c>
    </row>
    <row r="284" spans="1:8" x14ac:dyDescent="0.25">
      <c r="A284" t="s">
        <v>85</v>
      </c>
      <c r="B284">
        <v>3663</v>
      </c>
      <c r="C284" s="3">
        <v>30</v>
      </c>
      <c r="D284" s="5">
        <v>44180</v>
      </c>
      <c r="E284" t="str">
        <f>"10-0106329"</f>
        <v>10-0106329</v>
      </c>
      <c r="F284" t="str">
        <f>"INV 10-0106329 /UNIT 5564"</f>
        <v>INV 10-0106329 /UNIT 5564</v>
      </c>
      <c r="G284" s="3">
        <v>30</v>
      </c>
      <c r="H284" t="str">
        <f>"INV 10-0106329 /UNIT 5564"</f>
        <v>INV 10-0106329 /UNIT 5564</v>
      </c>
    </row>
    <row r="285" spans="1:8" x14ac:dyDescent="0.25">
      <c r="A285" t="s">
        <v>86</v>
      </c>
      <c r="B285">
        <v>3664</v>
      </c>
      <c r="C285" s="3">
        <v>126</v>
      </c>
      <c r="D285" s="5">
        <v>44180</v>
      </c>
      <c r="E285" t="str">
        <f>"892893"</f>
        <v>892893</v>
      </c>
      <c r="F285" t="str">
        <f>"ACCT#63275/CUST ID:BASCO1/P3"</f>
        <v>ACCT#63275/CUST ID:BASCO1/P3</v>
      </c>
      <c r="G285" s="3">
        <v>126</v>
      </c>
      <c r="H285" t="str">
        <f>"ACCT#63275/CUST ID:BASCO1/P3"</f>
        <v>ACCT#63275/CUST ID:BASCO1/P3</v>
      </c>
    </row>
    <row r="286" spans="1:8" x14ac:dyDescent="0.25">
      <c r="A286" t="s">
        <v>87</v>
      </c>
      <c r="B286">
        <v>3665</v>
      </c>
      <c r="C286" s="3">
        <v>7530.2</v>
      </c>
      <c r="D286" s="5">
        <v>44180</v>
      </c>
      <c r="E286" t="str">
        <f>"10043260"</f>
        <v>10043260</v>
      </c>
      <c r="F286" t="str">
        <f>"PROJ:035837.001/TWDB FLOOD"</f>
        <v>PROJ:035837.001/TWDB FLOOD</v>
      </c>
      <c r="G286" s="3">
        <v>7530.2</v>
      </c>
      <c r="H286" t="str">
        <f>"PROJ:035837.001/TWDB FLOOD"</f>
        <v>PROJ:035837.001/TWDB FLOOD</v>
      </c>
    </row>
    <row r="287" spans="1:8" x14ac:dyDescent="0.25">
      <c r="A287" t="s">
        <v>88</v>
      </c>
      <c r="B287">
        <v>3666</v>
      </c>
      <c r="C287" s="3">
        <v>2600</v>
      </c>
      <c r="D287" s="5">
        <v>44180</v>
      </c>
      <c r="E287" t="str">
        <f>"202011300319"</f>
        <v>202011300319</v>
      </c>
      <c r="F287" t="str">
        <f>"JP110152020A"</f>
        <v>JP110152020A</v>
      </c>
      <c r="G287" s="3">
        <v>400</v>
      </c>
      <c r="H287" t="str">
        <f>"JP110152020A"</f>
        <v>JP110152020A</v>
      </c>
    </row>
    <row r="288" spans="1:8" x14ac:dyDescent="0.25">
      <c r="E288" t="str">
        <f>"202011300320"</f>
        <v>202011300320</v>
      </c>
      <c r="F288" t="str">
        <f>"DCPC-19-132"</f>
        <v>DCPC-19-132</v>
      </c>
      <c r="G288" s="3">
        <v>400</v>
      </c>
      <c r="H288" t="str">
        <f>"DCPC-19-132"</f>
        <v>DCPC-19-132</v>
      </c>
    </row>
    <row r="289" spans="1:8" x14ac:dyDescent="0.25">
      <c r="E289" t="str">
        <f>"202011300321"</f>
        <v>202011300321</v>
      </c>
      <c r="F289" t="str">
        <f>"JP108222020A"</f>
        <v>JP108222020A</v>
      </c>
      <c r="G289" s="3">
        <v>400</v>
      </c>
      <c r="H289" t="str">
        <f>"JP108222020A"</f>
        <v>JP108222020A</v>
      </c>
    </row>
    <row r="290" spans="1:8" x14ac:dyDescent="0.25">
      <c r="E290" t="str">
        <f>"202011300322"</f>
        <v>202011300322</v>
      </c>
      <c r="F290" t="str">
        <f>"1646-335"</f>
        <v>1646-335</v>
      </c>
      <c r="G290" s="3">
        <v>100</v>
      </c>
      <c r="H290" t="str">
        <f>"1646-335"</f>
        <v>1646-335</v>
      </c>
    </row>
    <row r="291" spans="1:8" x14ac:dyDescent="0.25">
      <c r="E291" t="str">
        <f>"202011300323"</f>
        <v>202011300323</v>
      </c>
      <c r="F291" t="str">
        <f>"1649-335"</f>
        <v>1649-335</v>
      </c>
      <c r="G291" s="3">
        <v>100</v>
      </c>
      <c r="H291" t="str">
        <f>"1649-335"</f>
        <v>1649-335</v>
      </c>
    </row>
    <row r="292" spans="1:8" x14ac:dyDescent="0.25">
      <c r="E292" t="str">
        <f>"202011300324"</f>
        <v>202011300324</v>
      </c>
      <c r="F292" t="str">
        <f>"1654-21  1657-335"</f>
        <v>1654-21  1657-335</v>
      </c>
      <c r="G292" s="3">
        <v>200</v>
      </c>
      <c r="H292" t="str">
        <f>"1654-21  1657-335"</f>
        <v>1654-21  1657-335</v>
      </c>
    </row>
    <row r="293" spans="1:8" x14ac:dyDescent="0.25">
      <c r="E293" t="str">
        <f>"202012070607"</f>
        <v>202012070607</v>
      </c>
      <c r="F293" t="str">
        <f>"17220/412119-2 412109-3"</f>
        <v>17220/412119-2 412109-3</v>
      </c>
      <c r="G293" s="3">
        <v>1000</v>
      </c>
      <c r="H293" t="str">
        <f>"17220/412119-2 412109-3"</f>
        <v>17220/412119-2 412109-3</v>
      </c>
    </row>
    <row r="294" spans="1:8" x14ac:dyDescent="0.25">
      <c r="A294" t="s">
        <v>89</v>
      </c>
      <c r="B294">
        <v>3667</v>
      </c>
      <c r="C294" s="3">
        <v>3353.4</v>
      </c>
      <c r="D294" s="5">
        <v>44180</v>
      </c>
      <c r="E294" t="str">
        <f>"1968518"</f>
        <v>1968518</v>
      </c>
      <c r="F294" t="str">
        <f>"INV 1968518"</f>
        <v>INV 1968518</v>
      </c>
      <c r="G294" s="3">
        <v>3353.4</v>
      </c>
      <c r="H294" t="str">
        <f>"INV 1968518"</f>
        <v>INV 1968518</v>
      </c>
    </row>
    <row r="295" spans="1:8" x14ac:dyDescent="0.25">
      <c r="A295" t="s">
        <v>90</v>
      </c>
      <c r="B295">
        <v>3668</v>
      </c>
      <c r="C295" s="3">
        <v>1139.54</v>
      </c>
      <c r="D295" s="5">
        <v>44180</v>
      </c>
      <c r="E295" t="str">
        <f>"76051401-00"</f>
        <v>76051401-00</v>
      </c>
      <c r="F295" t="str">
        <f>"INV 76051401-00"</f>
        <v>INV 76051401-00</v>
      </c>
      <c r="G295" s="3">
        <v>949.08</v>
      </c>
      <c r="H295" t="str">
        <f>"INV 76051401-00"</f>
        <v>INV 76051401-00</v>
      </c>
    </row>
    <row r="296" spans="1:8" x14ac:dyDescent="0.25">
      <c r="E296" t="str">
        <f>"76355442-00"</f>
        <v>76355442-00</v>
      </c>
      <c r="F296" t="str">
        <f>"INV 76355442-00"</f>
        <v>INV 76355442-00</v>
      </c>
      <c r="G296" s="3">
        <v>190.46</v>
      </c>
      <c r="H296" t="str">
        <f>"INV 76355442-00"</f>
        <v>INV 76355442-00</v>
      </c>
    </row>
    <row r="297" spans="1:8" x14ac:dyDescent="0.25">
      <c r="A297" t="s">
        <v>91</v>
      </c>
      <c r="B297">
        <v>3669</v>
      </c>
      <c r="C297" s="3">
        <v>130</v>
      </c>
      <c r="D297" s="5">
        <v>44180</v>
      </c>
      <c r="E297" t="str">
        <f>"SCAUS0065649"</f>
        <v>SCAUS0065649</v>
      </c>
      <c r="F297" t="str">
        <f>"CUST ID:BASPR3/PCT#3"</f>
        <v>CUST ID:BASPR3/PCT#3</v>
      </c>
      <c r="G297" s="3">
        <v>130</v>
      </c>
      <c r="H297" t="str">
        <f>"CUST ID:BASPR3/PCT#3"</f>
        <v>CUST ID:BASPR3/PCT#3</v>
      </c>
    </row>
    <row r="298" spans="1:8" x14ac:dyDescent="0.25">
      <c r="A298" t="s">
        <v>92</v>
      </c>
      <c r="B298">
        <v>3670</v>
      </c>
      <c r="C298" s="3">
        <v>171.99</v>
      </c>
      <c r="D298" s="5">
        <v>44180</v>
      </c>
      <c r="E298" t="str">
        <f>"0581-228739"</f>
        <v>0581-228739</v>
      </c>
      <c r="F298" t="str">
        <f>"INV 0581-228739"</f>
        <v>INV 0581-228739</v>
      </c>
      <c r="G298" s="3">
        <v>43.33</v>
      </c>
      <c r="H298" t="str">
        <f>"INV 0581-228739"</f>
        <v>INV 0581-228739</v>
      </c>
    </row>
    <row r="299" spans="1:8" x14ac:dyDescent="0.25">
      <c r="E299" t="str">
        <f>"0581-230623"</f>
        <v>0581-230623</v>
      </c>
      <c r="F299" t="str">
        <f>"0581-230623/0581-230638"</f>
        <v>0581-230623/0581-230638</v>
      </c>
      <c r="G299" s="3">
        <v>128.66</v>
      </c>
      <c r="H299" t="str">
        <f>"INV 0581-230623"</f>
        <v>INV 0581-230623</v>
      </c>
    </row>
    <row r="300" spans="1:8" x14ac:dyDescent="0.25">
      <c r="E300" t="str">
        <f>""</f>
        <v/>
      </c>
      <c r="F300" t="str">
        <f>""</f>
        <v/>
      </c>
      <c r="H300" t="str">
        <f>"INV 0581-230638"</f>
        <v>INV 0581-230638</v>
      </c>
    </row>
    <row r="301" spans="1:8" x14ac:dyDescent="0.25">
      <c r="A301" t="s">
        <v>93</v>
      </c>
      <c r="B301">
        <v>3671</v>
      </c>
      <c r="C301" s="3">
        <v>5960</v>
      </c>
      <c r="D301" s="5">
        <v>44180</v>
      </c>
      <c r="E301" t="str">
        <f>"202012010348"</f>
        <v>202012010348</v>
      </c>
      <c r="F301" t="str">
        <f>"1651-21  1654-335  423-7530"</f>
        <v>1651-21  1654-335  423-7530</v>
      </c>
      <c r="G301" s="3">
        <v>300</v>
      </c>
      <c r="H301" t="str">
        <f>"1651-21  1654-335  423-7530"</f>
        <v>1651-21  1654-335  423-7530</v>
      </c>
    </row>
    <row r="302" spans="1:8" x14ac:dyDescent="0.25">
      <c r="E302" t="str">
        <f>"202012010349"</f>
        <v>202012010349</v>
      </c>
      <c r="F302" t="str">
        <f>"DCPC-19-31  DCPC-19-133"</f>
        <v>DCPC-19-31  DCPC-19-133</v>
      </c>
      <c r="G302" s="3">
        <v>600</v>
      </c>
      <c r="H302" t="str">
        <f>"DCPC-19-31  DCPC-19-133"</f>
        <v>DCPC-19-31  DCPC-19-133</v>
      </c>
    </row>
    <row r="303" spans="1:8" x14ac:dyDescent="0.25">
      <c r="E303" t="str">
        <f>"202012010350"</f>
        <v>202012010350</v>
      </c>
      <c r="F303" t="str">
        <f>"BC-20190605B"</f>
        <v>BC-20190605B</v>
      </c>
      <c r="G303" s="3">
        <v>400</v>
      </c>
      <c r="H303" t="str">
        <f>"BC-20190605B"</f>
        <v>BC-20190605B</v>
      </c>
    </row>
    <row r="304" spans="1:8" x14ac:dyDescent="0.25">
      <c r="E304" t="str">
        <f>"202012010351"</f>
        <v>202012010351</v>
      </c>
      <c r="F304" t="str">
        <f>"4022520-9"</f>
        <v>4022520-9</v>
      </c>
      <c r="G304" s="3">
        <v>200</v>
      </c>
      <c r="H304" t="str">
        <f>"4022520-9"</f>
        <v>4022520-9</v>
      </c>
    </row>
    <row r="305" spans="5:8" x14ac:dyDescent="0.25">
      <c r="E305" t="str">
        <f>"202012010352"</f>
        <v>202012010352</v>
      </c>
      <c r="F305" t="str">
        <f>"JP1050222020A"</f>
        <v>JP1050222020A</v>
      </c>
      <c r="G305" s="3">
        <v>400</v>
      </c>
      <c r="H305" t="str">
        <f>"JP1050222020A"</f>
        <v>JP1050222020A</v>
      </c>
    </row>
    <row r="306" spans="5:8" x14ac:dyDescent="0.25">
      <c r="E306" t="str">
        <f>"202012010353"</f>
        <v>202012010353</v>
      </c>
      <c r="F306" t="str">
        <f>"17 061"</f>
        <v>17 061</v>
      </c>
      <c r="G306" s="3">
        <v>400</v>
      </c>
      <c r="H306" t="str">
        <f>"17 061"</f>
        <v>17 061</v>
      </c>
    </row>
    <row r="307" spans="5:8" x14ac:dyDescent="0.25">
      <c r="E307" t="str">
        <f>"202012070576"</f>
        <v>202012070576</v>
      </c>
      <c r="F307" t="str">
        <f>"20-20468"</f>
        <v>20-20468</v>
      </c>
      <c r="G307" s="3">
        <v>100</v>
      </c>
      <c r="H307" t="str">
        <f>"ANDERSON &amp; ANDERSON LAW FIRM P"</f>
        <v>ANDERSON &amp; ANDERSON LAW FIRM P</v>
      </c>
    </row>
    <row r="308" spans="5:8" x14ac:dyDescent="0.25">
      <c r="E308" t="str">
        <f>"202012070577"</f>
        <v>202012070577</v>
      </c>
      <c r="F308" t="str">
        <f>"1 JP861821"</f>
        <v>1 JP861821</v>
      </c>
      <c r="G308" s="3">
        <v>250</v>
      </c>
      <c r="H308" t="str">
        <f>"1 JP861821"</f>
        <v>1 JP861821</v>
      </c>
    </row>
    <row r="309" spans="5:8" x14ac:dyDescent="0.25">
      <c r="E309" t="str">
        <f>"202012070578"</f>
        <v>202012070578</v>
      </c>
      <c r="F309" t="str">
        <f>"57 536"</f>
        <v>57 536</v>
      </c>
      <c r="G309" s="3">
        <v>250</v>
      </c>
      <c r="H309" t="str">
        <f>"57 536"</f>
        <v>57 536</v>
      </c>
    </row>
    <row r="310" spans="5:8" x14ac:dyDescent="0.25">
      <c r="E310" t="str">
        <f>"202012070627"</f>
        <v>202012070627</v>
      </c>
      <c r="F310" t="str">
        <f>"20180453B"</f>
        <v>20180453B</v>
      </c>
      <c r="G310" s="3">
        <v>250</v>
      </c>
      <c r="H310" t="str">
        <f>"2018045313"</f>
        <v>2018045313</v>
      </c>
    </row>
    <row r="311" spans="5:8" x14ac:dyDescent="0.25">
      <c r="E311" t="str">
        <f>"202012070628"</f>
        <v>202012070628</v>
      </c>
      <c r="F311" t="str">
        <f>"423-4444"</f>
        <v>423-4444</v>
      </c>
      <c r="G311" s="3">
        <v>142.5</v>
      </c>
      <c r="H311" t="str">
        <f>"423-4444"</f>
        <v>423-4444</v>
      </c>
    </row>
    <row r="312" spans="5:8" x14ac:dyDescent="0.25">
      <c r="E312" t="str">
        <f>"202012070629"</f>
        <v>202012070629</v>
      </c>
      <c r="F312" t="str">
        <f>"20-20403"</f>
        <v>20-20403</v>
      </c>
      <c r="G312" s="3">
        <v>97.5</v>
      </c>
      <c r="H312" t="str">
        <f>"20-20403"</f>
        <v>20-20403</v>
      </c>
    </row>
    <row r="313" spans="5:8" x14ac:dyDescent="0.25">
      <c r="E313" t="str">
        <f>"202012070630"</f>
        <v>202012070630</v>
      </c>
      <c r="F313" t="str">
        <f>"15-17399"</f>
        <v>15-17399</v>
      </c>
      <c r="G313" s="3">
        <v>120</v>
      </c>
      <c r="H313" t="str">
        <f>"15-17399"</f>
        <v>15-17399</v>
      </c>
    </row>
    <row r="314" spans="5:8" x14ac:dyDescent="0.25">
      <c r="E314" t="str">
        <f>"202012070631"</f>
        <v>202012070631</v>
      </c>
      <c r="F314" t="str">
        <f>"20-20179"</f>
        <v>20-20179</v>
      </c>
      <c r="G314" s="3">
        <v>277.5</v>
      </c>
      <c r="H314" t="str">
        <f>"20-20179"</f>
        <v>20-20179</v>
      </c>
    </row>
    <row r="315" spans="5:8" x14ac:dyDescent="0.25">
      <c r="E315" t="str">
        <f>"202012070632"</f>
        <v>202012070632</v>
      </c>
      <c r="F315" t="str">
        <f>"20-20372"</f>
        <v>20-20372</v>
      </c>
      <c r="G315" s="3">
        <v>135</v>
      </c>
      <c r="H315" t="str">
        <f>"20-20372"</f>
        <v>20-20372</v>
      </c>
    </row>
    <row r="316" spans="5:8" x14ac:dyDescent="0.25">
      <c r="E316" t="str">
        <f>"202012070633"</f>
        <v>202012070633</v>
      </c>
      <c r="F316" t="str">
        <f>"20-20030"</f>
        <v>20-20030</v>
      </c>
      <c r="G316" s="3">
        <v>255</v>
      </c>
      <c r="H316" t="str">
        <f>"ANDERSON &amp; ANDERSON LAW FIRM P"</f>
        <v>ANDERSON &amp; ANDERSON LAW FIRM P</v>
      </c>
    </row>
    <row r="317" spans="5:8" x14ac:dyDescent="0.25">
      <c r="E317" t="str">
        <f>"202012070634"</f>
        <v>202012070634</v>
      </c>
      <c r="F317" t="str">
        <f>"19-19857"</f>
        <v>19-19857</v>
      </c>
      <c r="G317" s="3">
        <v>135</v>
      </c>
      <c r="H317" t="str">
        <f>"19-19857"</f>
        <v>19-19857</v>
      </c>
    </row>
    <row r="318" spans="5:8" x14ac:dyDescent="0.25">
      <c r="E318" t="str">
        <f>"202012070635"</f>
        <v>202012070635</v>
      </c>
      <c r="F318" t="str">
        <f>"19-19711"</f>
        <v>19-19711</v>
      </c>
      <c r="G318" s="3">
        <v>105</v>
      </c>
      <c r="H318" t="str">
        <f>"19-19711"</f>
        <v>19-19711</v>
      </c>
    </row>
    <row r="319" spans="5:8" x14ac:dyDescent="0.25">
      <c r="E319" t="str">
        <f>"202012070636"</f>
        <v>202012070636</v>
      </c>
      <c r="F319" t="str">
        <f>"20-20394"</f>
        <v>20-20394</v>
      </c>
      <c r="G319" s="3">
        <v>295</v>
      </c>
      <c r="H319" t="str">
        <f>"20-20394"</f>
        <v>20-20394</v>
      </c>
    </row>
    <row r="320" spans="5:8" x14ac:dyDescent="0.25">
      <c r="E320" t="str">
        <f>"202012070637"</f>
        <v>202012070637</v>
      </c>
      <c r="F320" t="str">
        <f>"19-19994"</f>
        <v>19-19994</v>
      </c>
      <c r="G320" s="3">
        <v>562.5</v>
      </c>
      <c r="H320" t="str">
        <f>"19-19994"</f>
        <v>19-19994</v>
      </c>
    </row>
    <row r="321" spans="1:8" x14ac:dyDescent="0.25">
      <c r="E321" t="str">
        <f>"202012070638"</f>
        <v>202012070638</v>
      </c>
      <c r="F321" t="str">
        <f>"20-20455"</f>
        <v>20-20455</v>
      </c>
      <c r="G321" s="3">
        <v>580</v>
      </c>
      <c r="H321" t="str">
        <f>"20-20455"</f>
        <v>20-20455</v>
      </c>
    </row>
    <row r="322" spans="1:8" x14ac:dyDescent="0.25">
      <c r="E322" t="str">
        <f>"202012070639"</f>
        <v>202012070639</v>
      </c>
      <c r="F322" t="str">
        <f>"20-20056"</f>
        <v>20-20056</v>
      </c>
      <c r="G322" s="3">
        <v>105</v>
      </c>
      <c r="H322" t="str">
        <f>"20-20056"</f>
        <v>20-20056</v>
      </c>
    </row>
    <row r="323" spans="1:8" x14ac:dyDescent="0.25">
      <c r="A323" t="s">
        <v>94</v>
      </c>
      <c r="B323">
        <v>3672</v>
      </c>
      <c r="C323" s="3">
        <v>500</v>
      </c>
      <c r="D323" s="5">
        <v>44180</v>
      </c>
      <c r="E323" t="str">
        <f>"202012070587"</f>
        <v>202012070587</v>
      </c>
      <c r="F323" t="str">
        <f>"57 182"</f>
        <v>57 182</v>
      </c>
      <c r="G323" s="3">
        <v>250</v>
      </c>
      <c r="H323" t="str">
        <f>"57 182"</f>
        <v>57 182</v>
      </c>
    </row>
    <row r="324" spans="1:8" x14ac:dyDescent="0.25">
      <c r="E324" t="str">
        <f>"202012070588"</f>
        <v>202012070588</v>
      </c>
      <c r="F324" t="str">
        <f>"J-3212"</f>
        <v>J-3212</v>
      </c>
      <c r="G324" s="3">
        <v>250</v>
      </c>
      <c r="H324" t="str">
        <f>"J-3212"</f>
        <v>J-3212</v>
      </c>
    </row>
    <row r="325" spans="1:8" x14ac:dyDescent="0.25">
      <c r="A325" t="s">
        <v>95</v>
      </c>
      <c r="B325">
        <v>3673</v>
      </c>
      <c r="C325" s="3">
        <v>1414.32</v>
      </c>
      <c r="D325" s="5">
        <v>44180</v>
      </c>
      <c r="E325" t="str">
        <f>"108655"</f>
        <v>108655</v>
      </c>
      <c r="F325" t="str">
        <f>"HOSE/COUPLING/SOCKET/GEN SVCS"</f>
        <v>HOSE/COUPLING/SOCKET/GEN SVCS</v>
      </c>
      <c r="G325" s="3">
        <v>1414.32</v>
      </c>
      <c r="H325" t="str">
        <f>"HOSE/COUPLING/SOCKET/GEN SVCS"</f>
        <v>HOSE/COUPLING/SOCKET/GEN SVCS</v>
      </c>
    </row>
    <row r="326" spans="1:8" x14ac:dyDescent="0.25">
      <c r="A326" t="s">
        <v>96</v>
      </c>
      <c r="B326">
        <v>3674</v>
      </c>
      <c r="C326" s="3">
        <v>5900</v>
      </c>
      <c r="D326" s="5">
        <v>44180</v>
      </c>
      <c r="E326" t="str">
        <f>"202011300330"</f>
        <v>202011300330</v>
      </c>
      <c r="F326" t="str">
        <f>"16 723"</f>
        <v>16 723</v>
      </c>
      <c r="G326" s="3">
        <v>400</v>
      </c>
      <c r="H326" t="str">
        <f>"16 723"</f>
        <v>16 723</v>
      </c>
    </row>
    <row r="327" spans="1:8" x14ac:dyDescent="0.25">
      <c r="E327" t="str">
        <f>"202012010343"</f>
        <v>202012010343</v>
      </c>
      <c r="F327" t="str">
        <f>"16 953"</f>
        <v>16 953</v>
      </c>
      <c r="G327" s="3">
        <v>500</v>
      </c>
      <c r="H327" t="str">
        <f>"16 953"</f>
        <v>16 953</v>
      </c>
    </row>
    <row r="328" spans="1:8" x14ac:dyDescent="0.25">
      <c r="E328" t="str">
        <f>"202012010344"</f>
        <v>202012010344</v>
      </c>
      <c r="F328" t="str">
        <f>"16 225"</f>
        <v>16 225</v>
      </c>
      <c r="G328" s="3">
        <v>600</v>
      </c>
      <c r="H328" t="str">
        <f>"16 225"</f>
        <v>16 225</v>
      </c>
    </row>
    <row r="329" spans="1:8" x14ac:dyDescent="0.25">
      <c r="E329" t="str">
        <f>"202012010345"</f>
        <v>202012010345</v>
      </c>
      <c r="F329" t="str">
        <f>"16 395"</f>
        <v>16 395</v>
      </c>
      <c r="G329" s="3">
        <v>400</v>
      </c>
      <c r="H329" t="str">
        <f>"16 395"</f>
        <v>16 395</v>
      </c>
    </row>
    <row r="330" spans="1:8" x14ac:dyDescent="0.25">
      <c r="E330" t="str">
        <f>"202012010346"</f>
        <v>202012010346</v>
      </c>
      <c r="F330" t="str">
        <f>"17 118  307122020"</f>
        <v>17 118  307122020</v>
      </c>
      <c r="G330" s="3">
        <v>600</v>
      </c>
      <c r="H330" t="str">
        <f>"17 118  307122020"</f>
        <v>17 118  307122020</v>
      </c>
    </row>
    <row r="331" spans="1:8" x14ac:dyDescent="0.25">
      <c r="E331" t="str">
        <f>"202012010347"</f>
        <v>202012010347</v>
      </c>
      <c r="F331" t="str">
        <f>"DCPC-19-161  1619-27"</f>
        <v>DCPC-19-161  1619-27</v>
      </c>
      <c r="G331" s="3">
        <v>200</v>
      </c>
      <c r="H331" t="str">
        <f>"DCPC-19-161  1619-27"</f>
        <v>DCPC-19-161  1619-27</v>
      </c>
    </row>
    <row r="332" spans="1:8" x14ac:dyDescent="0.25">
      <c r="E332" t="str">
        <f>"202012010356"</f>
        <v>202012010356</v>
      </c>
      <c r="F332" t="str">
        <f>"17 213"</f>
        <v>17 213</v>
      </c>
      <c r="G332" s="3">
        <v>400</v>
      </c>
      <c r="H332" t="str">
        <f>"17 213"</f>
        <v>17 213</v>
      </c>
    </row>
    <row r="333" spans="1:8" x14ac:dyDescent="0.25">
      <c r="E333" t="str">
        <f>"202012010357"</f>
        <v>202012010357</v>
      </c>
      <c r="F333" t="str">
        <f>"17 165"</f>
        <v>17 165</v>
      </c>
      <c r="G333" s="3">
        <v>400</v>
      </c>
      <c r="H333" t="str">
        <f>"17 165"</f>
        <v>17 165</v>
      </c>
    </row>
    <row r="334" spans="1:8" x14ac:dyDescent="0.25">
      <c r="E334" t="str">
        <f>"202012010358"</f>
        <v>202012010358</v>
      </c>
      <c r="F334" t="str">
        <f>"423-7548"</f>
        <v>423-7548</v>
      </c>
      <c r="G334" s="3">
        <v>100</v>
      </c>
      <c r="H334" t="str">
        <f>"423-7548"</f>
        <v>423-7548</v>
      </c>
    </row>
    <row r="335" spans="1:8" x14ac:dyDescent="0.25">
      <c r="E335" t="str">
        <f>"202012070580"</f>
        <v>202012070580</v>
      </c>
      <c r="F335" t="str">
        <f>"307122020A/ 307122020C"</f>
        <v>307122020A/ 307122020C</v>
      </c>
      <c r="G335" s="3">
        <v>375</v>
      </c>
      <c r="H335" t="str">
        <f>"307122020A/ 307122020C"</f>
        <v>307122020A/ 307122020C</v>
      </c>
    </row>
    <row r="336" spans="1:8" x14ac:dyDescent="0.25">
      <c r="E336" t="str">
        <f>"202012070581"</f>
        <v>202012070581</v>
      </c>
      <c r="F336" t="str">
        <f>"20-20426"</f>
        <v>20-20426</v>
      </c>
      <c r="G336" s="3">
        <v>325</v>
      </c>
      <c r="H336" t="str">
        <f>"20-20426"</f>
        <v>20-20426</v>
      </c>
    </row>
    <row r="337" spans="1:8" x14ac:dyDescent="0.25">
      <c r="E337" t="str">
        <f>"202012070582"</f>
        <v>202012070582</v>
      </c>
      <c r="F337" t="str">
        <f>"19-19994"</f>
        <v>19-19994</v>
      </c>
      <c r="G337" s="3">
        <v>400</v>
      </c>
      <c r="H337" t="str">
        <f>"19-19994"</f>
        <v>19-19994</v>
      </c>
    </row>
    <row r="338" spans="1:8" x14ac:dyDescent="0.25">
      <c r="E338" t="str">
        <f>"202012070583"</f>
        <v>202012070583</v>
      </c>
      <c r="F338" t="str">
        <f>"16-17578"</f>
        <v>16-17578</v>
      </c>
      <c r="G338" s="3">
        <v>400</v>
      </c>
      <c r="H338" t="str">
        <f>"16-17578"</f>
        <v>16-17578</v>
      </c>
    </row>
    <row r="339" spans="1:8" x14ac:dyDescent="0.25">
      <c r="E339" t="str">
        <f>"202012070584"</f>
        <v>202012070584</v>
      </c>
      <c r="F339" t="str">
        <f>"JP4022120-8"</f>
        <v>JP4022120-8</v>
      </c>
      <c r="G339" s="3">
        <v>250</v>
      </c>
      <c r="H339" t="str">
        <f>"JP4022120-8"</f>
        <v>JP4022120-8</v>
      </c>
    </row>
    <row r="340" spans="1:8" x14ac:dyDescent="0.25">
      <c r="E340" t="str">
        <f>"202012070585"</f>
        <v>202012070585</v>
      </c>
      <c r="F340" t="str">
        <f>"19-19572"</f>
        <v>19-19572</v>
      </c>
      <c r="G340" s="3">
        <v>300</v>
      </c>
      <c r="H340" t="str">
        <f>"19-19572"</f>
        <v>19-19572</v>
      </c>
    </row>
    <row r="341" spans="1:8" x14ac:dyDescent="0.25">
      <c r="E341" t="str">
        <f>"202012070586"</f>
        <v>202012070586</v>
      </c>
      <c r="F341" t="str">
        <f>"CRIM TRGT"</f>
        <v>CRIM TRGT</v>
      </c>
      <c r="G341" s="3">
        <v>250</v>
      </c>
      <c r="H341" t="str">
        <f>"CRIM TRGT"</f>
        <v>CRIM TRGT</v>
      </c>
    </row>
    <row r="342" spans="1:8" x14ac:dyDescent="0.25">
      <c r="A342" t="s">
        <v>97</v>
      </c>
      <c r="B342">
        <v>3675</v>
      </c>
      <c r="C342" s="3">
        <v>3887.5</v>
      </c>
      <c r="D342" s="5">
        <v>44180</v>
      </c>
      <c r="E342" t="str">
        <f>"202012010354"</f>
        <v>202012010354</v>
      </c>
      <c r="F342" t="str">
        <f>"17210"</f>
        <v>17210</v>
      </c>
      <c r="G342" s="3">
        <v>400</v>
      </c>
      <c r="H342" t="str">
        <f>"17210"</f>
        <v>17210</v>
      </c>
    </row>
    <row r="343" spans="1:8" x14ac:dyDescent="0.25">
      <c r="E343" t="str">
        <f>"202012030536"</f>
        <v>202012030536</v>
      </c>
      <c r="F343" t="str">
        <f>"1672-335  423-7561"</f>
        <v>1672-335  423-7561</v>
      </c>
      <c r="G343" s="3">
        <v>200</v>
      </c>
      <c r="H343" t="str">
        <f>"1672-335  423-7561"</f>
        <v>1672-335  423-7561</v>
      </c>
    </row>
    <row r="344" spans="1:8" x14ac:dyDescent="0.25">
      <c r="E344" t="str">
        <f>"202012030537"</f>
        <v>202012030537</v>
      </c>
      <c r="F344" t="str">
        <f>"423-7560  1669-21"</f>
        <v>423-7560  1669-21</v>
      </c>
      <c r="G344" s="3">
        <v>200</v>
      </c>
      <c r="H344" t="str">
        <f>"423-7560  1669-21"</f>
        <v>423-7560  1669-21</v>
      </c>
    </row>
    <row r="345" spans="1:8" x14ac:dyDescent="0.25">
      <c r="E345" t="str">
        <f>"202012070594"</f>
        <v>202012070594</v>
      </c>
      <c r="F345" t="str">
        <f>"16854"</f>
        <v>16854</v>
      </c>
      <c r="G345" s="3">
        <v>400</v>
      </c>
      <c r="H345" t="str">
        <f>"16854"</f>
        <v>16854</v>
      </c>
    </row>
    <row r="346" spans="1:8" x14ac:dyDescent="0.25">
      <c r="E346" t="str">
        <f>"202012070595"</f>
        <v>202012070595</v>
      </c>
      <c r="F346" t="str">
        <f>"19-19567"</f>
        <v>19-19567</v>
      </c>
      <c r="G346" s="3">
        <v>150</v>
      </c>
      <c r="H346" t="str">
        <f>"19-19567"</f>
        <v>19-19567</v>
      </c>
    </row>
    <row r="347" spans="1:8" x14ac:dyDescent="0.25">
      <c r="E347" t="str">
        <f>"202012070597"</f>
        <v>202012070597</v>
      </c>
      <c r="F347" t="str">
        <f>"20-20403"</f>
        <v>20-20403</v>
      </c>
      <c r="G347" s="3">
        <v>287.5</v>
      </c>
      <c r="H347" t="str">
        <f>"20-20403"</f>
        <v>20-20403</v>
      </c>
    </row>
    <row r="348" spans="1:8" x14ac:dyDescent="0.25">
      <c r="E348" t="str">
        <f>"202012070598"</f>
        <v>202012070598</v>
      </c>
      <c r="F348" t="str">
        <f>"19-19963"</f>
        <v>19-19963</v>
      </c>
      <c r="G348" s="3">
        <v>325</v>
      </c>
      <c r="H348" t="str">
        <f>"19-19963"</f>
        <v>19-19963</v>
      </c>
    </row>
    <row r="349" spans="1:8" x14ac:dyDescent="0.25">
      <c r="E349" t="str">
        <f>"202012070599"</f>
        <v>202012070599</v>
      </c>
      <c r="F349" t="str">
        <f>"20-20258"</f>
        <v>20-20258</v>
      </c>
      <c r="G349" s="3">
        <v>262.5</v>
      </c>
      <c r="H349" t="str">
        <f>"20-20258"</f>
        <v>20-20258</v>
      </c>
    </row>
    <row r="350" spans="1:8" x14ac:dyDescent="0.25">
      <c r="E350" t="str">
        <f>"202012070601"</f>
        <v>202012070601</v>
      </c>
      <c r="F350" t="str">
        <f>"J-3225"</f>
        <v>J-3225</v>
      </c>
      <c r="G350" s="3">
        <v>250</v>
      </c>
      <c r="H350" t="str">
        <f>"J-3225"</f>
        <v>J-3225</v>
      </c>
    </row>
    <row r="351" spans="1:8" x14ac:dyDescent="0.25">
      <c r="E351" t="str">
        <f>"202012070602"</f>
        <v>202012070602</v>
      </c>
      <c r="F351" t="str">
        <f>"4100520-1/4100520-2"</f>
        <v>4100520-1/4100520-2</v>
      </c>
      <c r="G351" s="3">
        <v>375</v>
      </c>
      <c r="H351" t="str">
        <f>"4100520-1/4100520-2"</f>
        <v>4100520-1/4100520-2</v>
      </c>
    </row>
    <row r="352" spans="1:8" x14ac:dyDescent="0.25">
      <c r="E352" t="str">
        <f>"202012070603"</f>
        <v>202012070603</v>
      </c>
      <c r="F352" t="str">
        <f>"12-15104"</f>
        <v>12-15104</v>
      </c>
      <c r="G352" s="3">
        <v>150</v>
      </c>
      <c r="H352" t="str">
        <f>"12-15104"</f>
        <v>12-15104</v>
      </c>
    </row>
    <row r="353" spans="1:8" x14ac:dyDescent="0.25">
      <c r="E353" t="str">
        <f>"202012070604"</f>
        <v>202012070604</v>
      </c>
      <c r="F353" t="str">
        <f>"20-20488"</f>
        <v>20-20488</v>
      </c>
      <c r="G353" s="3">
        <v>100</v>
      </c>
      <c r="H353" t="str">
        <f>"20-20488"</f>
        <v>20-20488</v>
      </c>
    </row>
    <row r="354" spans="1:8" x14ac:dyDescent="0.25">
      <c r="E354" t="str">
        <f>"202012070605"</f>
        <v>202012070605</v>
      </c>
      <c r="F354" t="str">
        <f>"20-20208"</f>
        <v>20-20208</v>
      </c>
      <c r="G354" s="3">
        <v>250</v>
      </c>
      <c r="H354" t="str">
        <f>"20-20208"</f>
        <v>20-20208</v>
      </c>
    </row>
    <row r="355" spans="1:8" x14ac:dyDescent="0.25">
      <c r="E355" t="str">
        <f>"202012070641"</f>
        <v>202012070641</v>
      </c>
      <c r="F355" t="str">
        <f>"20-20060"</f>
        <v>20-20060</v>
      </c>
      <c r="G355" s="3">
        <v>537.5</v>
      </c>
      <c r="H355" t="str">
        <f>"20-20060"</f>
        <v>20-20060</v>
      </c>
    </row>
    <row r="356" spans="1:8" x14ac:dyDescent="0.25">
      <c r="A356" t="s">
        <v>98</v>
      </c>
      <c r="B356">
        <v>3676</v>
      </c>
      <c r="C356" s="3">
        <v>400</v>
      </c>
      <c r="D356" s="5">
        <v>44180</v>
      </c>
      <c r="E356" t="str">
        <f>"202012010355"</f>
        <v>202012010355</v>
      </c>
      <c r="F356" t="str">
        <f>"17 148"</f>
        <v>17 148</v>
      </c>
      <c r="G356" s="3">
        <v>400</v>
      </c>
      <c r="H356" t="str">
        <f>"17 148"</f>
        <v>17 148</v>
      </c>
    </row>
    <row r="357" spans="1:8" x14ac:dyDescent="0.25">
      <c r="A357" t="s">
        <v>25</v>
      </c>
      <c r="B357">
        <v>3688</v>
      </c>
      <c r="C357" s="3">
        <v>6243.75</v>
      </c>
      <c r="D357" s="5">
        <v>44194</v>
      </c>
      <c r="E357" t="str">
        <f>"202012210833"</f>
        <v>202012210833</v>
      </c>
      <c r="F357" t="str">
        <f>"INV IN0851014"</f>
        <v>INV IN0851014</v>
      </c>
      <c r="G357" s="3">
        <v>3205.8</v>
      </c>
      <c r="H357" t="str">
        <f>"INV IN0851014"</f>
        <v>INV IN0851014</v>
      </c>
    </row>
    <row r="358" spans="1:8" x14ac:dyDescent="0.25">
      <c r="E358" t="str">
        <f>"IN0851227"</f>
        <v>IN0851227</v>
      </c>
      <c r="F358" t="str">
        <f>"INV IN0851227"</f>
        <v>INV IN0851227</v>
      </c>
      <c r="G358" s="3">
        <v>3037.95</v>
      </c>
      <c r="H358" t="str">
        <f>"INV IN0851227"</f>
        <v>INV IN0851227</v>
      </c>
    </row>
    <row r="359" spans="1:8" x14ac:dyDescent="0.25">
      <c r="A359" t="s">
        <v>99</v>
      </c>
      <c r="B359">
        <v>3689</v>
      </c>
      <c r="C359" s="3">
        <v>146.86000000000001</v>
      </c>
      <c r="D359" s="5">
        <v>44194</v>
      </c>
      <c r="E359" t="str">
        <f>"10L0121569859"</f>
        <v>10L0121569859</v>
      </c>
      <c r="F359" t="str">
        <f>"ACCT#0121569859/JP#4"</f>
        <v>ACCT#0121569859/JP#4</v>
      </c>
      <c r="G359" s="3">
        <v>12.99</v>
      </c>
      <c r="H359" t="str">
        <f>"ACCT#0121569859/JP#4"</f>
        <v>ACCT#0121569859/JP#4</v>
      </c>
    </row>
    <row r="360" spans="1:8" x14ac:dyDescent="0.25">
      <c r="E360" t="str">
        <f>"10LO121587851"</f>
        <v>10LO121587851</v>
      </c>
      <c r="F360" t="str">
        <f>"ACCT#0121587851/1133 DILDY/P4"</f>
        <v>ACCT#0121587851/1133 DILDY/P4</v>
      </c>
      <c r="G360" s="3">
        <v>133.87</v>
      </c>
      <c r="H360" t="str">
        <f>"ACCT#0121587851/1133 DILDY/P4"</f>
        <v>ACCT#0121587851/1133 DILDY/P4</v>
      </c>
    </row>
    <row r="361" spans="1:8" x14ac:dyDescent="0.25">
      <c r="A361" t="s">
        <v>26</v>
      </c>
      <c r="B361">
        <v>3690</v>
      </c>
      <c r="C361" s="3">
        <v>16316.61</v>
      </c>
      <c r="D361" s="5">
        <v>44194</v>
      </c>
      <c r="E361" t="str">
        <f>"9725-001-118936"</f>
        <v>9725-001-118936</v>
      </c>
      <c r="F361" t="str">
        <f>"ACCT#9725-001/REC BASE/PCT#1"</f>
        <v>ACCT#9725-001/REC BASE/PCT#1</v>
      </c>
      <c r="G361" s="3">
        <v>828.45</v>
      </c>
      <c r="H361" t="str">
        <f>"ACCT#9725-001/REC BASE/PCT#1"</f>
        <v>ACCT#9725-001/REC BASE/PCT#1</v>
      </c>
    </row>
    <row r="362" spans="1:8" x14ac:dyDescent="0.25">
      <c r="E362" t="str">
        <f>"9725-001-119488"</f>
        <v>9725-001-119488</v>
      </c>
      <c r="F362" t="str">
        <f t="shared" ref="F362:F369" si="2">"ACCT#9725-001/REC BASE/PCT#2"</f>
        <v>ACCT#9725-001/REC BASE/PCT#2</v>
      </c>
      <c r="G362" s="3">
        <v>1676.95</v>
      </c>
      <c r="H362" t="str">
        <f t="shared" ref="H362:H369" si="3">"ACCT#9725-001/REC BASE/PCT#2"</f>
        <v>ACCT#9725-001/REC BASE/PCT#2</v>
      </c>
    </row>
    <row r="363" spans="1:8" x14ac:dyDescent="0.25">
      <c r="E363" t="str">
        <f>"9725-001-119511"</f>
        <v>9725-001-119511</v>
      </c>
      <c r="F363" t="str">
        <f t="shared" si="2"/>
        <v>ACCT#9725-001/REC BASE/PCT#2</v>
      </c>
      <c r="G363" s="3">
        <v>1219.58</v>
      </c>
      <c r="H363" t="str">
        <f t="shared" si="3"/>
        <v>ACCT#9725-001/REC BASE/PCT#2</v>
      </c>
    </row>
    <row r="364" spans="1:8" x14ac:dyDescent="0.25">
      <c r="E364" t="str">
        <f>"9725-001-119534"</f>
        <v>9725-001-119534</v>
      </c>
      <c r="F364" t="str">
        <f t="shared" si="2"/>
        <v>ACCT#9725-001/REC BASE/PCT#2</v>
      </c>
      <c r="G364" s="3">
        <v>1870.69</v>
      </c>
      <c r="H364" t="str">
        <f t="shared" si="3"/>
        <v>ACCT#9725-001/REC BASE/PCT#2</v>
      </c>
    </row>
    <row r="365" spans="1:8" x14ac:dyDescent="0.25">
      <c r="E365" t="str">
        <f>"9725-001-119563"</f>
        <v>9725-001-119563</v>
      </c>
      <c r="F365" t="str">
        <f t="shared" si="2"/>
        <v>ACCT#9725-001/REC BASE/PCT#2</v>
      </c>
      <c r="G365" s="3">
        <v>1835.77</v>
      </c>
      <c r="H365" t="str">
        <f t="shared" si="3"/>
        <v>ACCT#9725-001/REC BASE/PCT#2</v>
      </c>
    </row>
    <row r="366" spans="1:8" x14ac:dyDescent="0.25">
      <c r="E366" t="str">
        <f>"9725-001-119592"</f>
        <v>9725-001-119592</v>
      </c>
      <c r="F366" t="str">
        <f t="shared" si="2"/>
        <v>ACCT#9725-001/REC BASE/PCT#2</v>
      </c>
      <c r="G366" s="3">
        <v>414.4</v>
      </c>
      <c r="H366" t="str">
        <f t="shared" si="3"/>
        <v>ACCT#9725-001/REC BASE/PCT#2</v>
      </c>
    </row>
    <row r="367" spans="1:8" x14ac:dyDescent="0.25">
      <c r="E367" t="str">
        <f>"9725-001-119612"</f>
        <v>9725-001-119612</v>
      </c>
      <c r="F367" t="str">
        <f t="shared" si="2"/>
        <v>ACCT#9725-001/REC BASE/PCT#2</v>
      </c>
      <c r="G367" s="3">
        <v>1700.68</v>
      </c>
      <c r="H367" t="str">
        <f t="shared" si="3"/>
        <v>ACCT#9725-001/REC BASE/PCT#2</v>
      </c>
    </row>
    <row r="368" spans="1:8" x14ac:dyDescent="0.25">
      <c r="E368" t="str">
        <f>"9725-001-119643"</f>
        <v>9725-001-119643</v>
      </c>
      <c r="F368" t="str">
        <f t="shared" si="2"/>
        <v>ACCT#9725-001/REC BASE/PCT#2</v>
      </c>
      <c r="G368" s="3">
        <v>1866.39</v>
      </c>
      <c r="H368" t="str">
        <f t="shared" si="3"/>
        <v>ACCT#9725-001/REC BASE/PCT#2</v>
      </c>
    </row>
    <row r="369" spans="1:8" x14ac:dyDescent="0.25">
      <c r="E369" t="str">
        <f>"9725-001-119679"</f>
        <v>9725-001-119679</v>
      </c>
      <c r="F369" t="str">
        <f t="shared" si="2"/>
        <v>ACCT#9725-001/REC BASE/PCT#2</v>
      </c>
      <c r="G369" s="3">
        <v>661.33</v>
      </c>
      <c r="H369" t="str">
        <f t="shared" si="3"/>
        <v>ACCT#9725-001/REC BASE/PCT#2</v>
      </c>
    </row>
    <row r="370" spans="1:8" x14ac:dyDescent="0.25">
      <c r="E370" t="str">
        <f>"9725-004-119523"</f>
        <v>9725-004-119523</v>
      </c>
      <c r="F370" t="str">
        <f>"ACCT#9725-004/REC BASE/PCT#1"</f>
        <v>ACCT#9725-004/REC BASE/PCT#1</v>
      </c>
      <c r="G370" s="3">
        <v>391.65</v>
      </c>
      <c r="H370" t="str">
        <f>"ACCT#9725-004/REC BASE/PCT#1"</f>
        <v>ACCT#9725-004/REC BASE/PCT#1</v>
      </c>
    </row>
    <row r="371" spans="1:8" x14ac:dyDescent="0.25">
      <c r="E371" t="str">
        <f>"9725-004-119546"</f>
        <v>9725-004-119546</v>
      </c>
      <c r="F371" t="str">
        <f>"ACCT#9725-004/REC BASE/PCT#1"</f>
        <v>ACCT#9725-004/REC BASE/PCT#1</v>
      </c>
      <c r="G371" s="3">
        <v>475.83</v>
      </c>
      <c r="H371" t="str">
        <f>"ACCT#9725-004/REC BASE/PCT#1"</f>
        <v>ACCT#9725-004/REC BASE/PCT#1</v>
      </c>
    </row>
    <row r="372" spans="1:8" x14ac:dyDescent="0.25">
      <c r="E372" t="str">
        <f>"9725-004-119573"</f>
        <v>9725-004-119573</v>
      </c>
      <c r="F372" t="str">
        <f>"ACCT#9725-004/REC BASE/PCT#1"</f>
        <v>ACCT#9725-004/REC BASE/PCT#1</v>
      </c>
      <c r="G372" s="3">
        <v>819.01</v>
      </c>
      <c r="H372" t="str">
        <f>"ACCT#9725-004/REC BASE/PCT#1"</f>
        <v>ACCT#9725-004/REC BASE/PCT#1</v>
      </c>
    </row>
    <row r="373" spans="1:8" x14ac:dyDescent="0.25">
      <c r="E373" t="str">
        <f>"9725-004-119623"</f>
        <v>9725-004-119623</v>
      </c>
      <c r="F373" t="str">
        <f>"ACCT#9725-004/REC BASE/PCT#1"</f>
        <v>ACCT#9725-004/REC BASE/PCT#1</v>
      </c>
      <c r="G373" s="3">
        <v>535.85</v>
      </c>
      <c r="H373" t="str">
        <f>"ACCT#9725-004/REC BASE/PCT#1"</f>
        <v>ACCT#9725-004/REC BASE/PCT#1</v>
      </c>
    </row>
    <row r="374" spans="1:8" x14ac:dyDescent="0.25">
      <c r="E374" t="str">
        <f>"9725-007-119524"</f>
        <v>9725-007-119524</v>
      </c>
      <c r="F374" t="str">
        <f>"ACCT#9725-007/REC BASE/PCT#4"</f>
        <v>ACCT#9725-007/REC BASE/PCT#4</v>
      </c>
      <c r="G374" s="3">
        <v>996.97</v>
      </c>
      <c r="H374" t="str">
        <f>"ACCT#9725-007/REC BASE/PCT#4"</f>
        <v>ACCT#9725-007/REC BASE/PCT#4</v>
      </c>
    </row>
    <row r="375" spans="1:8" x14ac:dyDescent="0.25">
      <c r="E375" t="str">
        <f>"9725-007-119601"</f>
        <v>9725-007-119601</v>
      </c>
      <c r="F375" t="str">
        <f>"ACCT#9725-007/REC BASE/PCT#4"</f>
        <v>ACCT#9725-007/REC BASE/PCT#4</v>
      </c>
      <c r="G375" s="3">
        <v>615.83000000000004</v>
      </c>
      <c r="H375" t="str">
        <f>"ACCT#9725-007/REC BASE/PCT#4"</f>
        <v>ACCT#9725-007/REC BASE/PCT#4</v>
      </c>
    </row>
    <row r="376" spans="1:8" x14ac:dyDescent="0.25">
      <c r="E376" t="str">
        <f>"9725-007-119655"</f>
        <v>9725-007-119655</v>
      </c>
      <c r="F376" t="str">
        <f>"ACCT#9725-007/REC BASE/PCT#4"</f>
        <v>ACCT#9725-007/REC BASE/PCT#4</v>
      </c>
      <c r="G376" s="3">
        <v>407.23</v>
      </c>
      <c r="H376" t="str">
        <f>"ACCT#9725-007/REC BASE/PCT#4"</f>
        <v>ACCT#9725-007/REC BASE/PCT#4</v>
      </c>
    </row>
    <row r="377" spans="1:8" x14ac:dyDescent="0.25">
      <c r="A377" t="s">
        <v>100</v>
      </c>
      <c r="B377">
        <v>3691</v>
      </c>
      <c r="C377" s="3">
        <v>30</v>
      </c>
      <c r="D377" s="5">
        <v>44194</v>
      </c>
      <c r="E377" t="str">
        <f>"202012210845"</f>
        <v>202012210845</v>
      </c>
      <c r="F377" t="str">
        <f>"REIMBURSE BAIL BOND STICKERS"</f>
        <v>REIMBURSE BAIL BOND STICKERS</v>
      </c>
      <c r="G377" s="3">
        <v>30</v>
      </c>
      <c r="H377" t="str">
        <f>"REIMBURSE BAIL BOND STICKERS"</f>
        <v>REIMBURSE BAIL BOND STICKERS</v>
      </c>
    </row>
    <row r="378" spans="1:8" x14ac:dyDescent="0.25">
      <c r="A378" t="s">
        <v>29</v>
      </c>
      <c r="B378">
        <v>3692</v>
      </c>
      <c r="C378" s="3">
        <v>1485</v>
      </c>
      <c r="D378" s="5">
        <v>44194</v>
      </c>
      <c r="E378" t="str">
        <f>"2020178"</f>
        <v>2020178</v>
      </c>
      <c r="F378" t="str">
        <f>"TRANSPORT - P.M. WEBER"</f>
        <v>TRANSPORT - P.M. WEBER</v>
      </c>
      <c r="G378" s="3">
        <v>495</v>
      </c>
      <c r="H378" t="str">
        <f>"TRANSPORT - P.M. WEBER"</f>
        <v>TRANSPORT - P.M. WEBER</v>
      </c>
    </row>
    <row r="379" spans="1:8" x14ac:dyDescent="0.25">
      <c r="E379" t="str">
        <f>"2020181"</f>
        <v>2020181</v>
      </c>
      <c r="F379" t="str">
        <f>"TRANSPORT - M.D. RUIZ"</f>
        <v>TRANSPORT - M.D. RUIZ</v>
      </c>
      <c r="G379" s="3">
        <v>495</v>
      </c>
      <c r="H379" t="str">
        <f>"TRANSPORT - M.D. RUIZ"</f>
        <v>TRANSPORT - M.D. RUIZ</v>
      </c>
    </row>
    <row r="380" spans="1:8" x14ac:dyDescent="0.25">
      <c r="E380" t="str">
        <f>"2020182"</f>
        <v>2020182</v>
      </c>
      <c r="F380" t="str">
        <f>"TRANSPORT - P. STARK"</f>
        <v>TRANSPORT - P. STARK</v>
      </c>
      <c r="G380" s="3">
        <v>495</v>
      </c>
      <c r="H380" t="str">
        <f>"TRANSPORT - P. STARK"</f>
        <v>TRANSPORT - P. STARK</v>
      </c>
    </row>
    <row r="381" spans="1:8" x14ac:dyDescent="0.25">
      <c r="A381" t="s">
        <v>30</v>
      </c>
      <c r="B381">
        <v>3693</v>
      </c>
      <c r="C381" s="3">
        <v>1395.94</v>
      </c>
      <c r="D381" s="5">
        <v>44194</v>
      </c>
      <c r="E381" t="str">
        <f>"12099288  12166407"</f>
        <v>12099288  12166407</v>
      </c>
      <c r="F381" t="str">
        <f>"INV 535311"</f>
        <v>INV 535311</v>
      </c>
      <c r="G381" s="3">
        <v>1395.94</v>
      </c>
      <c r="H381" t="str">
        <f>"INV 12099288"</f>
        <v>INV 12099288</v>
      </c>
    </row>
    <row r="382" spans="1:8" x14ac:dyDescent="0.25">
      <c r="E382" t="str">
        <f>""</f>
        <v/>
      </c>
      <c r="F382" t="str">
        <f>""</f>
        <v/>
      </c>
      <c r="H382" t="str">
        <f>"INV 12166407"</f>
        <v>INV 12166407</v>
      </c>
    </row>
    <row r="383" spans="1:8" x14ac:dyDescent="0.25">
      <c r="A383" t="s">
        <v>31</v>
      </c>
      <c r="B383">
        <v>3694</v>
      </c>
      <c r="C383" s="3">
        <v>364</v>
      </c>
      <c r="D383" s="5">
        <v>44194</v>
      </c>
      <c r="E383" t="str">
        <f>"202012210839"</f>
        <v>202012210839</v>
      </c>
      <c r="F383" t="str">
        <f>"TRASH REMOVAL 12/14-12/22 / P4"</f>
        <v>TRASH REMOVAL 12/14-12/22 / P4</v>
      </c>
      <c r="G383" s="3">
        <v>364</v>
      </c>
      <c r="H383" t="str">
        <f>"TRASH REMOVAL 12/14-12/22 / P4"</f>
        <v>TRASH REMOVAL 12/14-12/22 / P4</v>
      </c>
    </row>
    <row r="384" spans="1:8" x14ac:dyDescent="0.25">
      <c r="A384" t="s">
        <v>32</v>
      </c>
      <c r="B384">
        <v>3695</v>
      </c>
      <c r="C384" s="3">
        <v>1747.62</v>
      </c>
      <c r="D384" s="5">
        <v>44194</v>
      </c>
      <c r="E384" t="str">
        <f>"202012170725"</f>
        <v>202012170725</v>
      </c>
      <c r="F384" t="str">
        <f>"HAULING EXPS 12/08-12/16 / P4"</f>
        <v>HAULING EXPS 12/08-12/16 / P4</v>
      </c>
      <c r="G384" s="3">
        <v>1747.62</v>
      </c>
      <c r="H384" t="str">
        <f>"HAULING EXPS 12/08-12/16 / P4"</f>
        <v>HAULING EXPS 12/08-12/16 / P4</v>
      </c>
    </row>
    <row r="385" spans="1:8" x14ac:dyDescent="0.25">
      <c r="A385" t="s">
        <v>101</v>
      </c>
      <c r="B385">
        <v>3696</v>
      </c>
      <c r="C385" s="3">
        <v>820</v>
      </c>
      <c r="D385" s="5">
        <v>44194</v>
      </c>
      <c r="E385" t="str">
        <f>"202012210863"</f>
        <v>202012210863</v>
      </c>
      <c r="F385" t="str">
        <f>"KNIGHT SECURITY SYSTEMS LLC"</f>
        <v>KNIGHT SECURITY SYSTEMS LLC</v>
      </c>
      <c r="G385" s="3">
        <v>820</v>
      </c>
      <c r="H385" t="str">
        <f>"Door Repair"</f>
        <v>Door Repair</v>
      </c>
    </row>
    <row r="386" spans="1:8" x14ac:dyDescent="0.25">
      <c r="A386" t="s">
        <v>102</v>
      </c>
      <c r="B386">
        <v>3697</v>
      </c>
      <c r="C386" s="3">
        <v>749</v>
      </c>
      <c r="D386" s="5">
        <v>44194</v>
      </c>
      <c r="E386" t="str">
        <f>"PMA-0069508"</f>
        <v>PMA-0069508</v>
      </c>
      <c r="F386" t="str">
        <f>"INV PMA-0069508"</f>
        <v>INV PMA-0069508</v>
      </c>
      <c r="G386" s="3">
        <v>749</v>
      </c>
      <c r="H386" t="str">
        <f>"INV PMA-0069508"</f>
        <v>INV PMA-0069508</v>
      </c>
    </row>
    <row r="387" spans="1:8" x14ac:dyDescent="0.25">
      <c r="A387" t="s">
        <v>33</v>
      </c>
      <c r="B387">
        <v>3698</v>
      </c>
      <c r="C387" s="3">
        <v>364</v>
      </c>
      <c r="D387" s="5">
        <v>44194</v>
      </c>
      <c r="E387" t="str">
        <f>"202012210840"</f>
        <v>202012210840</v>
      </c>
      <c r="F387" t="str">
        <f>"TRASH REMOVAL 12/14-12/22 / P4"</f>
        <v>TRASH REMOVAL 12/14-12/22 / P4</v>
      </c>
      <c r="G387" s="3">
        <v>364</v>
      </c>
      <c r="H387" t="str">
        <f>"TRASH REMOVAL 12/14-12/22 / P4"</f>
        <v>TRASH REMOVAL 12/14-12/22 / P4</v>
      </c>
    </row>
    <row r="388" spans="1:8" x14ac:dyDescent="0.25">
      <c r="A388" t="s">
        <v>34</v>
      </c>
      <c r="B388">
        <v>3699</v>
      </c>
      <c r="C388" s="3">
        <v>3352.05</v>
      </c>
      <c r="D388" s="5">
        <v>44194</v>
      </c>
      <c r="E388" t="str">
        <f>"23652"</f>
        <v>23652</v>
      </c>
      <c r="F388" t="str">
        <f>"FREIGHT SALES/PCT#2"</f>
        <v>FREIGHT SALES/PCT#2</v>
      </c>
      <c r="G388" s="3">
        <v>3352.05</v>
      </c>
      <c r="H388" t="str">
        <f>"FREIGHT SALES/PCT#2"</f>
        <v>FREIGHT SALES/PCT#2</v>
      </c>
    </row>
    <row r="389" spans="1:8" x14ac:dyDescent="0.25">
      <c r="A389" t="s">
        <v>35</v>
      </c>
      <c r="B389">
        <v>3700</v>
      </c>
      <c r="C389" s="3">
        <v>3600</v>
      </c>
      <c r="D389" s="5">
        <v>44194</v>
      </c>
      <c r="E389" t="str">
        <f>"202012170713"</f>
        <v>202012170713</v>
      </c>
      <c r="F389" t="str">
        <f>"1649-21"</f>
        <v>1649-21</v>
      </c>
      <c r="G389" s="3">
        <v>100</v>
      </c>
      <c r="H389" t="str">
        <f>"1649-21"</f>
        <v>1649-21</v>
      </c>
    </row>
    <row r="390" spans="1:8" x14ac:dyDescent="0.25">
      <c r="E390" t="str">
        <f>"202012180763"</f>
        <v>202012180763</v>
      </c>
      <c r="F390" t="str">
        <f>"16 902"</f>
        <v>16 902</v>
      </c>
      <c r="G390" s="3">
        <v>550</v>
      </c>
      <c r="H390" t="str">
        <f>"16 902"</f>
        <v>16 902</v>
      </c>
    </row>
    <row r="391" spans="1:8" x14ac:dyDescent="0.25">
      <c r="E391" t="str">
        <f>"202012180764"</f>
        <v>202012180764</v>
      </c>
      <c r="F391" t="str">
        <f>"16 595"</f>
        <v>16 595</v>
      </c>
      <c r="G391" s="3">
        <v>2100</v>
      </c>
      <c r="H391" t="str">
        <f>"16 595"</f>
        <v>16 595</v>
      </c>
    </row>
    <row r="392" spans="1:8" x14ac:dyDescent="0.25">
      <c r="E392" t="str">
        <f>"202012180765"</f>
        <v>202012180765</v>
      </c>
      <c r="F392" t="str">
        <f>"19-19914"</f>
        <v>19-19914</v>
      </c>
      <c r="G392" s="3">
        <v>100</v>
      </c>
      <c r="H392" t="str">
        <f>"19-19914"</f>
        <v>19-19914</v>
      </c>
    </row>
    <row r="393" spans="1:8" x14ac:dyDescent="0.25">
      <c r="E393" t="str">
        <f>"202012180766"</f>
        <v>202012180766</v>
      </c>
      <c r="F393" t="str">
        <f>"11-14521"</f>
        <v>11-14521</v>
      </c>
      <c r="G393" s="3">
        <v>250</v>
      </c>
      <c r="H393" t="str">
        <f>"11-14521"</f>
        <v>11-14521</v>
      </c>
    </row>
    <row r="394" spans="1:8" x14ac:dyDescent="0.25">
      <c r="E394" t="str">
        <f>"202012180767"</f>
        <v>202012180767</v>
      </c>
      <c r="F394" t="str">
        <f>"57 680"</f>
        <v>57 680</v>
      </c>
      <c r="G394" s="3">
        <v>250</v>
      </c>
      <c r="H394" t="str">
        <f>"57 680"</f>
        <v>57 680</v>
      </c>
    </row>
    <row r="395" spans="1:8" x14ac:dyDescent="0.25">
      <c r="E395" t="str">
        <f>"202012180768"</f>
        <v>202012180768</v>
      </c>
      <c r="F395" t="str">
        <f>"20-20510"</f>
        <v>20-20510</v>
      </c>
      <c r="G395" s="3">
        <v>250</v>
      </c>
      <c r="H395" t="str">
        <f>"20-20510"</f>
        <v>20-20510</v>
      </c>
    </row>
    <row r="396" spans="1:8" x14ac:dyDescent="0.25">
      <c r="A396" t="s">
        <v>36</v>
      </c>
      <c r="B396">
        <v>3701</v>
      </c>
      <c r="C396" s="3">
        <v>888.35</v>
      </c>
      <c r="D396" s="5">
        <v>44194</v>
      </c>
      <c r="E396" t="str">
        <f>"2008449"</f>
        <v>2008449</v>
      </c>
      <c r="F396" t="str">
        <f>"ACCT#BA-CNTY-01/MATERIALS/LABO"</f>
        <v>ACCT#BA-CNTY-01/MATERIALS/LABO</v>
      </c>
      <c r="G396" s="3">
        <v>888.35</v>
      </c>
      <c r="H396" t="str">
        <f>"ACCT#BA-CNTY-01/MATERIALS/LABO"</f>
        <v>ACCT#BA-CNTY-01/MATERIALS/LABO</v>
      </c>
    </row>
    <row r="397" spans="1:8" x14ac:dyDescent="0.25">
      <c r="A397" t="s">
        <v>37</v>
      </c>
      <c r="B397">
        <v>3702</v>
      </c>
      <c r="C397" s="3">
        <v>1968</v>
      </c>
      <c r="D397" s="5">
        <v>44194</v>
      </c>
      <c r="E397" t="str">
        <f>"2189"</f>
        <v>2189</v>
      </c>
      <c r="F397" t="str">
        <f>"13679-A"</f>
        <v>13679-A</v>
      </c>
      <c r="G397" s="3">
        <v>1518</v>
      </c>
      <c r="H397" t="str">
        <f>"13679-A"</f>
        <v>13679-A</v>
      </c>
    </row>
    <row r="398" spans="1:8" x14ac:dyDescent="0.25">
      <c r="E398" t="str">
        <f>"2190"</f>
        <v>2190</v>
      </c>
      <c r="F398" t="str">
        <f>"HUNTERS CROSSING STATUS HRING"</f>
        <v>HUNTERS CROSSING STATUS HRING</v>
      </c>
      <c r="G398" s="3">
        <v>450</v>
      </c>
      <c r="H398" t="str">
        <f>"HUNTERS CROSSING STATUS HRING"</f>
        <v>HUNTERS CROSSING STATUS HRING</v>
      </c>
    </row>
    <row r="399" spans="1:8" x14ac:dyDescent="0.25">
      <c r="A399" t="s">
        <v>103</v>
      </c>
      <c r="B399">
        <v>3703</v>
      </c>
      <c r="C399" s="3">
        <v>11298.75</v>
      </c>
      <c r="D399" s="5">
        <v>44194</v>
      </c>
      <c r="E399" t="str">
        <f>"202012180744"</f>
        <v>202012180744</v>
      </c>
      <c r="F399" t="str">
        <f>"19-19567"</f>
        <v>19-19567</v>
      </c>
      <c r="G399" s="3">
        <v>120</v>
      </c>
      <c r="H399" t="str">
        <f>"19-19567"</f>
        <v>19-19567</v>
      </c>
    </row>
    <row r="400" spans="1:8" x14ac:dyDescent="0.25">
      <c r="E400" t="str">
        <f>"202012180745"</f>
        <v>202012180745</v>
      </c>
      <c r="F400" t="str">
        <f>"20-20372"</f>
        <v>20-20372</v>
      </c>
      <c r="G400" s="3">
        <v>385</v>
      </c>
      <c r="H400" t="str">
        <f>"20-20372"</f>
        <v>20-20372</v>
      </c>
    </row>
    <row r="401" spans="1:8" x14ac:dyDescent="0.25">
      <c r="E401" t="str">
        <f>"202012180746"</f>
        <v>202012180746</v>
      </c>
      <c r="F401" t="str">
        <f>"19-19680"</f>
        <v>19-19680</v>
      </c>
      <c r="G401" s="3">
        <v>313.75</v>
      </c>
      <c r="H401" t="str">
        <f>"19-19680"</f>
        <v>19-19680</v>
      </c>
    </row>
    <row r="402" spans="1:8" x14ac:dyDescent="0.25">
      <c r="E402" t="str">
        <f>"202012180793"</f>
        <v>202012180793</v>
      </c>
      <c r="F402" t="str">
        <f>"19-19931"</f>
        <v>19-19931</v>
      </c>
      <c r="G402" s="3">
        <v>1025</v>
      </c>
      <c r="H402" t="str">
        <f>"19-19931"</f>
        <v>19-19931</v>
      </c>
    </row>
    <row r="403" spans="1:8" x14ac:dyDescent="0.25">
      <c r="E403" t="str">
        <f>"202012180794"</f>
        <v>202012180794</v>
      </c>
      <c r="F403" t="str">
        <f>"19-19931"</f>
        <v>19-19931</v>
      </c>
      <c r="G403" s="3">
        <v>730</v>
      </c>
      <c r="H403" t="str">
        <f>"19-19931"</f>
        <v>19-19931</v>
      </c>
    </row>
    <row r="404" spans="1:8" x14ac:dyDescent="0.25">
      <c r="E404" t="str">
        <f>"202012180795"</f>
        <v>202012180795</v>
      </c>
      <c r="F404" t="str">
        <f>"19-19718"</f>
        <v>19-19718</v>
      </c>
      <c r="G404" s="3">
        <v>1480</v>
      </c>
      <c r="H404" t="str">
        <f>"19-19718"</f>
        <v>19-19718</v>
      </c>
    </row>
    <row r="405" spans="1:8" x14ac:dyDescent="0.25">
      <c r="E405" t="str">
        <f>"202012180796"</f>
        <v>202012180796</v>
      </c>
      <c r="F405" t="str">
        <f>"19-19567"</f>
        <v>19-19567</v>
      </c>
      <c r="G405" s="3">
        <v>1585</v>
      </c>
      <c r="H405" t="str">
        <f>"19-19567"</f>
        <v>19-19567</v>
      </c>
    </row>
    <row r="406" spans="1:8" x14ac:dyDescent="0.25">
      <c r="E406" t="str">
        <f>"202012180797"</f>
        <v>202012180797</v>
      </c>
      <c r="F406" t="str">
        <f>"20-20377"</f>
        <v>20-20377</v>
      </c>
      <c r="G406" s="3">
        <v>822.5</v>
      </c>
      <c r="H406" t="str">
        <f>"20-20377"</f>
        <v>20-20377</v>
      </c>
    </row>
    <row r="407" spans="1:8" x14ac:dyDescent="0.25">
      <c r="E407" t="str">
        <f>"202012180798"</f>
        <v>202012180798</v>
      </c>
      <c r="F407" t="str">
        <f>"20-20377"</f>
        <v>20-20377</v>
      </c>
      <c r="G407" s="3">
        <v>420</v>
      </c>
      <c r="H407" t="str">
        <f>"20-20377"</f>
        <v>20-20377</v>
      </c>
    </row>
    <row r="408" spans="1:8" x14ac:dyDescent="0.25">
      <c r="E408" t="str">
        <f>"202012180799"</f>
        <v>202012180799</v>
      </c>
      <c r="F408" t="str">
        <f>"19-19975"</f>
        <v>19-19975</v>
      </c>
      <c r="G408" s="3">
        <v>750</v>
      </c>
      <c r="H408" t="str">
        <f>"19-19975"</f>
        <v>19-19975</v>
      </c>
    </row>
    <row r="409" spans="1:8" x14ac:dyDescent="0.25">
      <c r="E409" t="str">
        <f>"202012180800"</f>
        <v>202012180800</v>
      </c>
      <c r="F409" t="str">
        <f>"20-20372"</f>
        <v>20-20372</v>
      </c>
      <c r="G409" s="3">
        <v>487.5</v>
      </c>
      <c r="H409" t="str">
        <f>"20-20372"</f>
        <v>20-20372</v>
      </c>
    </row>
    <row r="410" spans="1:8" x14ac:dyDescent="0.25">
      <c r="E410" t="str">
        <f>"202012180801"</f>
        <v>202012180801</v>
      </c>
      <c r="F410" t="str">
        <f>" 20-20056"</f>
        <v xml:space="preserve"> 20-20056</v>
      </c>
      <c r="G410" s="3">
        <v>918.75</v>
      </c>
      <c r="H410" t="str">
        <f>" 20-20056"</f>
        <v xml:space="preserve"> 20-20056</v>
      </c>
    </row>
    <row r="411" spans="1:8" x14ac:dyDescent="0.25">
      <c r="E411" t="str">
        <f>"202012180802"</f>
        <v>202012180802</v>
      </c>
      <c r="F411" t="str">
        <f>"20-20056"</f>
        <v>20-20056</v>
      </c>
      <c r="G411" s="3">
        <v>716.25</v>
      </c>
      <c r="H411" t="str">
        <f>"20-20056"</f>
        <v>20-20056</v>
      </c>
    </row>
    <row r="412" spans="1:8" x14ac:dyDescent="0.25">
      <c r="E412" t="str">
        <f>"202012180803"</f>
        <v>202012180803</v>
      </c>
      <c r="F412" t="str">
        <f>"19-19862"</f>
        <v>19-19862</v>
      </c>
      <c r="G412" s="3">
        <v>992.5</v>
      </c>
      <c r="H412" t="str">
        <f>"19-19862"</f>
        <v>19-19862</v>
      </c>
    </row>
    <row r="413" spans="1:8" x14ac:dyDescent="0.25">
      <c r="E413" t="str">
        <f>"202012180804"</f>
        <v>202012180804</v>
      </c>
      <c r="F413" t="str">
        <f>"19-19862"</f>
        <v>19-19862</v>
      </c>
      <c r="G413" s="3">
        <v>552.5</v>
      </c>
      <c r="H413" t="str">
        <f>"19-19862"</f>
        <v>19-19862</v>
      </c>
    </row>
    <row r="414" spans="1:8" x14ac:dyDescent="0.25">
      <c r="A414" t="s">
        <v>104</v>
      </c>
      <c r="B414">
        <v>3704</v>
      </c>
      <c r="C414" s="3">
        <v>782.5</v>
      </c>
      <c r="D414" s="5">
        <v>44194</v>
      </c>
      <c r="E414" t="str">
        <f>"202012180805"</f>
        <v>202012180805</v>
      </c>
      <c r="F414" t="str">
        <f>"20-20394"</f>
        <v>20-20394</v>
      </c>
      <c r="G414" s="3">
        <v>135</v>
      </c>
      <c r="H414" t="str">
        <f>"20-20394"</f>
        <v>20-20394</v>
      </c>
    </row>
    <row r="415" spans="1:8" x14ac:dyDescent="0.25">
      <c r="E415" t="str">
        <f>"202012180806"</f>
        <v>202012180806</v>
      </c>
      <c r="F415" t="str">
        <f>"20-20130"</f>
        <v>20-20130</v>
      </c>
      <c r="G415" s="3">
        <v>135</v>
      </c>
      <c r="H415" t="str">
        <f>"20-20130"</f>
        <v>20-20130</v>
      </c>
    </row>
    <row r="416" spans="1:8" x14ac:dyDescent="0.25">
      <c r="E416" t="str">
        <f>"202012180807"</f>
        <v>202012180807</v>
      </c>
      <c r="F416" t="str">
        <f>"20-20056"</f>
        <v>20-20056</v>
      </c>
      <c r="G416" s="3">
        <v>150</v>
      </c>
      <c r="H416" t="str">
        <f>"20-20056"</f>
        <v>20-20056</v>
      </c>
    </row>
    <row r="417" spans="1:8" x14ac:dyDescent="0.25">
      <c r="E417" t="str">
        <f>"202012180808"</f>
        <v>202012180808</v>
      </c>
      <c r="F417" t="str">
        <f>"19-19638"</f>
        <v>19-19638</v>
      </c>
      <c r="G417" s="3">
        <v>45</v>
      </c>
      <c r="H417" t="str">
        <f>"19-19638"</f>
        <v>19-19638</v>
      </c>
    </row>
    <row r="418" spans="1:8" x14ac:dyDescent="0.25">
      <c r="E418" t="str">
        <f>"202012180809"</f>
        <v>202012180809</v>
      </c>
      <c r="F418" t="str">
        <f>"19-19866"</f>
        <v>19-19866</v>
      </c>
      <c r="G418" s="3">
        <v>160</v>
      </c>
      <c r="H418" t="str">
        <f>"19-19866"</f>
        <v>19-19866</v>
      </c>
    </row>
    <row r="419" spans="1:8" x14ac:dyDescent="0.25">
      <c r="E419" t="str">
        <f>"202012180810"</f>
        <v>202012180810</v>
      </c>
      <c r="F419" t="str">
        <f>"19-19967"</f>
        <v>19-19967</v>
      </c>
      <c r="G419" s="3">
        <v>90</v>
      </c>
      <c r="H419" t="str">
        <f>"19-19967"</f>
        <v>19-19967</v>
      </c>
    </row>
    <row r="420" spans="1:8" x14ac:dyDescent="0.25">
      <c r="E420" t="str">
        <f>"202012180811"</f>
        <v>202012180811</v>
      </c>
      <c r="F420" t="str">
        <f>"20-20096"</f>
        <v>20-20096</v>
      </c>
      <c r="G420" s="3">
        <v>67.5</v>
      </c>
      <c r="H420" t="str">
        <f>"20-20096"</f>
        <v>20-20096</v>
      </c>
    </row>
    <row r="421" spans="1:8" x14ac:dyDescent="0.25">
      <c r="A421" t="s">
        <v>41</v>
      </c>
      <c r="B421">
        <v>3705</v>
      </c>
      <c r="C421" s="3">
        <v>413.66</v>
      </c>
      <c r="D421" s="5">
        <v>44194</v>
      </c>
      <c r="E421" t="str">
        <f>"205423"</f>
        <v>205423</v>
      </c>
      <c r="F421" t="str">
        <f>"WIRE BRAIDED HOSE/PCT#3"</f>
        <v>WIRE BRAIDED HOSE/PCT#3</v>
      </c>
      <c r="G421" s="3">
        <v>413.66</v>
      </c>
      <c r="H421" t="str">
        <f>"WIRE BRAIDED HOSE/PCT#3"</f>
        <v>WIRE BRAIDED HOSE/PCT#3</v>
      </c>
    </row>
    <row r="422" spans="1:8" x14ac:dyDescent="0.25">
      <c r="A422" t="s">
        <v>105</v>
      </c>
      <c r="B422">
        <v>3706</v>
      </c>
      <c r="C422" s="3">
        <v>4909.7</v>
      </c>
      <c r="D422" s="5">
        <v>44194</v>
      </c>
      <c r="E422" t="str">
        <f>"19921"</f>
        <v>19921</v>
      </c>
      <c r="F422" t="str">
        <f>"COLD MIX/FREIGHT/PCT#3"</f>
        <v>COLD MIX/FREIGHT/PCT#3</v>
      </c>
      <c r="G422" s="3">
        <v>2547.1999999999998</v>
      </c>
      <c r="H422" t="str">
        <f>"COLD MIX/FREIGHT/PCT#3"</f>
        <v>COLD MIX/FREIGHT/PCT#3</v>
      </c>
    </row>
    <row r="423" spans="1:8" x14ac:dyDescent="0.25">
      <c r="E423" t="str">
        <f>"19947"</f>
        <v>19947</v>
      </c>
      <c r="F423" t="str">
        <f>"COLD MIX/FREIGHT/PCT#4"</f>
        <v>COLD MIX/FREIGHT/PCT#4</v>
      </c>
      <c r="G423" s="3">
        <v>2362.5</v>
      </c>
      <c r="H423" t="str">
        <f>"COLD MIX/FREIGHT/PCT#4"</f>
        <v>COLD MIX/FREIGHT/PCT#4</v>
      </c>
    </row>
    <row r="424" spans="1:8" x14ac:dyDescent="0.25">
      <c r="A424" t="s">
        <v>106</v>
      </c>
      <c r="B424">
        <v>3707</v>
      </c>
      <c r="C424" s="3">
        <v>9179.1200000000008</v>
      </c>
      <c r="D424" s="5">
        <v>44194</v>
      </c>
      <c r="E424" t="str">
        <f>"15132"</f>
        <v>15132</v>
      </c>
      <c r="F424" t="str">
        <f>"BC OCT/NOV ADV-FACEBOOK ADS"</f>
        <v>BC OCT/NOV ADV-FACEBOOK ADS</v>
      </c>
      <c r="G424" s="3">
        <v>8279.1200000000008</v>
      </c>
      <c r="H424" t="str">
        <f>"BC OCT/NOV ADV-FACEBOOK ADS"</f>
        <v>BC OCT/NOV ADV-FACEBOOK ADS</v>
      </c>
    </row>
    <row r="425" spans="1:8" x14ac:dyDescent="0.25">
      <c r="E425" t="str">
        <f>"15133"</f>
        <v>15133</v>
      </c>
      <c r="F425" t="str">
        <f>"BC OCT/NOV ADV/WEBSITE HOSTING"</f>
        <v>BC OCT/NOV ADV/WEBSITE HOSTING</v>
      </c>
      <c r="G425" s="3">
        <v>900</v>
      </c>
      <c r="H425" t="str">
        <f>"BC OCT/NOV ADV/WEBSITE HOSTING"</f>
        <v>BC OCT/NOV ADV/WEBSITE HOSTING</v>
      </c>
    </row>
    <row r="426" spans="1:8" x14ac:dyDescent="0.25">
      <c r="A426" t="s">
        <v>42</v>
      </c>
      <c r="B426">
        <v>3708</v>
      </c>
      <c r="C426" s="3">
        <v>535</v>
      </c>
      <c r="D426" s="5">
        <v>44194</v>
      </c>
      <c r="E426" t="str">
        <f>"20753"</f>
        <v>20753</v>
      </c>
      <c r="F426" t="str">
        <f>"CABLING INSTALL/LABOR/MATERIAL"</f>
        <v>CABLING INSTALL/LABOR/MATERIAL</v>
      </c>
      <c r="G426" s="3">
        <v>535</v>
      </c>
      <c r="H426" t="str">
        <f>"CABLING INSTALL/LABOR/MATERIAL"</f>
        <v>CABLING INSTALL/LABOR/MATERIAL</v>
      </c>
    </row>
    <row r="427" spans="1:8" x14ac:dyDescent="0.25">
      <c r="A427" t="s">
        <v>107</v>
      </c>
      <c r="B427">
        <v>3709</v>
      </c>
      <c r="C427" s="3">
        <v>6886.65</v>
      </c>
      <c r="D427" s="5">
        <v>44194</v>
      </c>
      <c r="E427" t="str">
        <f>"26391"</f>
        <v>26391</v>
      </c>
      <c r="F427" t="str">
        <f>"INV 26391"</f>
        <v>INV 26391</v>
      </c>
      <c r="G427" s="3">
        <v>6886.65</v>
      </c>
      <c r="H427" t="str">
        <f>"INV 26391"</f>
        <v>INV 26391</v>
      </c>
    </row>
    <row r="428" spans="1:8" x14ac:dyDescent="0.25">
      <c r="A428" t="s">
        <v>108</v>
      </c>
      <c r="B428">
        <v>3710</v>
      </c>
      <c r="C428" s="3">
        <v>38446.879999999997</v>
      </c>
      <c r="D428" s="5">
        <v>44194</v>
      </c>
      <c r="E428" t="str">
        <f>"154383"</f>
        <v>154383</v>
      </c>
      <c r="F428" t="str">
        <f>"QUALYS INC"</f>
        <v>QUALYS INC</v>
      </c>
      <c r="G428" s="3">
        <v>38446.879999999997</v>
      </c>
      <c r="H428" t="str">
        <f>"Qualys Express Suite"</f>
        <v>Qualys Express Suite</v>
      </c>
    </row>
    <row r="429" spans="1:8" x14ac:dyDescent="0.25">
      <c r="A429" t="s">
        <v>109</v>
      </c>
      <c r="B429">
        <v>3711</v>
      </c>
      <c r="C429" s="3">
        <v>375</v>
      </c>
      <c r="D429" s="5">
        <v>44194</v>
      </c>
      <c r="E429" t="str">
        <f>"GL-2016EXPLORER-SB"</f>
        <v>GL-2016EXPLORER-SB</v>
      </c>
      <c r="F429" t="str">
        <f>"INV GL-2016EXPLORER-SB"</f>
        <v>INV GL-2016EXPLORER-SB</v>
      </c>
      <c r="G429" s="3">
        <v>375</v>
      </c>
      <c r="H429" t="str">
        <f>"INV GL-2016EXPLORER-SB"</f>
        <v>INV GL-2016EXPLORER-SB</v>
      </c>
    </row>
    <row r="430" spans="1:8" x14ac:dyDescent="0.25">
      <c r="A430" t="s">
        <v>46</v>
      </c>
      <c r="B430">
        <v>3712</v>
      </c>
      <c r="C430" s="3">
        <v>401.5</v>
      </c>
      <c r="D430" s="5">
        <v>44194</v>
      </c>
      <c r="E430" t="str">
        <f>"197168"</f>
        <v>197168</v>
      </c>
      <c r="F430" t="str">
        <f>"ACCT#188757/DPS/TDL"</f>
        <v>ACCT#188757/DPS/TDL</v>
      </c>
      <c r="G430" s="3">
        <v>76</v>
      </c>
      <c r="H430" t="str">
        <f>"ACCT#188757/DPS/TDL"</f>
        <v>ACCT#188757/DPS/TDL</v>
      </c>
    </row>
    <row r="431" spans="1:8" x14ac:dyDescent="0.25">
      <c r="E431" t="str">
        <f>"197427"</f>
        <v>197427</v>
      </c>
      <c r="F431" t="str">
        <f>"ACCT#188757/JUVENILE BOOT CAMP"</f>
        <v>ACCT#188757/JUVENILE BOOT CAMP</v>
      </c>
      <c r="G431" s="3">
        <v>118.5</v>
      </c>
      <c r="H431" t="str">
        <f>"ACCT#188757/JUVENILE BOOT CAMP"</f>
        <v>ACCT#188757/JUVENILE BOOT CAMP</v>
      </c>
    </row>
    <row r="432" spans="1:8" x14ac:dyDescent="0.25">
      <c r="E432" t="str">
        <f>"197469"</f>
        <v>197469</v>
      </c>
      <c r="F432" t="str">
        <f>"ACCT#188757/RD&amp;BRIDGE/SIGN SHP"</f>
        <v>ACCT#188757/RD&amp;BRIDGE/SIGN SHP</v>
      </c>
      <c r="G432" s="3">
        <v>95</v>
      </c>
      <c r="H432" t="str">
        <f>"ACCT#188757/RD&amp;BRIDGE/SIGN SHP"</f>
        <v>ACCT#188757/RD&amp;BRIDGE/SIGN SHP</v>
      </c>
    </row>
    <row r="433" spans="1:8" x14ac:dyDescent="0.25">
      <c r="E433" t="str">
        <f>"197625"</f>
        <v>197625</v>
      </c>
      <c r="F433" t="str">
        <f>"ACCT#188757/MIKE FISHER BLDG"</f>
        <v>ACCT#188757/MIKE FISHER BLDG</v>
      </c>
      <c r="G433" s="3">
        <v>112</v>
      </c>
      <c r="H433" t="str">
        <f>"ACCT#188757/MIKE FISHER BLDG"</f>
        <v>ACCT#188757/MIKE FISHER BLDG</v>
      </c>
    </row>
    <row r="434" spans="1:8" x14ac:dyDescent="0.25">
      <c r="A434" t="s">
        <v>110</v>
      </c>
      <c r="B434">
        <v>3713</v>
      </c>
      <c r="C434" s="3">
        <v>3450</v>
      </c>
      <c r="D434" s="5">
        <v>44194</v>
      </c>
      <c r="E434" t="str">
        <f>"815"</f>
        <v>815</v>
      </c>
      <c r="F434" t="str">
        <f>"MOW/SHRED/WEEDEAT/PCT#2"</f>
        <v>MOW/SHRED/WEEDEAT/PCT#2</v>
      </c>
      <c r="G434" s="3">
        <v>3450</v>
      </c>
      <c r="H434" t="str">
        <f>"MOW/SHRED/WEEDEAT/PCT#2"</f>
        <v>MOW/SHRED/WEEDEAT/PCT#2</v>
      </c>
    </row>
    <row r="435" spans="1:8" x14ac:dyDescent="0.25">
      <c r="A435" t="s">
        <v>111</v>
      </c>
      <c r="B435">
        <v>3714</v>
      </c>
      <c r="C435" s="3">
        <v>20166.87</v>
      </c>
      <c r="D435" s="5">
        <v>44194</v>
      </c>
      <c r="E435" t="str">
        <f>"202012170737"</f>
        <v>202012170737</v>
      </c>
      <c r="F435" t="str">
        <f>"GRANT REIMBURSEMENT"</f>
        <v>GRANT REIMBURSEMENT</v>
      </c>
      <c r="G435" s="3">
        <v>19712.689999999999</v>
      </c>
      <c r="H435" t="str">
        <f>"GRANT REIMBURSEMENT"</f>
        <v>GRANT REIMBURSEMENT</v>
      </c>
    </row>
    <row r="436" spans="1:8" x14ac:dyDescent="0.25">
      <c r="E436" t="str">
        <f>"202012220885"</f>
        <v>202012220885</v>
      </c>
      <c r="F436" t="str">
        <f>"INDIGENT HEALTH"</f>
        <v>INDIGENT HEALTH</v>
      </c>
      <c r="G436" s="3">
        <v>454.18</v>
      </c>
      <c r="H436" t="str">
        <f>"INDIGENT HEALTH"</f>
        <v>INDIGENT HEALTH</v>
      </c>
    </row>
    <row r="437" spans="1:8" x14ac:dyDescent="0.25">
      <c r="E437" t="str">
        <f>""</f>
        <v/>
      </c>
      <c r="F437" t="str">
        <f>""</f>
        <v/>
      </c>
      <c r="H437" t="str">
        <f>"INDIGENT HEALTH"</f>
        <v>INDIGENT HEALTH</v>
      </c>
    </row>
    <row r="438" spans="1:8" x14ac:dyDescent="0.25">
      <c r="A438" t="s">
        <v>112</v>
      </c>
      <c r="B438">
        <v>3715</v>
      </c>
      <c r="C438" s="3">
        <v>325</v>
      </c>
      <c r="D438" s="5">
        <v>44194</v>
      </c>
      <c r="E438" t="str">
        <f>"202012170730"</f>
        <v>202012170730</v>
      </c>
      <c r="F438" t="str">
        <f>"REIMBURSE BOND FEE"</f>
        <v>REIMBURSE BOND FEE</v>
      </c>
      <c r="G438" s="3">
        <v>325</v>
      </c>
      <c r="H438" t="str">
        <f>"REIMBURSE BOND FEE"</f>
        <v>REIMBURSE BOND FEE</v>
      </c>
    </row>
    <row r="439" spans="1:8" x14ac:dyDescent="0.25">
      <c r="A439" t="s">
        <v>113</v>
      </c>
      <c r="B439">
        <v>3716</v>
      </c>
      <c r="C439" s="3">
        <v>177.5</v>
      </c>
      <c r="D439" s="5">
        <v>44194</v>
      </c>
      <c r="E439" t="str">
        <f>"202012170742"</f>
        <v>202012170742</v>
      </c>
      <c r="F439" t="str">
        <f>"REIMBURSE SURETY BOND"</f>
        <v>REIMBURSE SURETY BOND</v>
      </c>
      <c r="G439" s="3">
        <v>177.5</v>
      </c>
      <c r="H439" t="str">
        <f>"REIMBURSE SURETY BOND"</f>
        <v>REIMBURSE SURETY BOND</v>
      </c>
    </row>
    <row r="440" spans="1:8" x14ac:dyDescent="0.25">
      <c r="A440" t="s">
        <v>114</v>
      </c>
      <c r="B440">
        <v>3717</v>
      </c>
      <c r="C440" s="3">
        <v>841.4</v>
      </c>
      <c r="D440" s="5">
        <v>44194</v>
      </c>
      <c r="E440" t="str">
        <f>"202012170740"</f>
        <v>202012170740</v>
      </c>
      <c r="F440" t="str">
        <f>"REIMBURSE MEALS/HOTEL"</f>
        <v>REIMBURSE MEALS/HOTEL</v>
      </c>
      <c r="G440" s="3">
        <v>656.2</v>
      </c>
      <c r="H440" t="str">
        <f>"REIMBURSE MEALS/HOTEL"</f>
        <v>REIMBURSE MEALS/HOTEL</v>
      </c>
    </row>
    <row r="441" spans="1:8" x14ac:dyDescent="0.25">
      <c r="E441" t="str">
        <f>"202012220873"</f>
        <v>202012220873</v>
      </c>
      <c r="F441" t="str">
        <f>"REIMBURSE FLIGHT"</f>
        <v>REIMBURSE FLIGHT</v>
      </c>
      <c r="G441" s="3">
        <v>185.2</v>
      </c>
      <c r="H441" t="str">
        <f>"REIMBURSE FLIGHT"</f>
        <v>REIMBURSE FLIGHT</v>
      </c>
    </row>
    <row r="442" spans="1:8" x14ac:dyDescent="0.25">
      <c r="A442" t="s">
        <v>49</v>
      </c>
      <c r="B442">
        <v>3718</v>
      </c>
      <c r="C442" s="3">
        <v>6610</v>
      </c>
      <c r="D442" s="5">
        <v>44194</v>
      </c>
      <c r="E442" t="str">
        <f>"25-TX-200816"</f>
        <v>25-TX-200816</v>
      </c>
      <c r="F442" t="str">
        <f>"Proposal #25-TX-200816"</f>
        <v>Proposal #25-TX-200816</v>
      </c>
      <c r="G442" s="3">
        <v>6610</v>
      </c>
      <c r="H442" t="str">
        <f>"Proposal #25-TX-200816"</f>
        <v>Proposal #25-TX-200816</v>
      </c>
    </row>
    <row r="443" spans="1:8" x14ac:dyDescent="0.25">
      <c r="A443" t="s">
        <v>50</v>
      </c>
      <c r="B443">
        <v>3719</v>
      </c>
      <c r="C443" s="3">
        <v>756.76</v>
      </c>
      <c r="D443" s="5">
        <v>44194</v>
      </c>
      <c r="E443" t="str">
        <f>"1973-7T4D-QKLR"</f>
        <v>1973-7T4D-QKLR</v>
      </c>
      <c r="F443" t="str">
        <f>"AMAZON CAPITAL SERVICES INC"</f>
        <v>AMAZON CAPITAL SERVICES INC</v>
      </c>
      <c r="G443" s="3">
        <v>194.97</v>
      </c>
      <c r="H443" t="str">
        <f>"Paper Towels"</f>
        <v>Paper Towels</v>
      </c>
    </row>
    <row r="444" spans="1:8" x14ac:dyDescent="0.25">
      <c r="E444" t="str">
        <f>"1HLM-4QMG-VXF6"</f>
        <v>1HLM-4QMG-VXF6</v>
      </c>
      <c r="F444" t="str">
        <f>"512GB SD Card"</f>
        <v>512GB SD Card</v>
      </c>
      <c r="G444" s="3">
        <v>99.99</v>
      </c>
      <c r="H444" t="str">
        <f>"512GB SD Card"</f>
        <v>512GB SD Card</v>
      </c>
    </row>
    <row r="445" spans="1:8" x14ac:dyDescent="0.25">
      <c r="E445" t="str">
        <f>"1MYV-1WLK-FXMF"</f>
        <v>1MYV-1WLK-FXMF</v>
      </c>
      <c r="F445" t="str">
        <f>"AMAZON CAPITAL SERVICES INC"</f>
        <v>AMAZON CAPITAL SERVICES INC</v>
      </c>
      <c r="G445" s="3">
        <v>21.79</v>
      </c>
      <c r="H445" t="str">
        <f>"Converter"</f>
        <v>Converter</v>
      </c>
    </row>
    <row r="446" spans="1:8" x14ac:dyDescent="0.25">
      <c r="E446" t="str">
        <f>""</f>
        <v/>
      </c>
      <c r="F446" t="str">
        <f>""</f>
        <v/>
      </c>
      <c r="H446" t="str">
        <f>"Shipping"</f>
        <v>Shipping</v>
      </c>
    </row>
    <row r="447" spans="1:8" x14ac:dyDescent="0.25">
      <c r="E447" t="str">
        <f>"1QHC-YWJP-HYH7"</f>
        <v>1QHC-YWJP-HYH7</v>
      </c>
      <c r="F447" t="str">
        <f>"AMAZON ORDER"</f>
        <v>AMAZON ORDER</v>
      </c>
      <c r="G447" s="3">
        <v>109.46</v>
      </c>
      <c r="H447" t="str">
        <f>"ICE MAKER"</f>
        <v>ICE MAKER</v>
      </c>
    </row>
    <row r="448" spans="1:8" x14ac:dyDescent="0.25">
      <c r="E448" t="str">
        <f>"1RTG-1XX6-37MW"</f>
        <v>1RTG-1XX6-37MW</v>
      </c>
      <c r="F448" t="str">
        <f>"Amazon Order"</f>
        <v>Amazon Order</v>
      </c>
      <c r="G448" s="3">
        <v>261.60000000000002</v>
      </c>
      <c r="H448" t="str">
        <f>"Planner"</f>
        <v>Planner</v>
      </c>
    </row>
    <row r="449" spans="1:8" x14ac:dyDescent="0.25">
      <c r="E449" t="str">
        <f>"1VTP-KNY9-13MT"</f>
        <v>1VTP-KNY9-13MT</v>
      </c>
      <c r="F449" t="str">
        <f>"Amazon Order"</f>
        <v>Amazon Order</v>
      </c>
      <c r="G449" s="3">
        <v>68.95</v>
      </c>
      <c r="H449" t="str">
        <f>"Gator Masks"</f>
        <v>Gator Masks</v>
      </c>
    </row>
    <row r="450" spans="1:8" x14ac:dyDescent="0.25">
      <c r="A450" t="s">
        <v>51</v>
      </c>
      <c r="B450">
        <v>3720</v>
      </c>
      <c r="C450" s="3">
        <v>1345.65</v>
      </c>
      <c r="D450" s="5">
        <v>44194</v>
      </c>
      <c r="E450" t="str">
        <f>"29777C"</f>
        <v>29777C</v>
      </c>
      <c r="F450" t="str">
        <f>"INV 29777C"</f>
        <v>INV 29777C</v>
      </c>
      <c r="G450" s="3">
        <v>1345.65</v>
      </c>
      <c r="H450" t="str">
        <f>"INV 29777C"</f>
        <v>INV 29777C</v>
      </c>
    </row>
    <row r="451" spans="1:8" x14ac:dyDescent="0.25">
      <c r="A451" t="s">
        <v>53</v>
      </c>
      <c r="B451">
        <v>3721</v>
      </c>
      <c r="C451" s="3">
        <v>5067.51</v>
      </c>
      <c r="D451" s="5">
        <v>44194</v>
      </c>
      <c r="E451" t="str">
        <f>"202012170732"</f>
        <v>202012170732</v>
      </c>
      <c r="F451" t="str">
        <f>"GRANT REIMBURSEMENT"</f>
        <v>GRANT REIMBURSEMENT</v>
      </c>
      <c r="G451" s="3">
        <v>5067.51</v>
      </c>
      <c r="H451" t="str">
        <f>"GRANT REIMBURSEMENT"</f>
        <v>GRANT REIMBURSEMENT</v>
      </c>
    </row>
    <row r="452" spans="1:8" x14ac:dyDescent="0.25">
      <c r="A452" t="s">
        <v>54</v>
      </c>
      <c r="B452">
        <v>3722</v>
      </c>
      <c r="C452" s="3">
        <v>578.5</v>
      </c>
      <c r="D452" s="5">
        <v>44194</v>
      </c>
      <c r="E452" t="str">
        <f>"202012210838"</f>
        <v>202012210838</v>
      </c>
      <c r="F452" t="str">
        <f>"TRASH REMOVAL 12/14-12/23 / P4"</f>
        <v>TRASH REMOVAL 12/14-12/23 / P4</v>
      </c>
      <c r="G452" s="3">
        <v>578.5</v>
      </c>
      <c r="H452" t="str">
        <f>"TRASH REMOVAL 12/14-12/23 / P4"</f>
        <v>TRASH REMOVAL 12/14-12/23 / P4</v>
      </c>
    </row>
    <row r="453" spans="1:8" x14ac:dyDescent="0.25">
      <c r="A453" t="s">
        <v>57</v>
      </c>
      <c r="B453">
        <v>3723</v>
      </c>
      <c r="C453" s="3">
        <v>2562.2800000000002</v>
      </c>
      <c r="D453" s="5">
        <v>44194</v>
      </c>
      <c r="E453" t="str">
        <f>"95923620"</f>
        <v>95923620</v>
      </c>
      <c r="F453" t="str">
        <f>"ACCT#10187718/PCT#2"</f>
        <v>ACCT#10187718/PCT#2</v>
      </c>
      <c r="G453" s="3">
        <v>2562.2800000000002</v>
      </c>
      <c r="H453" t="str">
        <f>"ACCT#10187718/PCT#2"</f>
        <v>ACCT#10187718/PCT#2</v>
      </c>
    </row>
    <row r="454" spans="1:8" x14ac:dyDescent="0.25">
      <c r="A454" t="s">
        <v>115</v>
      </c>
      <c r="B454">
        <v>3724</v>
      </c>
      <c r="C454" s="3">
        <v>206.31</v>
      </c>
      <c r="D454" s="5">
        <v>44194</v>
      </c>
      <c r="E454" t="str">
        <f>"202012220896"</f>
        <v>202012220896</v>
      </c>
      <c r="F454" t="str">
        <f>"INDIGENT HEALTH"</f>
        <v>INDIGENT HEALTH</v>
      </c>
      <c r="G454" s="3">
        <v>206.31</v>
      </c>
      <c r="H454" t="str">
        <f>"INDIGENT HEALTH"</f>
        <v>INDIGENT HEALTH</v>
      </c>
    </row>
    <row r="455" spans="1:8" x14ac:dyDescent="0.25">
      <c r="A455" t="s">
        <v>116</v>
      </c>
      <c r="B455">
        <v>3725</v>
      </c>
      <c r="C455" s="3">
        <v>129.47</v>
      </c>
      <c r="D455" s="5">
        <v>44194</v>
      </c>
      <c r="E455" t="str">
        <f>"202012210847"</f>
        <v>202012210847</v>
      </c>
      <c r="F455" t="str">
        <f>"REIMBURSE TRAVEL EXPS"</f>
        <v>REIMBURSE TRAVEL EXPS</v>
      </c>
      <c r="G455" s="3">
        <v>129.47</v>
      </c>
      <c r="H455" t="str">
        <f>"REIMBURSE TRAVEL EXPS"</f>
        <v>REIMBURSE TRAVEL EXPS</v>
      </c>
    </row>
    <row r="456" spans="1:8" x14ac:dyDescent="0.25">
      <c r="A456" t="s">
        <v>117</v>
      </c>
      <c r="B456">
        <v>3726</v>
      </c>
      <c r="C456" s="3">
        <v>3413</v>
      </c>
      <c r="D456" s="5">
        <v>44194</v>
      </c>
      <c r="E456" t="str">
        <f>"7802"</f>
        <v>7802</v>
      </c>
      <c r="F456" t="str">
        <f>"CITRUS CLEAN DRUN/AEROSOL/P4"</f>
        <v>CITRUS CLEAN DRUN/AEROSOL/P4</v>
      </c>
      <c r="G456" s="3">
        <v>2838</v>
      </c>
      <c r="H456" t="str">
        <f>"CITRUS CLEAN DRUN/AEROSOL/P4"</f>
        <v>CITRUS CLEAN DRUN/AEROSOL/P4</v>
      </c>
    </row>
    <row r="457" spans="1:8" x14ac:dyDescent="0.25">
      <c r="E457" t="str">
        <f>"7807"</f>
        <v>7807</v>
      </c>
      <c r="F457" t="str">
        <f>"CITRUS CLEAN AEROSOL/P4"</f>
        <v>CITRUS CLEAN AEROSOL/P4</v>
      </c>
      <c r="G457" s="3">
        <v>575</v>
      </c>
      <c r="H457" t="str">
        <f>"CITRUS CLEAN AEROSOL/P4"</f>
        <v>CITRUS CLEAN AEROSOL/P4</v>
      </c>
    </row>
    <row r="458" spans="1:8" x14ac:dyDescent="0.25">
      <c r="A458" t="s">
        <v>118</v>
      </c>
      <c r="B458">
        <v>3727</v>
      </c>
      <c r="C458" s="3">
        <v>305</v>
      </c>
      <c r="D458" s="5">
        <v>44194</v>
      </c>
      <c r="E458" t="str">
        <f>"0551856287"</f>
        <v>0551856287</v>
      </c>
      <c r="F458" t="str">
        <f>"CUST#212645/601 COOL WATER"</f>
        <v>CUST#212645/601 COOL WATER</v>
      </c>
      <c r="G458" s="3">
        <v>90</v>
      </c>
      <c r="H458" t="str">
        <f>"CUST#212645/601 COOL WATER"</f>
        <v>CUST#212645/601 COOL WATER</v>
      </c>
    </row>
    <row r="459" spans="1:8" x14ac:dyDescent="0.25">
      <c r="E459" t="str">
        <f>"0551858326"</f>
        <v>0551858326</v>
      </c>
      <c r="F459" t="str">
        <f>"CUST#212645/BOAT LAUNCH"</f>
        <v>CUST#212645/BOAT LAUNCH</v>
      </c>
      <c r="G459" s="3">
        <v>215</v>
      </c>
      <c r="H459" t="str">
        <f>"CUST#212645/BOAT LAUNCH"</f>
        <v>CUST#212645/BOAT LAUNCH</v>
      </c>
    </row>
    <row r="460" spans="1:8" x14ac:dyDescent="0.25">
      <c r="A460" t="s">
        <v>119</v>
      </c>
      <c r="B460">
        <v>3728</v>
      </c>
      <c r="C460" s="3">
        <v>116768.3</v>
      </c>
      <c r="D460" s="5">
        <v>44194</v>
      </c>
      <c r="E460" t="str">
        <f>"202012210859"</f>
        <v>202012210859</v>
      </c>
      <c r="F460" t="str">
        <f>"Stony Point Phase 7"</f>
        <v>Stony Point Phase 7</v>
      </c>
      <c r="G460" s="3">
        <v>116768.3</v>
      </c>
      <c r="H460" t="str">
        <f>"Mobilization"</f>
        <v>Mobilization</v>
      </c>
    </row>
    <row r="461" spans="1:8" x14ac:dyDescent="0.25">
      <c r="E461" t="str">
        <f>""</f>
        <v/>
      </c>
      <c r="F461" t="str">
        <f>""</f>
        <v/>
      </c>
      <c r="H461" t="str">
        <f>"Insurance &amp; Bonds"</f>
        <v>Insurance &amp; Bonds</v>
      </c>
    </row>
    <row r="462" spans="1:8" x14ac:dyDescent="0.25">
      <c r="E462" t="str">
        <f>""</f>
        <v/>
      </c>
      <c r="F462" t="str">
        <f>""</f>
        <v/>
      </c>
      <c r="H462" t="str">
        <f>"8  SDR-26 0-6' Depth"</f>
        <v>8  SDR-26 0-6' Depth</v>
      </c>
    </row>
    <row r="463" spans="1:8" x14ac:dyDescent="0.25">
      <c r="E463" t="str">
        <f>""</f>
        <v/>
      </c>
      <c r="F463" t="str">
        <f>""</f>
        <v/>
      </c>
      <c r="H463" t="str">
        <f>"8  SDR-26 6-8' Depth"</f>
        <v>8  SDR-26 6-8' Depth</v>
      </c>
    </row>
    <row r="464" spans="1:8" x14ac:dyDescent="0.25">
      <c r="E464" t="str">
        <f>""</f>
        <v/>
      </c>
      <c r="F464" t="str">
        <f>""</f>
        <v/>
      </c>
      <c r="H464" t="str">
        <f>"8 SDR-26 8-10' Depth"</f>
        <v>8 SDR-26 8-10' Depth</v>
      </c>
    </row>
    <row r="465" spans="1:8" x14ac:dyDescent="0.25">
      <c r="E465" t="str">
        <f>""</f>
        <v/>
      </c>
      <c r="F465" t="str">
        <f>""</f>
        <v/>
      </c>
      <c r="H465" t="str">
        <f>"8 SDR-26 10-12' Dpth"</f>
        <v>8 SDR-26 10-12' Dpth</v>
      </c>
    </row>
    <row r="466" spans="1:8" x14ac:dyDescent="0.25">
      <c r="E466" t="str">
        <f>""</f>
        <v/>
      </c>
      <c r="F466" t="str">
        <f>""</f>
        <v/>
      </c>
      <c r="H466" t="str">
        <f>"Manhole / Cover"</f>
        <v>Manhole / Cover</v>
      </c>
    </row>
    <row r="467" spans="1:8" x14ac:dyDescent="0.25">
      <c r="E467" t="str">
        <f>""</f>
        <v/>
      </c>
      <c r="F467" t="str">
        <f>""</f>
        <v/>
      </c>
      <c r="H467" t="str">
        <f>"Silt Fencing"</f>
        <v>Silt Fencing</v>
      </c>
    </row>
    <row r="468" spans="1:8" x14ac:dyDescent="0.25">
      <c r="E468" t="str">
        <f>""</f>
        <v/>
      </c>
      <c r="F468" t="str">
        <f>""</f>
        <v/>
      </c>
      <c r="H468" t="str">
        <f>"5% Retainage"</f>
        <v>5% Retainage</v>
      </c>
    </row>
    <row r="469" spans="1:8" x14ac:dyDescent="0.25">
      <c r="A469" t="s">
        <v>66</v>
      </c>
      <c r="B469">
        <v>3729</v>
      </c>
      <c r="C469" s="3">
        <v>433.52</v>
      </c>
      <c r="D469" s="5">
        <v>44194</v>
      </c>
      <c r="E469" t="str">
        <f>"25374RP"</f>
        <v>25374RP</v>
      </c>
      <c r="F469" t="str">
        <f>"ACCT#3326/PCT#4"</f>
        <v>ACCT#3326/PCT#4</v>
      </c>
      <c r="G469" s="3">
        <v>292.88</v>
      </c>
      <c r="H469" t="str">
        <f>"ACCT#3326/PCT#4"</f>
        <v>ACCT#3326/PCT#4</v>
      </c>
    </row>
    <row r="470" spans="1:8" x14ac:dyDescent="0.25">
      <c r="E470" t="str">
        <f>"55956AP"</f>
        <v>55956AP</v>
      </c>
      <c r="F470" t="str">
        <f>"ACCT#3325/FILTER/PCT#2"</f>
        <v>ACCT#3325/FILTER/PCT#2</v>
      </c>
      <c r="G470" s="3">
        <v>140.63999999999999</v>
      </c>
      <c r="H470" t="str">
        <f>"ACCT#3325/FILTER/PCT#2"</f>
        <v>ACCT#3325/FILTER/PCT#2</v>
      </c>
    </row>
    <row r="471" spans="1:8" x14ac:dyDescent="0.25">
      <c r="A471" t="s">
        <v>120</v>
      </c>
      <c r="B471">
        <v>3730</v>
      </c>
      <c r="C471" s="3">
        <v>454.97</v>
      </c>
      <c r="D471" s="5">
        <v>44194</v>
      </c>
      <c r="E471" t="str">
        <f>"1278-202011-0"</f>
        <v>1278-202011-0</v>
      </c>
      <c r="F471" t="str">
        <f>"INV 1278-202011-0"</f>
        <v>INV 1278-202011-0</v>
      </c>
      <c r="G471" s="3">
        <v>437.86</v>
      </c>
      <c r="H471" t="str">
        <f>"INV 1278-202011-0"</f>
        <v>INV 1278-202011-0</v>
      </c>
    </row>
    <row r="472" spans="1:8" x14ac:dyDescent="0.25">
      <c r="E472" t="str">
        <f>"202012220881"</f>
        <v>202012220881</v>
      </c>
      <c r="F472" t="str">
        <f>"INDIGENT HEALTH"</f>
        <v>INDIGENT HEALTH</v>
      </c>
      <c r="G472" s="3">
        <v>17.11</v>
      </c>
      <c r="H472" t="str">
        <f>"INDIGENT HEALTH"</f>
        <v>INDIGENT HEALTH</v>
      </c>
    </row>
    <row r="473" spans="1:8" x14ac:dyDescent="0.25">
      <c r="A473" t="s">
        <v>72</v>
      </c>
      <c r="B473">
        <v>3731</v>
      </c>
      <c r="C473" s="3">
        <v>872.24</v>
      </c>
      <c r="D473" s="5">
        <v>44194</v>
      </c>
      <c r="E473" t="str">
        <f>"6258985119"</f>
        <v>6258985119</v>
      </c>
      <c r="F473" t="str">
        <f>"INV 6258985119"</f>
        <v>INV 6258985119</v>
      </c>
      <c r="G473" s="3">
        <v>872.24</v>
      </c>
      <c r="H473" t="str">
        <f>"INV 6258985119"</f>
        <v>INV 6258985119</v>
      </c>
    </row>
    <row r="474" spans="1:8" x14ac:dyDescent="0.25">
      <c r="A474" t="s">
        <v>121</v>
      </c>
      <c r="B474">
        <v>3732</v>
      </c>
      <c r="C474" s="3">
        <v>350</v>
      </c>
      <c r="D474" s="5">
        <v>44194</v>
      </c>
      <c r="E474" t="str">
        <f>"202012180747"</f>
        <v>202012180747</v>
      </c>
      <c r="F474" t="str">
        <f>"56 733"</f>
        <v>56 733</v>
      </c>
      <c r="G474" s="3">
        <v>250</v>
      </c>
      <c r="H474" t="str">
        <f>"56 733"</f>
        <v>56 733</v>
      </c>
    </row>
    <row r="475" spans="1:8" x14ac:dyDescent="0.25">
      <c r="E475" t="str">
        <f>"202012180748"</f>
        <v>202012180748</v>
      </c>
      <c r="F475" t="str">
        <f>"423-7563"</f>
        <v>423-7563</v>
      </c>
      <c r="G475" s="3">
        <v>100</v>
      </c>
      <c r="H475" t="str">
        <f>"423-7563"</f>
        <v>423-7563</v>
      </c>
    </row>
    <row r="476" spans="1:8" x14ac:dyDescent="0.25">
      <c r="A476" t="s">
        <v>73</v>
      </c>
      <c r="B476">
        <v>3733</v>
      </c>
      <c r="C476" s="3">
        <v>462.02</v>
      </c>
      <c r="D476" s="5">
        <v>44194</v>
      </c>
      <c r="E476" t="str">
        <f>"112981"</f>
        <v>112981</v>
      </c>
      <c r="F476" t="str">
        <f>"BUDGET BOOK/LAMINATE"</f>
        <v>BUDGET BOOK/LAMINATE</v>
      </c>
      <c r="G476" s="3">
        <v>462.02</v>
      </c>
      <c r="H476" t="str">
        <f>"BUDGET BOOK/LAMINATE"</f>
        <v>BUDGET BOOK/LAMINATE</v>
      </c>
    </row>
    <row r="477" spans="1:8" x14ac:dyDescent="0.25">
      <c r="A477" t="s">
        <v>74</v>
      </c>
      <c r="B477">
        <v>3734</v>
      </c>
      <c r="C477" s="3">
        <v>101.68</v>
      </c>
      <c r="D477" s="5">
        <v>44194</v>
      </c>
      <c r="E477" t="str">
        <f>"INV0809797"</f>
        <v>INV0809797</v>
      </c>
      <c r="F477" t="str">
        <f>"INV0809797"</f>
        <v>INV0809797</v>
      </c>
      <c r="G477" s="3">
        <v>101.68</v>
      </c>
      <c r="H477" t="str">
        <f>"INV0809797"</f>
        <v>INV0809797</v>
      </c>
    </row>
    <row r="478" spans="1:8" x14ac:dyDescent="0.25">
      <c r="A478" t="s">
        <v>75</v>
      </c>
      <c r="B478">
        <v>3735</v>
      </c>
      <c r="C478" s="3">
        <v>6838.79</v>
      </c>
      <c r="D478" s="5">
        <v>44194</v>
      </c>
      <c r="E478" t="str">
        <f>"PIM60042631"</f>
        <v>PIM60042631</v>
      </c>
      <c r="F478" t="str">
        <f>"CUST#0129200/PCT#4"</f>
        <v>CUST#0129200/PCT#4</v>
      </c>
      <c r="G478" s="3">
        <v>1224.1099999999999</v>
      </c>
      <c r="H478" t="str">
        <f>"CUST#0129200/PCT#4"</f>
        <v>CUST#0129200/PCT#4</v>
      </c>
    </row>
    <row r="479" spans="1:8" x14ac:dyDescent="0.25">
      <c r="E479" t="str">
        <f>"PIM60043483"</f>
        <v>PIM60043483</v>
      </c>
      <c r="F479" t="str">
        <f>"CUST#0129200/PCT#4"</f>
        <v>CUST#0129200/PCT#4</v>
      </c>
      <c r="G479" s="3">
        <v>3221.74</v>
      </c>
      <c r="H479" t="str">
        <f>"CUST#0129200/PCT#4"</f>
        <v>CUST#0129200/PCT#4</v>
      </c>
    </row>
    <row r="480" spans="1:8" x14ac:dyDescent="0.25">
      <c r="E480" t="str">
        <f>"WIMA0140259"</f>
        <v>WIMA0140259</v>
      </c>
      <c r="F480" t="str">
        <f>"CUST#0129100/PCT#2"</f>
        <v>CUST#0129100/PCT#2</v>
      </c>
      <c r="G480" s="3">
        <v>2392.94</v>
      </c>
      <c r="H480" t="str">
        <f>"CUST#0129100/PCT#2"</f>
        <v>CUST#0129100/PCT#2</v>
      </c>
    </row>
    <row r="481" spans="1:8" x14ac:dyDescent="0.25">
      <c r="A481" t="s">
        <v>122</v>
      </c>
      <c r="B481">
        <v>3736</v>
      </c>
      <c r="C481" s="3">
        <v>650</v>
      </c>
      <c r="D481" s="5">
        <v>44194</v>
      </c>
      <c r="E481" t="str">
        <f>"202012210832"</f>
        <v>202012210832</v>
      </c>
      <c r="F481" t="str">
        <f>"BASCOM L HODGES JR"</f>
        <v>BASCOM L HODGES JR</v>
      </c>
      <c r="G481" s="3">
        <v>650</v>
      </c>
      <c r="H481" t="str">
        <f>""</f>
        <v/>
      </c>
    </row>
    <row r="482" spans="1:8" x14ac:dyDescent="0.25">
      <c r="A482" t="s">
        <v>123</v>
      </c>
      <c r="B482">
        <v>3737</v>
      </c>
      <c r="C482" s="3">
        <v>100</v>
      </c>
      <c r="D482" s="5">
        <v>44194</v>
      </c>
      <c r="E482" t="str">
        <f>"20-042"</f>
        <v>20-042</v>
      </c>
      <c r="F482" t="str">
        <f>"423-4051"</f>
        <v>423-4051</v>
      </c>
      <c r="G482" s="3">
        <v>100</v>
      </c>
      <c r="H482" t="str">
        <f>"423-4051"</f>
        <v>423-4051</v>
      </c>
    </row>
    <row r="483" spans="1:8" x14ac:dyDescent="0.25">
      <c r="A483" t="s">
        <v>78</v>
      </c>
      <c r="B483">
        <v>3738</v>
      </c>
      <c r="C483" s="3">
        <v>1400</v>
      </c>
      <c r="D483" s="5">
        <v>44194</v>
      </c>
      <c r="E483" t="str">
        <f>"202012180789"</f>
        <v>202012180789</v>
      </c>
      <c r="F483" t="str">
        <f>"16883"</f>
        <v>16883</v>
      </c>
      <c r="G483" s="3">
        <v>400</v>
      </c>
      <c r="H483" t="str">
        <f>"16883"</f>
        <v>16883</v>
      </c>
    </row>
    <row r="484" spans="1:8" x14ac:dyDescent="0.25">
      <c r="E484" t="str">
        <f>"202012180790"</f>
        <v>202012180790</v>
      </c>
      <c r="F484" t="str">
        <f>"16858"</f>
        <v>16858</v>
      </c>
      <c r="G484" s="3">
        <v>400</v>
      </c>
      <c r="H484" t="str">
        <f>"16858"</f>
        <v>16858</v>
      </c>
    </row>
    <row r="485" spans="1:8" x14ac:dyDescent="0.25">
      <c r="E485" t="str">
        <f>"202012180791"</f>
        <v>202012180791</v>
      </c>
      <c r="F485" t="str">
        <f>"304222019A"</f>
        <v>304222019A</v>
      </c>
      <c r="G485" s="3">
        <v>400</v>
      </c>
      <c r="H485" t="str">
        <f>"304222019A"</f>
        <v>304222019A</v>
      </c>
    </row>
    <row r="486" spans="1:8" x14ac:dyDescent="0.25">
      <c r="E486" t="str">
        <f>"202012180792"</f>
        <v>202012180792</v>
      </c>
      <c r="F486" t="str">
        <f>"16845"</f>
        <v>16845</v>
      </c>
      <c r="G486" s="3">
        <v>200</v>
      </c>
      <c r="H486" t="str">
        <f>"16845"</f>
        <v>16845</v>
      </c>
    </row>
    <row r="487" spans="1:8" x14ac:dyDescent="0.25">
      <c r="A487" t="s">
        <v>80</v>
      </c>
      <c r="B487">
        <v>3739</v>
      </c>
      <c r="C487" s="3">
        <v>697.5</v>
      </c>
      <c r="D487" s="5">
        <v>44194</v>
      </c>
      <c r="E487" t="str">
        <f>"202012180749"</f>
        <v>202012180749</v>
      </c>
      <c r="F487" t="str">
        <f>"20-20508"</f>
        <v>20-20508</v>
      </c>
      <c r="G487" s="3">
        <v>250</v>
      </c>
      <c r="H487" t="str">
        <f>"20-20508"</f>
        <v>20-20508</v>
      </c>
    </row>
    <row r="488" spans="1:8" x14ac:dyDescent="0.25">
      <c r="E488" t="str">
        <f>"202012180750"</f>
        <v>202012180750</v>
      </c>
      <c r="F488" t="str">
        <f>"20-20448"</f>
        <v>20-20448</v>
      </c>
      <c r="G488" s="3">
        <v>197.5</v>
      </c>
      <c r="H488" t="str">
        <f>"20-20448"</f>
        <v>20-20448</v>
      </c>
    </row>
    <row r="489" spans="1:8" x14ac:dyDescent="0.25">
      <c r="E489" t="str">
        <f>"202012180751"</f>
        <v>202012180751</v>
      </c>
      <c r="F489" t="str">
        <f>"02-1020.5"</f>
        <v>02-1020.5</v>
      </c>
      <c r="G489" s="3">
        <v>250</v>
      </c>
      <c r="H489" t="str">
        <f>"02-1020.5"</f>
        <v>02-1020.5</v>
      </c>
    </row>
    <row r="490" spans="1:8" x14ac:dyDescent="0.25">
      <c r="A490" t="s">
        <v>81</v>
      </c>
      <c r="B490">
        <v>3740</v>
      </c>
      <c r="C490" s="3">
        <v>61.75</v>
      </c>
      <c r="D490" s="5">
        <v>44194</v>
      </c>
      <c r="E490" t="str">
        <f>"202012170711"</f>
        <v>202012170711</v>
      </c>
      <c r="F490" t="str">
        <f>"VEHICLE REGISTRATION/PCT#1"</f>
        <v>VEHICLE REGISTRATION/PCT#1</v>
      </c>
      <c r="G490" s="3">
        <v>15</v>
      </c>
      <c r="H490" t="str">
        <f>"VEHICLE REGISTRATION/PCT#1"</f>
        <v>VEHICLE REGISTRATION/PCT#1</v>
      </c>
    </row>
    <row r="491" spans="1:8" x14ac:dyDescent="0.25">
      <c r="E491" t="str">
        <f>"202012210823"</f>
        <v>202012210823</v>
      </c>
      <c r="F491" t="str">
        <f>"VEHICLE REGISTRATION-SHERIFF"</f>
        <v>VEHICLE REGISTRATION-SHERIFF</v>
      </c>
      <c r="G491" s="3">
        <v>7.5</v>
      </c>
      <c r="H491" t="str">
        <f>"VEHICLE REGISTRATION-SHERIFF"</f>
        <v>VEHICLE REGISTRATION-SHERIFF</v>
      </c>
    </row>
    <row r="492" spans="1:8" x14ac:dyDescent="0.25">
      <c r="E492" t="str">
        <f>"202012210853"</f>
        <v>202012210853</v>
      </c>
      <c r="F492" t="str">
        <f>"VEHICLE REGISTRATION-PCT#1"</f>
        <v>VEHICLE REGISTRATION-PCT#1</v>
      </c>
      <c r="G492" s="3">
        <v>15</v>
      </c>
      <c r="H492" t="str">
        <f>"VEHICLE REGISTRATION-PCT#1"</f>
        <v>VEHICLE REGISTRATION-PCT#1</v>
      </c>
    </row>
    <row r="493" spans="1:8" x14ac:dyDescent="0.25">
      <c r="E493" t="str">
        <f>"202012220868"</f>
        <v>202012220868</v>
      </c>
      <c r="F493" t="str">
        <f>"VEHICLE REGISTRATIONS/SHERIFF"</f>
        <v>VEHICLE REGISTRATIONS/SHERIFF</v>
      </c>
      <c r="G493" s="3">
        <v>24.25</v>
      </c>
      <c r="H493" t="str">
        <f>"VEHICLE REGISTRATIONS/SHERIFF"</f>
        <v>VEHICLE REGISTRATIONS/SHERIFF</v>
      </c>
    </row>
    <row r="494" spans="1:8" x14ac:dyDescent="0.25">
      <c r="A494" t="s">
        <v>82</v>
      </c>
      <c r="B494">
        <v>3741</v>
      </c>
      <c r="C494" s="3">
        <v>2061.9499999999998</v>
      </c>
      <c r="D494" s="5">
        <v>44194</v>
      </c>
      <c r="E494" t="str">
        <f>"24992"</f>
        <v>24992</v>
      </c>
      <c r="F494" t="str">
        <f>"INV 24992"</f>
        <v>INV 24992</v>
      </c>
      <c r="G494" s="3">
        <v>2061.9499999999998</v>
      </c>
      <c r="H494" t="str">
        <f>"INV 24992"</f>
        <v>INV 24992</v>
      </c>
    </row>
    <row r="495" spans="1:8" x14ac:dyDescent="0.25">
      <c r="A495" t="s">
        <v>124</v>
      </c>
      <c r="B495">
        <v>3742</v>
      </c>
      <c r="C495" s="3">
        <v>600.02</v>
      </c>
      <c r="D495" s="5">
        <v>44194</v>
      </c>
      <c r="E495" t="str">
        <f>"202012220883"</f>
        <v>202012220883</v>
      </c>
      <c r="F495" t="str">
        <f>"INDIGENT HEALTH"</f>
        <v>INDIGENT HEALTH</v>
      </c>
      <c r="G495" s="3">
        <v>600.02</v>
      </c>
      <c r="H495" t="str">
        <f>"INDIGENT HEALTH"</f>
        <v>INDIGENT HEALTH</v>
      </c>
    </row>
    <row r="496" spans="1:8" x14ac:dyDescent="0.25">
      <c r="A496" t="s">
        <v>125</v>
      </c>
      <c r="B496">
        <v>3743</v>
      </c>
      <c r="C496" s="3">
        <v>33.270000000000003</v>
      </c>
      <c r="D496" s="5">
        <v>44194</v>
      </c>
      <c r="E496" t="str">
        <f>"202012220880"</f>
        <v>202012220880</v>
      </c>
      <c r="F496" t="str">
        <f>"INDIGENT HEALTH"</f>
        <v>INDIGENT HEALTH</v>
      </c>
      <c r="G496" s="3">
        <v>33.270000000000003</v>
      </c>
      <c r="H496" t="str">
        <f>"INDIGENT HEALTH"</f>
        <v>INDIGENT HEALTH</v>
      </c>
    </row>
    <row r="497" spans="1:8" x14ac:dyDescent="0.25">
      <c r="A497" t="s">
        <v>87</v>
      </c>
      <c r="B497">
        <v>3744</v>
      </c>
      <c r="C497" s="3">
        <v>24038.75</v>
      </c>
      <c r="D497" s="5">
        <v>44194</v>
      </c>
      <c r="E497" t="str">
        <f>"10045661"</f>
        <v>10045661</v>
      </c>
      <c r="F497" t="str">
        <f>"PROJ#035837.001"</f>
        <v>PROJ#035837.001</v>
      </c>
      <c r="G497" s="3">
        <v>24038.75</v>
      </c>
      <c r="H497" t="str">
        <f>"PROJ#035837.001"</f>
        <v>PROJ#035837.001</v>
      </c>
    </row>
    <row r="498" spans="1:8" x14ac:dyDescent="0.25">
      <c r="A498" t="s">
        <v>88</v>
      </c>
      <c r="B498">
        <v>3745</v>
      </c>
      <c r="C498" s="3">
        <v>100</v>
      </c>
      <c r="D498" s="5">
        <v>44194</v>
      </c>
      <c r="E498" t="str">
        <f>"202012170716"</f>
        <v>202012170716</v>
      </c>
      <c r="F498" t="str">
        <f>"423-7533"</f>
        <v>423-7533</v>
      </c>
      <c r="G498" s="3">
        <v>100</v>
      </c>
      <c r="H498" t="str">
        <f>"423-7533"</f>
        <v>423-7533</v>
      </c>
    </row>
    <row r="499" spans="1:8" x14ac:dyDescent="0.25">
      <c r="A499" t="s">
        <v>89</v>
      </c>
      <c r="B499">
        <v>3746</v>
      </c>
      <c r="C499" s="3">
        <v>4696.3100000000004</v>
      </c>
      <c r="D499" s="5">
        <v>44194</v>
      </c>
      <c r="E499" t="str">
        <f>"1970877"</f>
        <v>1970877</v>
      </c>
      <c r="F499" t="str">
        <f>"CLEANING"</f>
        <v>CLEANING</v>
      </c>
      <c r="G499" s="3">
        <v>181.2</v>
      </c>
      <c r="H499" t="str">
        <f>"GP42334"</f>
        <v>GP42334</v>
      </c>
    </row>
    <row r="500" spans="1:8" x14ac:dyDescent="0.25">
      <c r="E500" t="str">
        <f>"1970879"</f>
        <v>1970879</v>
      </c>
      <c r="F500" t="str">
        <f>"CLEANING"</f>
        <v>CLEANING</v>
      </c>
      <c r="G500" s="3">
        <v>378.24</v>
      </c>
      <c r="H500" t="str">
        <f>"GP42334"</f>
        <v>GP42334</v>
      </c>
    </row>
    <row r="501" spans="1:8" x14ac:dyDescent="0.25">
      <c r="E501" t="str">
        <f>"1974996"</f>
        <v>1974996</v>
      </c>
      <c r="F501" t="str">
        <f>"HOUSEKEEPING"</f>
        <v>HOUSEKEEPING</v>
      </c>
      <c r="G501" s="3">
        <v>2650.79</v>
      </c>
      <c r="H501" t="str">
        <f>"GP89480"</f>
        <v>GP89480</v>
      </c>
    </row>
    <row r="502" spans="1:8" x14ac:dyDescent="0.25">
      <c r="E502" t="str">
        <f>""</f>
        <v/>
      </c>
      <c r="F502" t="str">
        <f>""</f>
        <v/>
      </c>
      <c r="H502" t="str">
        <f>"GP42714"</f>
        <v>GP42714</v>
      </c>
    </row>
    <row r="503" spans="1:8" x14ac:dyDescent="0.25">
      <c r="E503" t="str">
        <f>""</f>
        <v/>
      </c>
      <c r="F503" t="str">
        <f>""</f>
        <v/>
      </c>
      <c r="H503" t="str">
        <f>"GP19371"</f>
        <v>GP19371</v>
      </c>
    </row>
    <row r="504" spans="1:8" x14ac:dyDescent="0.25">
      <c r="E504" t="str">
        <f>""</f>
        <v/>
      </c>
      <c r="F504" t="str">
        <f>""</f>
        <v/>
      </c>
      <c r="H504" t="str">
        <f>"GP20389"</f>
        <v>GP20389</v>
      </c>
    </row>
    <row r="505" spans="1:8" x14ac:dyDescent="0.25">
      <c r="E505" t="str">
        <f>""</f>
        <v/>
      </c>
      <c r="F505" t="str">
        <f>""</f>
        <v/>
      </c>
      <c r="H505" t="str">
        <f>"63CL"</f>
        <v>63CL</v>
      </c>
    </row>
    <row r="506" spans="1:8" x14ac:dyDescent="0.25">
      <c r="E506" t="str">
        <f>""</f>
        <v/>
      </c>
      <c r="F506" t="str">
        <f>""</f>
        <v/>
      </c>
      <c r="H506" t="str">
        <f>"32ROUNDC"</f>
        <v>32ROUNDC</v>
      </c>
    </row>
    <row r="507" spans="1:8" x14ac:dyDescent="0.25">
      <c r="E507" t="str">
        <f>""</f>
        <v/>
      </c>
      <c r="F507" t="str">
        <f>""</f>
        <v/>
      </c>
      <c r="H507" t="str">
        <f>"JLDQT"</f>
        <v>JLDQT</v>
      </c>
    </row>
    <row r="508" spans="1:8" x14ac:dyDescent="0.25">
      <c r="E508" t="str">
        <f>""</f>
        <v/>
      </c>
      <c r="F508" t="str">
        <f>""</f>
        <v/>
      </c>
      <c r="H508" t="str">
        <f>"DUSTMOPAERO"</f>
        <v>DUSTMOPAERO</v>
      </c>
    </row>
    <row r="509" spans="1:8" x14ac:dyDescent="0.25">
      <c r="E509" t="str">
        <f>""</f>
        <v/>
      </c>
      <c r="F509" t="str">
        <f>""</f>
        <v/>
      </c>
      <c r="H509" t="str">
        <f>"DVO04437"</f>
        <v>DVO04437</v>
      </c>
    </row>
    <row r="510" spans="1:8" x14ac:dyDescent="0.25">
      <c r="E510" t="str">
        <f>""</f>
        <v/>
      </c>
      <c r="F510" t="str">
        <f>""</f>
        <v/>
      </c>
      <c r="H510" t="str">
        <f>"BCFAB"</f>
        <v>BCFAB</v>
      </c>
    </row>
    <row r="511" spans="1:8" x14ac:dyDescent="0.25">
      <c r="E511" t="str">
        <f>""</f>
        <v/>
      </c>
      <c r="F511" t="str">
        <f>""</f>
        <v/>
      </c>
      <c r="H511" t="str">
        <f>"TRIGQT"</f>
        <v>TRIGQT</v>
      </c>
    </row>
    <row r="512" spans="1:8" x14ac:dyDescent="0.25">
      <c r="E512" t="str">
        <f>"1974998"</f>
        <v>1974998</v>
      </c>
      <c r="F512" t="str">
        <f>"INV 1974998"</f>
        <v>INV 1974998</v>
      </c>
      <c r="G512" s="3">
        <v>1069.2</v>
      </c>
      <c r="H512" t="str">
        <f>"INV 1974998"</f>
        <v>INV 1974998</v>
      </c>
    </row>
    <row r="513" spans="1:8" x14ac:dyDescent="0.25">
      <c r="E513" t="str">
        <f>"1978464"</f>
        <v>1978464</v>
      </c>
      <c r="F513" t="str">
        <f>"Sanitizers"</f>
        <v>Sanitizers</v>
      </c>
      <c r="G513" s="3">
        <v>362.5</v>
      </c>
      <c r="H513" t="str">
        <f>"Sanitizers"</f>
        <v>Sanitizers</v>
      </c>
    </row>
    <row r="514" spans="1:8" x14ac:dyDescent="0.25">
      <c r="E514" t="str">
        <f>"1978466"</f>
        <v>1978466</v>
      </c>
      <c r="F514" t="str">
        <f>"Housekeeping Supplies"</f>
        <v>Housekeeping Supplies</v>
      </c>
      <c r="G514" s="3">
        <v>54.38</v>
      </c>
      <c r="H514" t="str">
        <f>"Crew Clinging Bowl"</f>
        <v>Crew Clinging Bowl</v>
      </c>
    </row>
    <row r="515" spans="1:8" x14ac:dyDescent="0.25">
      <c r="A515" t="s">
        <v>126</v>
      </c>
      <c r="B515">
        <v>3747</v>
      </c>
      <c r="C515" s="3">
        <v>690.03</v>
      </c>
      <c r="D515" s="5">
        <v>44194</v>
      </c>
      <c r="E515" t="str">
        <f>"5015702"</f>
        <v>5015702</v>
      </c>
      <c r="F515" t="str">
        <f>"CDW GOVERNMENT INC"</f>
        <v>CDW GOVERNMENT INC</v>
      </c>
      <c r="G515" s="3">
        <v>37.64</v>
      </c>
      <c r="H515" t="str">
        <f>"Plantronics Online I"</f>
        <v>Plantronics Online I</v>
      </c>
    </row>
    <row r="516" spans="1:8" x14ac:dyDescent="0.25">
      <c r="E516" t="str">
        <f>"5285257"</f>
        <v>5285257</v>
      </c>
      <c r="F516" t="str">
        <f>"Webcams"</f>
        <v>Webcams</v>
      </c>
      <c r="G516" s="3">
        <v>509.94</v>
      </c>
      <c r="H516" t="str">
        <f>"5285257"</f>
        <v>5285257</v>
      </c>
    </row>
    <row r="517" spans="1:8" x14ac:dyDescent="0.25">
      <c r="E517" t="str">
        <f>"5416066"</f>
        <v>5416066</v>
      </c>
      <c r="F517" t="str">
        <f>"KVM Switch"</f>
        <v>KVM Switch</v>
      </c>
      <c r="G517" s="3">
        <v>96.99</v>
      </c>
      <c r="H517" t="str">
        <f>"KVM Switch"</f>
        <v>KVM Switch</v>
      </c>
    </row>
    <row r="518" spans="1:8" x14ac:dyDescent="0.25">
      <c r="E518" t="str">
        <f>"5461331"</f>
        <v>5461331</v>
      </c>
      <c r="F518" t="str">
        <f>"Monitor for Jim Allen"</f>
        <v>Monitor for Jim Allen</v>
      </c>
      <c r="G518" s="3">
        <v>45.46</v>
      </c>
      <c r="H518" t="str">
        <f>"Anti-Glare Fliter"</f>
        <v>Anti-Glare Fliter</v>
      </c>
    </row>
    <row r="519" spans="1:8" x14ac:dyDescent="0.25">
      <c r="A519" t="s">
        <v>127</v>
      </c>
      <c r="B519">
        <v>3748</v>
      </c>
      <c r="C519" s="3">
        <v>17814.61</v>
      </c>
      <c r="D519" s="5">
        <v>44194</v>
      </c>
      <c r="E519" t="str">
        <f>"202012170733"</f>
        <v>202012170733</v>
      </c>
      <c r="F519" t="str">
        <f>"GRANT REIMBURSEMENT"</f>
        <v>GRANT REIMBURSEMENT</v>
      </c>
      <c r="G519" s="3">
        <v>17814.61</v>
      </c>
      <c r="H519" t="str">
        <f>"GRANT REIMBURSEMENT"</f>
        <v>GRANT REIMBURSEMENT</v>
      </c>
    </row>
    <row r="520" spans="1:8" x14ac:dyDescent="0.25">
      <c r="A520" t="s">
        <v>92</v>
      </c>
      <c r="B520">
        <v>3749</v>
      </c>
      <c r="C520" s="3">
        <v>177.51</v>
      </c>
      <c r="D520" s="5">
        <v>44194</v>
      </c>
      <c r="E520" t="str">
        <f>"0581-237771 00581-"</f>
        <v>0581-237771 00581-</v>
      </c>
      <c r="F520" t="str">
        <f>"0581-237771/0581-237775"</f>
        <v>0581-237771/0581-237775</v>
      </c>
      <c r="G520" s="3">
        <v>177.51</v>
      </c>
      <c r="H520" t="str">
        <f>"0581-237771"</f>
        <v>0581-237771</v>
      </c>
    </row>
    <row r="521" spans="1:8" x14ac:dyDescent="0.25">
      <c r="E521" t="str">
        <f>""</f>
        <v/>
      </c>
      <c r="F521" t="str">
        <f>""</f>
        <v/>
      </c>
      <c r="H521" t="str">
        <f>"00581-237775"</f>
        <v>00581-237775</v>
      </c>
    </row>
    <row r="522" spans="1:8" x14ac:dyDescent="0.25">
      <c r="A522" t="s">
        <v>128</v>
      </c>
      <c r="B522">
        <v>3750</v>
      </c>
      <c r="C522" s="3">
        <v>523.98</v>
      </c>
      <c r="D522" s="5">
        <v>44194</v>
      </c>
      <c r="E522" t="str">
        <f>"202012220879"</f>
        <v>202012220879</v>
      </c>
      <c r="F522" t="str">
        <f>"INDIGENT HEALTH"</f>
        <v>INDIGENT HEALTH</v>
      </c>
      <c r="G522" s="3">
        <v>523.98</v>
      </c>
      <c r="H522" t="str">
        <f>"INDIGENT HEALTH"</f>
        <v>INDIGENT HEALTH</v>
      </c>
    </row>
    <row r="523" spans="1:8" x14ac:dyDescent="0.25">
      <c r="A523" t="s">
        <v>93</v>
      </c>
      <c r="B523">
        <v>3751</v>
      </c>
      <c r="C523" s="3">
        <v>7927.5</v>
      </c>
      <c r="D523" s="5">
        <v>44194</v>
      </c>
      <c r="E523" t="str">
        <f>"202012180769"</f>
        <v>202012180769</v>
      </c>
      <c r="F523" t="str">
        <f>"411208-7"</f>
        <v>411208-7</v>
      </c>
      <c r="G523" s="3">
        <v>250</v>
      </c>
      <c r="H523" t="str">
        <f>"411208-7"</f>
        <v>411208-7</v>
      </c>
    </row>
    <row r="524" spans="1:8" x14ac:dyDescent="0.25">
      <c r="E524" t="str">
        <f>"202012180770"</f>
        <v>202012180770</v>
      </c>
      <c r="F524" t="str">
        <f>"1JP8618H"</f>
        <v>1JP8618H</v>
      </c>
      <c r="G524" s="3">
        <v>250</v>
      </c>
      <c r="H524" t="str">
        <f>"1JP8618H"</f>
        <v>1JP8618H</v>
      </c>
    </row>
    <row r="525" spans="1:8" x14ac:dyDescent="0.25">
      <c r="E525" t="str">
        <f>"202012180771"</f>
        <v>202012180771</v>
      </c>
      <c r="F525" t="str">
        <f>"406088-2"</f>
        <v>406088-2</v>
      </c>
      <c r="G525" s="3">
        <v>250</v>
      </c>
      <c r="H525" t="str">
        <f>"406088-2"</f>
        <v>406088-2</v>
      </c>
    </row>
    <row r="526" spans="1:8" x14ac:dyDescent="0.25">
      <c r="E526" t="str">
        <f>"202012180772"</f>
        <v>202012180772</v>
      </c>
      <c r="F526" t="str">
        <f>"4110520-5"</f>
        <v>4110520-5</v>
      </c>
      <c r="G526" s="3">
        <v>250</v>
      </c>
      <c r="H526" t="str">
        <f>"4110520-5"</f>
        <v>4110520-5</v>
      </c>
    </row>
    <row r="527" spans="1:8" x14ac:dyDescent="0.25">
      <c r="E527" t="str">
        <f>"202012180773"</f>
        <v>202012180773</v>
      </c>
      <c r="F527" t="str">
        <f>"1678-21"</f>
        <v>1678-21</v>
      </c>
      <c r="G527" s="3">
        <v>100</v>
      </c>
      <c r="H527" t="str">
        <f>"1678-21"</f>
        <v>1678-21</v>
      </c>
    </row>
    <row r="528" spans="1:8" x14ac:dyDescent="0.25">
      <c r="E528" t="str">
        <f>"202012180774"</f>
        <v>202012180774</v>
      </c>
      <c r="F528" t="str">
        <f>"17 181   4042520-3"</f>
        <v>17 181   4042520-3</v>
      </c>
      <c r="G528" s="3">
        <v>600</v>
      </c>
      <c r="H528" t="str">
        <f>"17 181   4042520-3"</f>
        <v>17 181   4042520-3</v>
      </c>
    </row>
    <row r="529" spans="1:8" x14ac:dyDescent="0.25">
      <c r="E529" t="str">
        <f>"202012180775"</f>
        <v>202012180775</v>
      </c>
      <c r="F529" t="str">
        <f>"410238-3   410238-4"</f>
        <v>410238-3   410238-4</v>
      </c>
      <c r="G529" s="3">
        <v>600</v>
      </c>
      <c r="H529" t="str">
        <f>"410238-3   410238-4"</f>
        <v>410238-3   410238-4</v>
      </c>
    </row>
    <row r="530" spans="1:8" x14ac:dyDescent="0.25">
      <c r="E530" t="str">
        <f>"202012180776"</f>
        <v>202012180776</v>
      </c>
      <c r="F530" t="str">
        <f>"423-4051"</f>
        <v>423-4051</v>
      </c>
      <c r="G530" s="3">
        <v>4327.5</v>
      </c>
      <c r="H530" t="str">
        <f>"423-4051"</f>
        <v>423-4051</v>
      </c>
    </row>
    <row r="531" spans="1:8" x14ac:dyDescent="0.25">
      <c r="E531" t="str">
        <f>"202012180777"</f>
        <v>202012180777</v>
      </c>
      <c r="F531" t="str">
        <f>"1679-335"</f>
        <v>1679-335</v>
      </c>
      <c r="G531" s="3">
        <v>100</v>
      </c>
      <c r="H531" t="str">
        <f>"1679-335"</f>
        <v>1679-335</v>
      </c>
    </row>
    <row r="532" spans="1:8" x14ac:dyDescent="0.25">
      <c r="E532" t="str">
        <f>"202012180778"</f>
        <v>202012180778</v>
      </c>
      <c r="F532" t="str">
        <f>"13 588"</f>
        <v>13 588</v>
      </c>
      <c r="G532" s="3">
        <v>400</v>
      </c>
      <c r="H532" t="str">
        <f>"13 588"</f>
        <v>13 588</v>
      </c>
    </row>
    <row r="533" spans="1:8" x14ac:dyDescent="0.25">
      <c r="E533" t="str">
        <f>"202012180779"</f>
        <v>202012180779</v>
      </c>
      <c r="F533" t="str">
        <f>"16 490"</f>
        <v>16 490</v>
      </c>
      <c r="G533" s="3">
        <v>200</v>
      </c>
      <c r="H533" t="str">
        <f>"16 490"</f>
        <v>16 490</v>
      </c>
    </row>
    <row r="534" spans="1:8" x14ac:dyDescent="0.25">
      <c r="E534" t="str">
        <f>"202012180780"</f>
        <v>202012180780</v>
      </c>
      <c r="F534" t="str">
        <f>"17 104"</f>
        <v>17 104</v>
      </c>
      <c r="G534" s="3">
        <v>400</v>
      </c>
      <c r="H534" t="str">
        <f>"17 104"</f>
        <v>17 104</v>
      </c>
    </row>
    <row r="535" spans="1:8" x14ac:dyDescent="0.25">
      <c r="E535" t="str">
        <f>"202012180781"</f>
        <v>202012180781</v>
      </c>
      <c r="F535" t="str">
        <f>"1632-335"</f>
        <v>1632-335</v>
      </c>
      <c r="G535" s="3">
        <v>200</v>
      </c>
      <c r="H535" t="str">
        <f>"1632-335"</f>
        <v>1632-335</v>
      </c>
    </row>
    <row r="536" spans="1:8" x14ac:dyDescent="0.25">
      <c r="A536" t="s">
        <v>94</v>
      </c>
      <c r="B536">
        <v>3752</v>
      </c>
      <c r="C536" s="3">
        <v>2997.5</v>
      </c>
      <c r="D536" s="5">
        <v>44194</v>
      </c>
      <c r="E536" t="str">
        <f>"202012180757"</f>
        <v>202012180757</v>
      </c>
      <c r="F536" t="str">
        <f>"20-20262"</f>
        <v>20-20262</v>
      </c>
      <c r="G536" s="3">
        <v>100</v>
      </c>
      <c r="H536" t="str">
        <f>"20-20262"</f>
        <v>20-20262</v>
      </c>
    </row>
    <row r="537" spans="1:8" x14ac:dyDescent="0.25">
      <c r="E537" t="str">
        <f>"202012180758"</f>
        <v>202012180758</v>
      </c>
      <c r="F537" t="str">
        <f>"423-6442"</f>
        <v>423-6442</v>
      </c>
      <c r="G537" s="3">
        <v>2897.5</v>
      </c>
      <c r="H537" t="str">
        <f>"423-6442"</f>
        <v>423-6442</v>
      </c>
    </row>
    <row r="538" spans="1:8" x14ac:dyDescent="0.25">
      <c r="A538" t="s">
        <v>95</v>
      </c>
      <c r="B538">
        <v>3753</v>
      </c>
      <c r="C538" s="3">
        <v>1777.23</v>
      </c>
      <c r="D538" s="5">
        <v>44194</v>
      </c>
      <c r="E538" t="str">
        <f>"104157"</f>
        <v>104157</v>
      </c>
      <c r="F538" t="str">
        <f>"ACCT#BASTROP2/TAR&amp;ASPHALT REMO"</f>
        <v>ACCT#BASTROP2/TAR&amp;ASPHALT REMO</v>
      </c>
      <c r="G538" s="3">
        <v>1699</v>
      </c>
      <c r="H538" t="str">
        <f>"ACCT#BASTROP2/TAR&amp;ASPHALT REMO"</f>
        <v>ACCT#BASTROP2/TAR&amp;ASPHALT REMO</v>
      </c>
    </row>
    <row r="539" spans="1:8" x14ac:dyDescent="0.25">
      <c r="E539" t="str">
        <f>"109056"</f>
        <v>109056</v>
      </c>
      <c r="F539" t="str">
        <f>"OPEN RLF VALVE/PCT#2"</f>
        <v>OPEN RLF VALVE/PCT#2</v>
      </c>
      <c r="G539" s="3">
        <v>78.23</v>
      </c>
      <c r="H539" t="str">
        <f>"OPEN RLF VALVE/PCT#2"</f>
        <v>OPEN RLF VALVE/PCT#2</v>
      </c>
    </row>
    <row r="540" spans="1:8" x14ac:dyDescent="0.25">
      <c r="A540" t="s">
        <v>129</v>
      </c>
      <c r="B540">
        <v>3754</v>
      </c>
      <c r="C540" s="3">
        <v>221</v>
      </c>
      <c r="D540" s="5">
        <v>44194</v>
      </c>
      <c r="E540" t="str">
        <f>"2101053"</f>
        <v>2101053</v>
      </c>
      <c r="F540" t="str">
        <f>"CUST ID:BASTROP COUNTY CLERK"</f>
        <v>CUST ID:BASTROP COUNTY CLERK</v>
      </c>
      <c r="G540" s="3">
        <v>221</v>
      </c>
      <c r="H540" t="str">
        <f>"CUST ID:BASTROP COUNTY CLERK"</f>
        <v>CUST ID:BASTROP COUNTY CLERK</v>
      </c>
    </row>
    <row r="541" spans="1:8" x14ac:dyDescent="0.25">
      <c r="A541" t="s">
        <v>96</v>
      </c>
      <c r="B541">
        <v>3755</v>
      </c>
      <c r="C541" s="3">
        <v>1475</v>
      </c>
      <c r="D541" s="5">
        <v>44194</v>
      </c>
      <c r="E541" t="str">
        <f>"202012180759"</f>
        <v>202012180759</v>
      </c>
      <c r="F541" t="str">
        <f>"20-20510"</f>
        <v>20-20510</v>
      </c>
      <c r="G541" s="3">
        <v>100</v>
      </c>
      <c r="H541" t="str">
        <f>"20-20510"</f>
        <v>20-20510</v>
      </c>
    </row>
    <row r="542" spans="1:8" x14ac:dyDescent="0.25">
      <c r="E542" t="str">
        <f>"202012180760"</f>
        <v>202012180760</v>
      </c>
      <c r="F542" t="str">
        <f>"19-19866"</f>
        <v>19-19866</v>
      </c>
      <c r="G542" s="3">
        <v>250</v>
      </c>
      <c r="H542" t="str">
        <f>"19-19866"</f>
        <v>19-19866</v>
      </c>
    </row>
    <row r="543" spans="1:8" x14ac:dyDescent="0.25">
      <c r="E543" t="str">
        <f>"202012180761"</f>
        <v>202012180761</v>
      </c>
      <c r="F543" t="str">
        <f>"19-19987"</f>
        <v>19-19987</v>
      </c>
      <c r="G543" s="3">
        <v>525</v>
      </c>
      <c r="H543" t="str">
        <f>"19-19987"</f>
        <v>19-19987</v>
      </c>
    </row>
    <row r="544" spans="1:8" x14ac:dyDescent="0.25">
      <c r="E544" t="str">
        <f>"202012210824"</f>
        <v>202012210824</v>
      </c>
      <c r="F544" t="str">
        <f>"1677-335  1674-21"</f>
        <v>1677-335  1674-21</v>
      </c>
      <c r="G544" s="3">
        <v>200</v>
      </c>
      <c r="H544" t="str">
        <f>"1677-335  1674-21"</f>
        <v>1677-335  1674-21</v>
      </c>
    </row>
    <row r="545" spans="1:8" x14ac:dyDescent="0.25">
      <c r="E545" t="str">
        <f>"202012210825"</f>
        <v>202012210825</v>
      </c>
      <c r="F545" t="str">
        <f>"16 013"</f>
        <v>16 013</v>
      </c>
      <c r="G545" s="3">
        <v>400</v>
      </c>
      <c r="H545" t="str">
        <f>"16 013"</f>
        <v>16 013</v>
      </c>
    </row>
    <row r="546" spans="1:8" x14ac:dyDescent="0.25">
      <c r="A546" t="s">
        <v>97</v>
      </c>
      <c r="B546">
        <v>3756</v>
      </c>
      <c r="C546" s="3">
        <v>4050</v>
      </c>
      <c r="D546" s="5">
        <v>44194</v>
      </c>
      <c r="E546" t="str">
        <f>"202012170714"</f>
        <v>202012170714</v>
      </c>
      <c r="F546" t="str">
        <f>"17144"</f>
        <v>17144</v>
      </c>
      <c r="G546" s="3">
        <v>400</v>
      </c>
      <c r="H546" t="str">
        <f>"17144"</f>
        <v>17144</v>
      </c>
    </row>
    <row r="547" spans="1:8" x14ac:dyDescent="0.25">
      <c r="E547" t="str">
        <f>"202012180782"</f>
        <v>202012180782</v>
      </c>
      <c r="F547" t="str">
        <f>"56273"</f>
        <v>56273</v>
      </c>
      <c r="G547" s="3">
        <v>250</v>
      </c>
      <c r="H547" t="str">
        <f>"56273"</f>
        <v>56273</v>
      </c>
    </row>
    <row r="548" spans="1:8" x14ac:dyDescent="0.25">
      <c r="E548" t="str">
        <f>"202012180783"</f>
        <v>202012180783</v>
      </c>
      <c r="F548" t="str">
        <f>"4020220-4"</f>
        <v>4020220-4</v>
      </c>
      <c r="G548" s="3">
        <v>400</v>
      </c>
      <c r="H548" t="str">
        <f>"4020220-4"</f>
        <v>4020220-4</v>
      </c>
    </row>
    <row r="549" spans="1:8" x14ac:dyDescent="0.25">
      <c r="E549" t="str">
        <f>"202012180784"</f>
        <v>202012180784</v>
      </c>
      <c r="F549" t="str">
        <f>"15126     JP11.111712.2"</f>
        <v>15126     JP11.111712.2</v>
      </c>
      <c r="G549" s="3">
        <v>1200</v>
      </c>
      <c r="H549" t="str">
        <f>"15126     JP11.111712.2"</f>
        <v>15126     JP11.111712.2</v>
      </c>
    </row>
    <row r="550" spans="1:8" x14ac:dyDescent="0.25">
      <c r="E550" t="str">
        <f>"202012180785"</f>
        <v>202012180785</v>
      </c>
      <c r="F550" t="str">
        <f>"9789"</f>
        <v>9789</v>
      </c>
      <c r="G550" s="3">
        <v>800</v>
      </c>
      <c r="H550" t="str">
        <f>"9789"</f>
        <v>9789</v>
      </c>
    </row>
    <row r="551" spans="1:8" x14ac:dyDescent="0.25">
      <c r="E551" t="str">
        <f>"202012180786"</f>
        <v>202012180786</v>
      </c>
      <c r="F551" t="str">
        <f>"16108"</f>
        <v>16108</v>
      </c>
      <c r="G551" s="3">
        <v>600</v>
      </c>
      <c r="H551" t="str">
        <f>"16108"</f>
        <v>16108</v>
      </c>
    </row>
    <row r="552" spans="1:8" x14ac:dyDescent="0.25">
      <c r="E552" t="str">
        <f>"202012180787"</f>
        <v>202012180787</v>
      </c>
      <c r="F552" t="str">
        <f>"17127"</f>
        <v>17127</v>
      </c>
      <c r="G552" s="3">
        <v>400</v>
      </c>
      <c r="H552" t="str">
        <f>"17127"</f>
        <v>17127</v>
      </c>
    </row>
    <row r="553" spans="1:8" x14ac:dyDescent="0.25">
      <c r="A553" t="s">
        <v>98</v>
      </c>
      <c r="B553">
        <v>3757</v>
      </c>
      <c r="C553" s="3">
        <v>1100</v>
      </c>
      <c r="D553" s="5">
        <v>44194</v>
      </c>
      <c r="E553" t="str">
        <f>"202012170715"</f>
        <v>202012170715</v>
      </c>
      <c r="F553" t="str">
        <f>"1655-335"</f>
        <v>1655-335</v>
      </c>
      <c r="G553" s="3">
        <v>100</v>
      </c>
      <c r="H553" t="str">
        <f>"1655-335"</f>
        <v>1655-335</v>
      </c>
    </row>
    <row r="554" spans="1:8" x14ac:dyDescent="0.25">
      <c r="E554" t="str">
        <f>"202012170717"</f>
        <v>202012170717</v>
      </c>
      <c r="F554" t="str">
        <f>"2007228  2007061"</f>
        <v>2007228  2007061</v>
      </c>
      <c r="G554" s="3">
        <v>200</v>
      </c>
      <c r="H554" t="str">
        <f>"2007228  2007061"</f>
        <v>2007228  2007061</v>
      </c>
    </row>
    <row r="555" spans="1:8" x14ac:dyDescent="0.25">
      <c r="E555" t="str">
        <f>"202012180788"</f>
        <v>202012180788</v>
      </c>
      <c r="F555" t="str">
        <f>"16 995"</f>
        <v>16 995</v>
      </c>
      <c r="G555" s="3">
        <v>800</v>
      </c>
      <c r="H555" t="str">
        <f>"16 995"</f>
        <v>16 995</v>
      </c>
    </row>
    <row r="556" spans="1:8" x14ac:dyDescent="0.25">
      <c r="A556" t="s">
        <v>55</v>
      </c>
      <c r="B556">
        <v>3763</v>
      </c>
      <c r="C556" s="3">
        <v>2500</v>
      </c>
      <c r="D556" s="5">
        <v>44194</v>
      </c>
      <c r="E556" t="str">
        <f>"25"</f>
        <v>25</v>
      </c>
      <c r="F556" t="str">
        <f>"PROF SCVS / DEC 8 -22"</f>
        <v>PROF SCVS / DEC 8 -22</v>
      </c>
      <c r="G556" s="3">
        <v>2500</v>
      </c>
      <c r="H556" t="str">
        <f>"PROF SCVS / DEC 8 -22"</f>
        <v>PROF SCVS / DEC 8 -22</v>
      </c>
    </row>
    <row r="557" spans="1:8" x14ac:dyDescent="0.25">
      <c r="A557" t="s">
        <v>130</v>
      </c>
      <c r="B557">
        <v>133887</v>
      </c>
      <c r="C557" s="3">
        <v>40</v>
      </c>
      <c r="D557" s="5">
        <v>44166</v>
      </c>
      <c r="E557" t="str">
        <f>"202012010331"</f>
        <v>202012010331</v>
      </c>
      <c r="F557" t="str">
        <f>"Misc"</f>
        <v>Misc</v>
      </c>
      <c r="G557" s="3">
        <v>40</v>
      </c>
      <c r="H557" t="str">
        <f>"CHARITTY NOEL ALEXANDER"</f>
        <v>CHARITTY NOEL ALEXANDER</v>
      </c>
    </row>
    <row r="558" spans="1:8" x14ac:dyDescent="0.25">
      <c r="A558" t="s">
        <v>131</v>
      </c>
      <c r="B558">
        <v>133888</v>
      </c>
      <c r="C558" s="3">
        <v>40</v>
      </c>
      <c r="D558" s="5">
        <v>44166</v>
      </c>
      <c r="E558" t="str">
        <f>"202012010332"</f>
        <v>202012010332</v>
      </c>
      <c r="F558" t="str">
        <f>"Miscel"</f>
        <v>Miscel</v>
      </c>
      <c r="G558" s="3">
        <v>40</v>
      </c>
      <c r="H558" t="str">
        <f>"JESSICA LEON-CIPRIANO"</f>
        <v>JESSICA LEON-CIPRIANO</v>
      </c>
    </row>
    <row r="559" spans="1:8" x14ac:dyDescent="0.25">
      <c r="A559" t="s">
        <v>132</v>
      </c>
      <c r="B559">
        <v>133889</v>
      </c>
      <c r="C559" s="3">
        <v>40</v>
      </c>
      <c r="D559" s="5">
        <v>44166</v>
      </c>
      <c r="E559" t="str">
        <f>"202012010333"</f>
        <v>202012010333</v>
      </c>
      <c r="F559" t="str">
        <f>"Miscell"</f>
        <v>Miscell</v>
      </c>
      <c r="G559" s="3">
        <v>40</v>
      </c>
      <c r="H559" t="str">
        <f>"ERICK RENE RODRIGUEZ"</f>
        <v>ERICK RENE RODRIGUEZ</v>
      </c>
    </row>
    <row r="560" spans="1:8" x14ac:dyDescent="0.25">
      <c r="A560" t="s">
        <v>133</v>
      </c>
      <c r="B560">
        <v>133890</v>
      </c>
      <c r="C560" s="3">
        <v>40</v>
      </c>
      <c r="D560" s="5">
        <v>44166</v>
      </c>
      <c r="E560" t="str">
        <f>"202012010334"</f>
        <v>202012010334</v>
      </c>
      <c r="F560" t="str">
        <f>"Miscell"</f>
        <v>Miscell</v>
      </c>
      <c r="G560" s="3">
        <v>40</v>
      </c>
      <c r="H560" t="str">
        <f>"BEATRICE MARY FLIPPO"</f>
        <v>BEATRICE MARY FLIPPO</v>
      </c>
    </row>
    <row r="561" spans="1:8" x14ac:dyDescent="0.25">
      <c r="A561" t="s">
        <v>134</v>
      </c>
      <c r="B561">
        <v>133891</v>
      </c>
      <c r="C561" s="3">
        <v>40</v>
      </c>
      <c r="D561" s="5">
        <v>44166</v>
      </c>
      <c r="E561" t="str">
        <f>"202012010335"</f>
        <v>202012010335</v>
      </c>
      <c r="F561" t="str">
        <f>"Miscellan"</f>
        <v>Miscellan</v>
      </c>
      <c r="G561" s="3">
        <v>40</v>
      </c>
      <c r="H561" t="str">
        <f>"JEFFREY NEIL EWING"</f>
        <v>JEFFREY NEIL EWING</v>
      </c>
    </row>
    <row r="562" spans="1:8" x14ac:dyDescent="0.25">
      <c r="A562" t="s">
        <v>135</v>
      </c>
      <c r="B562">
        <v>133892</v>
      </c>
      <c r="C562" s="3">
        <v>40</v>
      </c>
      <c r="D562" s="5">
        <v>44166</v>
      </c>
      <c r="E562" t="str">
        <f>"202012010336"</f>
        <v>202012010336</v>
      </c>
      <c r="F562" t="str">
        <f>"Miscel"</f>
        <v>Miscel</v>
      </c>
      <c r="G562" s="3">
        <v>40</v>
      </c>
      <c r="H562" t="str">
        <f>"JEFFREY SCOTT KUBICEK"</f>
        <v>JEFFREY SCOTT KUBICEK</v>
      </c>
    </row>
    <row r="563" spans="1:8" x14ac:dyDescent="0.25">
      <c r="A563" t="s">
        <v>136</v>
      </c>
      <c r="B563">
        <v>133893</v>
      </c>
      <c r="C563" s="3">
        <v>40</v>
      </c>
      <c r="D563" s="5">
        <v>44166</v>
      </c>
      <c r="E563" t="str">
        <f>"202012010337"</f>
        <v>202012010337</v>
      </c>
      <c r="F563" t="str">
        <f>"Miscella"</f>
        <v>Miscella</v>
      </c>
      <c r="G563" s="3">
        <v>40</v>
      </c>
      <c r="H563" t="str">
        <f>"NOEMI ANDRADE POTTS"</f>
        <v>NOEMI ANDRADE POTTS</v>
      </c>
    </row>
    <row r="564" spans="1:8" x14ac:dyDescent="0.25">
      <c r="A564" t="s">
        <v>137</v>
      </c>
      <c r="B564">
        <v>133894</v>
      </c>
      <c r="C564" s="3">
        <v>40</v>
      </c>
      <c r="D564" s="5">
        <v>44166</v>
      </c>
      <c r="E564" t="str">
        <f>"202012010338"</f>
        <v>202012010338</v>
      </c>
      <c r="F564" t="str">
        <f>"Miscellaneo"</f>
        <v>Miscellaneo</v>
      </c>
      <c r="G564" s="3">
        <v>40</v>
      </c>
      <c r="H564" t="str">
        <f>"MARTIN DAVID RAZ"</f>
        <v>MARTIN DAVID RAZ</v>
      </c>
    </row>
    <row r="565" spans="1:8" x14ac:dyDescent="0.25">
      <c r="A565" t="s">
        <v>138</v>
      </c>
      <c r="B565">
        <v>133895</v>
      </c>
      <c r="C565" s="3">
        <v>40</v>
      </c>
      <c r="D565" s="5">
        <v>44166</v>
      </c>
      <c r="E565" t="str">
        <f>"202012010339"</f>
        <v>202012010339</v>
      </c>
      <c r="F565" t="str">
        <f>"Miscell"</f>
        <v>Miscell</v>
      </c>
      <c r="G565" s="3">
        <v>40</v>
      </c>
      <c r="H565" t="str">
        <f>"ARIEL KAITLIN DUFFIN"</f>
        <v>ARIEL KAITLIN DUFFIN</v>
      </c>
    </row>
    <row r="566" spans="1:8" x14ac:dyDescent="0.25">
      <c r="A566" t="s">
        <v>139</v>
      </c>
      <c r="B566">
        <v>133896</v>
      </c>
      <c r="C566" s="3">
        <v>40</v>
      </c>
      <c r="D566" s="5">
        <v>44166</v>
      </c>
      <c r="E566" t="str">
        <f>"202012010340"</f>
        <v>202012010340</v>
      </c>
      <c r="F566" t="str">
        <f>"Miscel"</f>
        <v>Miscel</v>
      </c>
      <c r="G566" s="3">
        <v>40</v>
      </c>
      <c r="H566" t="str">
        <f>"THERESA PSENCIK ZETKA"</f>
        <v>THERESA PSENCIK ZETKA</v>
      </c>
    </row>
    <row r="567" spans="1:8" x14ac:dyDescent="0.25">
      <c r="A567" t="s">
        <v>140</v>
      </c>
      <c r="B567">
        <v>133897</v>
      </c>
      <c r="C567" s="3">
        <v>40</v>
      </c>
      <c r="D567" s="5">
        <v>44166</v>
      </c>
      <c r="E567" t="str">
        <f>"202012010341"</f>
        <v>202012010341</v>
      </c>
      <c r="F567" t="str">
        <f>"Miscellan"</f>
        <v>Miscellan</v>
      </c>
      <c r="G567" s="3">
        <v>40</v>
      </c>
      <c r="H567" t="str">
        <f>"CAROL ANN JOHNSTON"</f>
        <v>CAROL ANN JOHNSTON</v>
      </c>
    </row>
    <row r="568" spans="1:8" x14ac:dyDescent="0.25">
      <c r="A568" t="s">
        <v>141</v>
      </c>
      <c r="B568">
        <v>133898</v>
      </c>
      <c r="C568" s="3">
        <v>40</v>
      </c>
      <c r="D568" s="5">
        <v>44166</v>
      </c>
      <c r="E568" t="str">
        <f>"202012010342"</f>
        <v>202012010342</v>
      </c>
      <c r="F568" t="str">
        <f>"Miscellaneous"</f>
        <v>Miscellaneous</v>
      </c>
      <c r="G568" s="3">
        <v>40</v>
      </c>
      <c r="H568" t="str">
        <f>"ANDRE L BINGER"</f>
        <v>ANDRE L BINGER</v>
      </c>
    </row>
    <row r="569" spans="1:8" x14ac:dyDescent="0.25">
      <c r="A569" t="s">
        <v>142</v>
      </c>
      <c r="B569">
        <v>133899</v>
      </c>
      <c r="C569" s="3">
        <v>250</v>
      </c>
      <c r="D569" s="5">
        <v>44166</v>
      </c>
      <c r="E569" t="str">
        <f>"1266-47"</f>
        <v>1266-47</v>
      </c>
      <c r="F569" t="str">
        <f>"REBUILD &amp; RECOVER TRUCK SEAT"</f>
        <v>REBUILD &amp; RECOVER TRUCK SEAT</v>
      </c>
      <c r="G569" s="3">
        <v>250</v>
      </c>
      <c r="H569" t="str">
        <f>"REBUILD &amp; RECOVER TRUCK SEAT"</f>
        <v>REBUILD &amp; RECOVER TRUCK SEAT</v>
      </c>
    </row>
    <row r="570" spans="1:8" x14ac:dyDescent="0.25">
      <c r="A570" t="s">
        <v>143</v>
      </c>
      <c r="B570">
        <v>133900</v>
      </c>
      <c r="C570" s="3">
        <v>1604.57</v>
      </c>
      <c r="D570" s="5">
        <v>44170</v>
      </c>
      <c r="E570" t="str">
        <f>"202012030527"</f>
        <v>202012030527</v>
      </c>
      <c r="F570" t="str">
        <f>"ACCT#0102120801 / 11202020"</f>
        <v>ACCT#0102120801 / 11202020</v>
      </c>
      <c r="G570" s="3">
        <v>568.69000000000005</v>
      </c>
      <c r="H570" t="str">
        <f>"AQUA WATER SUPPLY CORPORATION"</f>
        <v>AQUA WATER SUPPLY CORPORATION</v>
      </c>
    </row>
    <row r="571" spans="1:8" x14ac:dyDescent="0.25">
      <c r="E571" t="str">
        <f>"202012030528"</f>
        <v>202012030528</v>
      </c>
      <c r="F571" t="str">
        <f>"ACCT#0400785803/ 11202020"</f>
        <v>ACCT#0400785803/ 11202020</v>
      </c>
      <c r="G571" s="3">
        <v>212.45</v>
      </c>
      <c r="H571" t="str">
        <f>"AQUA WATER SUPPLY CORPORATION"</f>
        <v>AQUA WATER SUPPLY CORPORATION</v>
      </c>
    </row>
    <row r="572" spans="1:8" x14ac:dyDescent="0.25">
      <c r="E572" t="str">
        <f>"202012030529"</f>
        <v>202012030529</v>
      </c>
      <c r="F572" t="str">
        <f>"ACCT#0401408501 / 11202020"</f>
        <v>ACCT#0401408501 / 11202020</v>
      </c>
      <c r="G572" s="3">
        <v>743.86</v>
      </c>
      <c r="H572" t="str">
        <f>"ACCT#0401408501 / 11202020"</f>
        <v>ACCT#0401408501 / 11202020</v>
      </c>
    </row>
    <row r="573" spans="1:8" x14ac:dyDescent="0.25">
      <c r="E573" t="str">
        <f>"202012030530"</f>
        <v>202012030530</v>
      </c>
      <c r="F573" t="str">
        <f>"ACCT#0800042801 / 11202020"</f>
        <v>ACCT#0800042801 / 11202020</v>
      </c>
      <c r="G573" s="3">
        <v>52.75</v>
      </c>
      <c r="H573" t="str">
        <f>"AQUA WATER SUPPLY CORPORATION"</f>
        <v>AQUA WATER SUPPLY CORPORATION</v>
      </c>
    </row>
    <row r="574" spans="1:8" x14ac:dyDescent="0.25">
      <c r="E574" t="str">
        <f>"202012030531"</f>
        <v>202012030531</v>
      </c>
      <c r="F574" t="str">
        <f>"ACCT#0802361501 / 11202020"</f>
        <v>ACCT#0802361501 / 11202020</v>
      </c>
      <c r="G574" s="3">
        <v>26.82</v>
      </c>
      <c r="H574" t="str">
        <f>"AQUA WATER SUPPLY CORPORATION"</f>
        <v>AQUA WATER SUPPLY CORPORATION</v>
      </c>
    </row>
    <row r="575" spans="1:8" x14ac:dyDescent="0.25">
      <c r="A575" t="s">
        <v>144</v>
      </c>
      <c r="B575">
        <v>133901</v>
      </c>
      <c r="C575" s="3">
        <v>1590.44</v>
      </c>
      <c r="D575" s="5">
        <v>44170</v>
      </c>
      <c r="E575" t="str">
        <f>"202012030507"</f>
        <v>202012030507</v>
      </c>
      <c r="F575" t="str">
        <f>"ACCT#8000081165-5 / 11192020"</f>
        <v>ACCT#8000081165-5 / 11192020</v>
      </c>
      <c r="G575" s="3">
        <v>1590.44</v>
      </c>
      <c r="H575" t="str">
        <f>"UTILITIES"</f>
        <v>UTILITIES</v>
      </c>
    </row>
    <row r="576" spans="1:8" x14ac:dyDescent="0.25">
      <c r="E576" t="str">
        <f>""</f>
        <v/>
      </c>
      <c r="F576" t="str">
        <f>""</f>
        <v/>
      </c>
      <c r="H576" t="str">
        <f>"UTILITIES"</f>
        <v>UTILITIES</v>
      </c>
    </row>
    <row r="577" spans="1:8" x14ac:dyDescent="0.25">
      <c r="A577" t="s">
        <v>145</v>
      </c>
      <c r="B577">
        <v>133902</v>
      </c>
      <c r="C577" s="3">
        <v>3243.13</v>
      </c>
      <c r="D577" s="5">
        <v>44170</v>
      </c>
      <c r="E577" t="str">
        <f>"202012030512"</f>
        <v>202012030512</v>
      </c>
      <c r="F577" t="str">
        <f>"ACCT#007-0000388-000/11232020"</f>
        <v>ACCT#007-0000388-000/11232020</v>
      </c>
      <c r="G577" s="3">
        <v>578.75</v>
      </c>
      <c r="H577" t="str">
        <f t="shared" ref="H577:H582" si="4">"CITY OF SMITHVILLE"</f>
        <v>CITY OF SMITHVILLE</v>
      </c>
    </row>
    <row r="578" spans="1:8" x14ac:dyDescent="0.25">
      <c r="E578" t="str">
        <f>"202012030513"</f>
        <v>202012030513</v>
      </c>
      <c r="F578" t="str">
        <f>"ACCT#007-0000389-000/11232020"</f>
        <v>ACCT#007-0000389-000/11232020</v>
      </c>
      <c r="G578" s="3">
        <v>145.59</v>
      </c>
      <c r="H578" t="str">
        <f t="shared" si="4"/>
        <v>CITY OF SMITHVILLE</v>
      </c>
    </row>
    <row r="579" spans="1:8" x14ac:dyDescent="0.25">
      <c r="E579" t="str">
        <f>"202012030514"</f>
        <v>202012030514</v>
      </c>
      <c r="F579" t="str">
        <f>"ACCT#044-0001240-000/11232020"</f>
        <v>ACCT#044-0001240-000/11232020</v>
      </c>
      <c r="G579" s="3">
        <v>345.43</v>
      </c>
      <c r="H579" t="str">
        <f t="shared" si="4"/>
        <v>CITY OF SMITHVILLE</v>
      </c>
    </row>
    <row r="580" spans="1:8" x14ac:dyDescent="0.25">
      <c r="E580" t="str">
        <f>"202012030515"</f>
        <v>202012030515</v>
      </c>
      <c r="F580" t="str">
        <f>"ACCT#044-0001250-000/11232020"</f>
        <v>ACCT#044-0001250-000/11232020</v>
      </c>
      <c r="G580" s="3">
        <v>103.17</v>
      </c>
      <c r="H580" t="str">
        <f t="shared" si="4"/>
        <v>CITY OF SMITHVILLE</v>
      </c>
    </row>
    <row r="581" spans="1:8" x14ac:dyDescent="0.25">
      <c r="E581" t="str">
        <f>"202012030516"</f>
        <v>202012030516</v>
      </c>
      <c r="F581" t="str">
        <f>"ACCT#044-0001252-000/11232020"</f>
        <v>ACCT#044-0001252-000/11232020</v>
      </c>
      <c r="G581" s="3">
        <v>1905.91</v>
      </c>
      <c r="H581" t="str">
        <f t="shared" si="4"/>
        <v>CITY OF SMITHVILLE</v>
      </c>
    </row>
    <row r="582" spans="1:8" x14ac:dyDescent="0.25">
      <c r="E582" t="str">
        <f>"202012030517"</f>
        <v>202012030517</v>
      </c>
      <c r="F582" t="str">
        <f>"ACCT#044-0001253-000/11232020"</f>
        <v>ACCT#044-0001253-000/11232020</v>
      </c>
      <c r="G582" s="3">
        <v>164.28</v>
      </c>
      <c r="H582" t="str">
        <f t="shared" si="4"/>
        <v>CITY OF SMITHVILLE</v>
      </c>
    </row>
    <row r="583" spans="1:8" x14ac:dyDescent="0.25">
      <c r="A583" t="s">
        <v>146</v>
      </c>
      <c r="B583">
        <v>133903</v>
      </c>
      <c r="C583" s="3">
        <v>749.4</v>
      </c>
      <c r="D583" s="5">
        <v>44170</v>
      </c>
      <c r="E583" t="str">
        <f>"202012030508"</f>
        <v>202012030508</v>
      </c>
      <c r="F583" t="str">
        <f>"ACCT#405900029225 / 12012020"</f>
        <v>ACCT#405900029225 / 12012020</v>
      </c>
      <c r="G583" s="3">
        <v>187.35</v>
      </c>
      <c r="H583" t="str">
        <f>"ACCT#405900029225 / 12012020"</f>
        <v>ACCT#405900029225 / 12012020</v>
      </c>
    </row>
    <row r="584" spans="1:8" x14ac:dyDescent="0.25">
      <c r="E584" t="str">
        <f>"202012030509"</f>
        <v>202012030509</v>
      </c>
      <c r="F584" t="str">
        <f>"ACCT#405900029213 / 12012020"</f>
        <v>ACCT#405900029213 / 12012020</v>
      </c>
      <c r="G584" s="3">
        <v>374.7</v>
      </c>
      <c r="H584" t="str">
        <f>"ACCT#405900029213 / 12012020"</f>
        <v>ACCT#405900029213 / 12012020</v>
      </c>
    </row>
    <row r="585" spans="1:8" x14ac:dyDescent="0.25">
      <c r="E585" t="str">
        <f>"202012030510"</f>
        <v>202012030510</v>
      </c>
      <c r="F585" t="str">
        <f>"ACCT#405900028789 / 12012020"</f>
        <v>ACCT#405900028789 / 12012020</v>
      </c>
      <c r="G585" s="3">
        <v>187.35</v>
      </c>
      <c r="H585" t="str">
        <f>"ACCT#405900028789 / 12012020"</f>
        <v>ACCT#405900028789 / 12012020</v>
      </c>
    </row>
    <row r="586" spans="1:8" x14ac:dyDescent="0.25">
      <c r="A586" t="s">
        <v>147</v>
      </c>
      <c r="B586">
        <v>133904</v>
      </c>
      <c r="C586" s="3">
        <v>1057.1199999999999</v>
      </c>
      <c r="D586" s="5">
        <v>44170</v>
      </c>
      <c r="E586" t="str">
        <f>"202012030520"</f>
        <v>202012030520</v>
      </c>
      <c r="F586" t="str">
        <f>"ACCT#007-0008410-002/11302020"</f>
        <v>ACCT#007-0008410-002/11302020</v>
      </c>
      <c r="G586" s="3">
        <v>228.52</v>
      </c>
      <c r="H586" t="str">
        <f>"ACCT#007-0008410-002/11302020"</f>
        <v>ACCT#007-0008410-002/11302020</v>
      </c>
    </row>
    <row r="587" spans="1:8" x14ac:dyDescent="0.25">
      <c r="E587" t="str">
        <f>"202012030521"</f>
        <v>202012030521</v>
      </c>
      <c r="F587" t="str">
        <f>"ACCT#007-0011501-000/11302020"</f>
        <v>ACCT#007-0011501-000/11302020</v>
      </c>
      <c r="G587" s="3">
        <v>71.56</v>
      </c>
      <c r="H587" t="str">
        <f>"ACCT#007-0011501-000/11302020"</f>
        <v>ACCT#007-0011501-000/11302020</v>
      </c>
    </row>
    <row r="588" spans="1:8" x14ac:dyDescent="0.25">
      <c r="E588" t="str">
        <f>"202012030522"</f>
        <v>202012030522</v>
      </c>
      <c r="F588" t="str">
        <f>"ACCT#007-0011510-000/11302020"</f>
        <v>ACCT#007-0011510-000/11302020</v>
      </c>
      <c r="G588" s="3">
        <v>242.27</v>
      </c>
      <c r="H588" t="str">
        <f>"ACCT#007-0011510-000/11302020"</f>
        <v>ACCT#007-0011510-000/11302020</v>
      </c>
    </row>
    <row r="589" spans="1:8" x14ac:dyDescent="0.25">
      <c r="E589" t="str">
        <f>"202012030523"</f>
        <v>202012030523</v>
      </c>
      <c r="F589" t="str">
        <f>"ACCT#007-0011530-000/11302020"</f>
        <v>ACCT#007-0011530-000/11302020</v>
      </c>
      <c r="G589" s="3">
        <v>98.64</v>
      </c>
      <c r="H589" t="str">
        <f>"ACCT#007-0011530-000/11302020"</f>
        <v>ACCT#007-0011530-000/11302020</v>
      </c>
    </row>
    <row r="590" spans="1:8" x14ac:dyDescent="0.25">
      <c r="E590" t="str">
        <f>"202012030524"</f>
        <v>202012030524</v>
      </c>
      <c r="F590" t="str">
        <f>"ACCT#007-0011534-001/11302020"</f>
        <v>ACCT#007-0011534-001/11302020</v>
      </c>
      <c r="G590" s="3">
        <v>170.17</v>
      </c>
      <c r="H590" t="str">
        <f>"ACCT#007-0011534-001/11302020"</f>
        <v>ACCT#007-0011534-001/11302020</v>
      </c>
    </row>
    <row r="591" spans="1:8" x14ac:dyDescent="0.25">
      <c r="E591" t="str">
        <f>"202012030525"</f>
        <v>202012030525</v>
      </c>
      <c r="F591" t="str">
        <f>"ACCT#007-0011535-000/11302020"</f>
        <v>ACCT#007-0011535-000/11302020</v>
      </c>
      <c r="G591" s="3">
        <v>113.44</v>
      </c>
      <c r="H591" t="str">
        <f>"ACCT#007-0011535-000/11302020"</f>
        <v>ACCT#007-0011535-000/11302020</v>
      </c>
    </row>
    <row r="592" spans="1:8" x14ac:dyDescent="0.25">
      <c r="E592" t="str">
        <f>"202012030526"</f>
        <v>202012030526</v>
      </c>
      <c r="F592" t="str">
        <f>"ACCT#007-0011544-001/11302020"</f>
        <v>ACCT#007-0011544-001/11302020</v>
      </c>
      <c r="G592" s="3">
        <v>132.52000000000001</v>
      </c>
      <c r="H592" t="str">
        <f>"CITY OF ELGIN UTILITIES"</f>
        <v>CITY OF ELGIN UTILITIES</v>
      </c>
    </row>
    <row r="593" spans="1:8" x14ac:dyDescent="0.25">
      <c r="A593" t="s">
        <v>148</v>
      </c>
      <c r="B593">
        <v>133905</v>
      </c>
      <c r="C593" s="3">
        <v>50.25</v>
      </c>
      <c r="D593" s="5">
        <v>44170</v>
      </c>
      <c r="E593" t="str">
        <f>"202012030518"</f>
        <v>202012030518</v>
      </c>
      <c r="F593" t="str">
        <f>"ACCT#1-09-00072-02 1/11242020"</f>
        <v>ACCT#1-09-00072-02 1/11242020</v>
      </c>
      <c r="G593" s="3">
        <v>50.25</v>
      </c>
      <c r="H593" t="str">
        <f>"LEE COUNTY WATER SUPPLY CORP"</f>
        <v>LEE COUNTY WATER SUPPLY CORP</v>
      </c>
    </row>
    <row r="594" spans="1:8" x14ac:dyDescent="0.25">
      <c r="A594" t="s">
        <v>149</v>
      </c>
      <c r="B594">
        <v>133906</v>
      </c>
      <c r="C594" s="3">
        <v>1466.39</v>
      </c>
      <c r="D594" s="5">
        <v>44170</v>
      </c>
      <c r="E594" t="str">
        <f>"15 072 204-9"</f>
        <v>15 072 204-9</v>
      </c>
      <c r="F594" t="str">
        <f>"ACCT#15 072 204-9/11302020"</f>
        <v>ACCT#15 072 204-9/11302020</v>
      </c>
      <c r="G594" s="3">
        <v>289.38</v>
      </c>
      <c r="H594" t="str">
        <f>"NRG ENERGY INC"</f>
        <v>NRG ENERGY INC</v>
      </c>
    </row>
    <row r="595" spans="1:8" x14ac:dyDescent="0.25">
      <c r="E595" t="str">
        <f>"304 000 816 324 1"</f>
        <v>304 000 816 324 1</v>
      </c>
      <c r="F595" t="str">
        <f>"ACCT#15 070 712-3/11302020"</f>
        <v>ACCT#15 070 712-3/11302020</v>
      </c>
      <c r="G595" s="3">
        <v>18.21</v>
      </c>
      <c r="H595" t="str">
        <f>"NRG ENERGY INC"</f>
        <v>NRG ENERGY INC</v>
      </c>
    </row>
    <row r="596" spans="1:8" x14ac:dyDescent="0.25">
      <c r="E596" t="str">
        <f>"304 000 816 325 8"</f>
        <v>304 000 816 325 8</v>
      </c>
      <c r="F596" t="str">
        <f>"ACCT#15 070 713-1/11302020"</f>
        <v>ACCT#15 070 713-1/11302020</v>
      </c>
      <c r="G596" s="3">
        <v>21.95</v>
      </c>
      <c r="H596" t="str">
        <f>"NRG ENERGY INC"</f>
        <v>NRG ENERGY INC</v>
      </c>
    </row>
    <row r="597" spans="1:8" x14ac:dyDescent="0.25">
      <c r="E597" t="str">
        <f>"305 000 708 735 8"</f>
        <v>305 000 708 735 8</v>
      </c>
      <c r="F597" t="str">
        <f>"ACCT#15 069 451-1/11302020"</f>
        <v>ACCT#15 069 451-1/11302020</v>
      </c>
      <c r="G597" s="3">
        <v>389.65</v>
      </c>
      <c r="H597" t="str">
        <f>"ACCT#15 069 451-1/11302020"</f>
        <v>ACCT#15 069 451-1/11302020</v>
      </c>
    </row>
    <row r="598" spans="1:8" x14ac:dyDescent="0.25">
      <c r="E598" t="str">
        <f>"306 000 652 110 9"</f>
        <v>306 000 652 110 9</v>
      </c>
      <c r="F598" t="str">
        <f>"ACCT#15 072 199-1/11302020"</f>
        <v>ACCT#15 072 199-1/11302020</v>
      </c>
      <c r="G598" s="3">
        <v>87.28</v>
      </c>
      <c r="H598" t="str">
        <f>"ACCT#15 072 199-1/11302020"</f>
        <v>ACCT#15 072 199-1/11302020</v>
      </c>
    </row>
    <row r="599" spans="1:8" x14ac:dyDescent="0.25">
      <c r="E599" t="str">
        <f>"306 000 652 111 7"</f>
        <v>306 000 652 111 7</v>
      </c>
      <c r="F599" t="str">
        <f>"ACCT#15 072 200-7/11302020"</f>
        <v>ACCT#15 072 200-7/11302020</v>
      </c>
      <c r="G599" s="3">
        <v>240.86</v>
      </c>
      <c r="H599" t="str">
        <f>"ACCT#15 072 200-7/11302020"</f>
        <v>ACCT#15 072 200-7/11302020</v>
      </c>
    </row>
    <row r="600" spans="1:8" x14ac:dyDescent="0.25">
      <c r="E600" t="str">
        <f>"306 000 652 112 5"</f>
        <v>306 000 652 112 5</v>
      </c>
      <c r="F600" t="str">
        <f>"ACCT#15 072 201-5/11302020"</f>
        <v>ACCT#15 072 201-5/11302020</v>
      </c>
      <c r="G600" s="3">
        <v>377.73</v>
      </c>
      <c r="H600" t="str">
        <f>"ACCT#15 072 201-5/11302020"</f>
        <v>ACCT#15 072 201-5/11302020</v>
      </c>
    </row>
    <row r="601" spans="1:8" x14ac:dyDescent="0.25">
      <c r="E601" t="str">
        <f>"306 000 652 113 3"</f>
        <v>306 000 652 113 3</v>
      </c>
      <c r="F601" t="str">
        <f>"ACCT#15 072 202-3/11302020"</f>
        <v>ACCT#15 072 202-3/11302020</v>
      </c>
      <c r="G601" s="3">
        <v>27.09</v>
      </c>
      <c r="H601" t="str">
        <f>"ACCT#15 072 202-3/11302020"</f>
        <v>ACCT#15 072 202-3/11302020</v>
      </c>
    </row>
    <row r="602" spans="1:8" x14ac:dyDescent="0.25">
      <c r="E602" t="str">
        <f>"306 000 652 114 1"</f>
        <v>306 000 652 114 1</v>
      </c>
      <c r="F602" t="str">
        <f>"ACCT#15 072 203-1/11302020"</f>
        <v>ACCT#15 072 203-1/11302020</v>
      </c>
      <c r="G602" s="3">
        <v>14.24</v>
      </c>
      <c r="H602" t="str">
        <f>"ACCT#15 072 203-1/11302020"</f>
        <v>ACCT#15 072 203-1/11302020</v>
      </c>
    </row>
    <row r="603" spans="1:8" x14ac:dyDescent="0.25">
      <c r="A603" t="s">
        <v>150</v>
      </c>
      <c r="B603">
        <v>133907</v>
      </c>
      <c r="C603" s="3">
        <v>4449.25</v>
      </c>
      <c r="D603" s="5">
        <v>44170</v>
      </c>
      <c r="E603" t="str">
        <f>"108571103"</f>
        <v>108571103</v>
      </c>
      <c r="F603" t="str">
        <f>"ACCT#5150-005117766/12012020"</f>
        <v>ACCT#5150-005117766/12012020</v>
      </c>
      <c r="G603" s="3">
        <v>115.36</v>
      </c>
      <c r="H603" t="str">
        <f t="shared" ref="H603:H610" si="5">"WASTE CONNECTIONS LONE STAR. I"</f>
        <v>WASTE CONNECTIONS LONE STAR. I</v>
      </c>
    </row>
    <row r="604" spans="1:8" x14ac:dyDescent="0.25">
      <c r="E604" t="str">
        <f>"10871096"</f>
        <v>10871096</v>
      </c>
      <c r="F604" t="str">
        <f>"ACCT#5150-005117630/12012020"</f>
        <v>ACCT#5150-005117630/12012020</v>
      </c>
      <c r="G604" s="3">
        <v>262.81</v>
      </c>
      <c r="H604" t="str">
        <f t="shared" si="5"/>
        <v>WASTE CONNECTIONS LONE STAR. I</v>
      </c>
    </row>
    <row r="605" spans="1:8" x14ac:dyDescent="0.25">
      <c r="E605" t="str">
        <f>"10871107"</f>
        <v>10871107</v>
      </c>
      <c r="F605" t="str">
        <f>"ACCT#5150-005117838/12012020"</f>
        <v>ACCT#5150-005117838/12012020</v>
      </c>
      <c r="G605" s="3">
        <v>106.76</v>
      </c>
      <c r="H605" t="str">
        <f t="shared" si="5"/>
        <v>WASTE CONNECTIONS LONE STAR. I</v>
      </c>
    </row>
    <row r="606" spans="1:8" x14ac:dyDescent="0.25">
      <c r="E606" t="str">
        <f>"10871109"</f>
        <v>10871109</v>
      </c>
      <c r="F606" t="str">
        <f>"ACCT#5150-005117882/12012020"</f>
        <v>ACCT#5150-005117882/12012020</v>
      </c>
      <c r="G606" s="3">
        <v>144.19</v>
      </c>
      <c r="H606" t="str">
        <f t="shared" si="5"/>
        <v>WASTE CONNECTIONS LONE STAR. I</v>
      </c>
    </row>
    <row r="607" spans="1:8" x14ac:dyDescent="0.25">
      <c r="E607" t="str">
        <f>"10871117"</f>
        <v>10871117</v>
      </c>
      <c r="F607" t="str">
        <f>"ACCT#5150-005118183/12012020"</f>
        <v>ACCT#5150-005118183/12012020</v>
      </c>
      <c r="G607" s="3">
        <v>618.96</v>
      </c>
      <c r="H607" t="str">
        <f t="shared" si="5"/>
        <v>WASTE CONNECTIONS LONE STAR. I</v>
      </c>
    </row>
    <row r="608" spans="1:8" x14ac:dyDescent="0.25">
      <c r="E608" t="str">
        <f>"10871149"</f>
        <v>10871149</v>
      </c>
      <c r="F608" t="str">
        <f>"ACCT#5150-005129483/12012020"</f>
        <v>ACCT#5150-005129483/12012020</v>
      </c>
      <c r="G608" s="3">
        <v>3088.8</v>
      </c>
      <c r="H608" t="str">
        <f t="shared" si="5"/>
        <v>WASTE CONNECTIONS LONE STAR. I</v>
      </c>
    </row>
    <row r="609" spans="1:8" x14ac:dyDescent="0.25">
      <c r="E609" t="str">
        <f>"10875231"</f>
        <v>10875231</v>
      </c>
      <c r="F609" t="str">
        <f>"ACCT#5150-16203415/12012020"</f>
        <v>ACCT#5150-16203415/12012020</v>
      </c>
      <c r="G609" s="3">
        <v>83.48</v>
      </c>
      <c r="H609" t="str">
        <f t="shared" si="5"/>
        <v>WASTE CONNECTIONS LONE STAR. I</v>
      </c>
    </row>
    <row r="610" spans="1:8" x14ac:dyDescent="0.25">
      <c r="E610" t="str">
        <f>"5150-16203417"</f>
        <v>5150-16203417</v>
      </c>
      <c r="F610" t="str">
        <f>"ACCT#5150-16203417/12012020"</f>
        <v>ACCT#5150-16203417/12012020</v>
      </c>
      <c r="G610" s="3">
        <v>28.89</v>
      </c>
      <c r="H610" t="str">
        <f t="shared" si="5"/>
        <v>WASTE CONNECTIONS LONE STAR. I</v>
      </c>
    </row>
    <row r="611" spans="1:8" x14ac:dyDescent="0.25">
      <c r="A611" t="s">
        <v>142</v>
      </c>
      <c r="B611">
        <v>133908</v>
      </c>
      <c r="C611" s="3">
        <v>200</v>
      </c>
      <c r="D611" s="5">
        <v>44173</v>
      </c>
      <c r="E611" t="str">
        <f>"202012080664"</f>
        <v>202012080664</v>
      </c>
      <c r="F611" t="str">
        <f>"REBUILD TRUCK SEAT/PCT#3"</f>
        <v>REBUILD TRUCK SEAT/PCT#3</v>
      </c>
      <c r="G611" s="3">
        <v>200</v>
      </c>
      <c r="H611" t="str">
        <f>"REBUILD TRUCK SEAT/PCT#3"</f>
        <v>REBUILD TRUCK SEAT/PCT#3</v>
      </c>
    </row>
    <row r="612" spans="1:8" x14ac:dyDescent="0.25">
      <c r="A612" t="s">
        <v>151</v>
      </c>
      <c r="B612">
        <v>133909</v>
      </c>
      <c r="C612" s="3">
        <v>1950</v>
      </c>
      <c r="D612" s="5">
        <v>44179</v>
      </c>
      <c r="E612" t="str">
        <f>"1714"</f>
        <v>1714</v>
      </c>
      <c r="F612" t="str">
        <f>"ROLL OFF DUMPSTERS/PCT#2"</f>
        <v>ROLL OFF DUMPSTERS/PCT#2</v>
      </c>
      <c r="G612" s="3">
        <v>1950</v>
      </c>
      <c r="H612" t="str">
        <f>"ROLL OFF DUMPSTERS/PCT#2"</f>
        <v>ROLL OFF DUMPSTERS/PCT#2</v>
      </c>
    </row>
    <row r="613" spans="1:8" x14ac:dyDescent="0.25">
      <c r="A613" t="s">
        <v>152</v>
      </c>
      <c r="B613">
        <v>133910</v>
      </c>
      <c r="C613" s="3">
        <v>1217.5</v>
      </c>
      <c r="D613" s="5">
        <v>44179</v>
      </c>
      <c r="E613" t="str">
        <f>"202012070644"</f>
        <v>202012070644</v>
      </c>
      <c r="F613" t="str">
        <f>"19-19857"</f>
        <v>19-19857</v>
      </c>
      <c r="G613" s="3">
        <v>165</v>
      </c>
      <c r="H613" t="str">
        <f>"19-19857"</f>
        <v>19-19857</v>
      </c>
    </row>
    <row r="614" spans="1:8" x14ac:dyDescent="0.25">
      <c r="E614" t="str">
        <f>"202012070645"</f>
        <v>202012070645</v>
      </c>
      <c r="F614" t="str">
        <f>"20-20454"</f>
        <v>20-20454</v>
      </c>
      <c r="G614" s="3">
        <v>407.5</v>
      </c>
      <c r="H614" t="str">
        <f>"20-20454"</f>
        <v>20-20454</v>
      </c>
    </row>
    <row r="615" spans="1:8" x14ac:dyDescent="0.25">
      <c r="E615" t="str">
        <f>"202012070646"</f>
        <v>202012070646</v>
      </c>
      <c r="F615" t="str">
        <f>"19-19963"</f>
        <v>19-19963</v>
      </c>
      <c r="G615" s="3">
        <v>145</v>
      </c>
      <c r="H615" t="str">
        <f>"19-19963"</f>
        <v>19-19963</v>
      </c>
    </row>
    <row r="616" spans="1:8" x14ac:dyDescent="0.25">
      <c r="E616" t="str">
        <f>"202012070647"</f>
        <v>202012070647</v>
      </c>
      <c r="F616" t="str">
        <f>"19-20002"</f>
        <v>19-20002</v>
      </c>
      <c r="G616" s="3">
        <v>280</v>
      </c>
      <c r="H616" t="str">
        <f>"19-20002"</f>
        <v>19-20002</v>
      </c>
    </row>
    <row r="617" spans="1:8" x14ac:dyDescent="0.25">
      <c r="E617" t="str">
        <f>"202012070648"</f>
        <v>202012070648</v>
      </c>
      <c r="F617" t="str">
        <f>"20-20261"</f>
        <v>20-20261</v>
      </c>
      <c r="G617" s="3">
        <v>145</v>
      </c>
      <c r="H617" t="str">
        <f>"20-20261"</f>
        <v>20-20261</v>
      </c>
    </row>
    <row r="618" spans="1:8" x14ac:dyDescent="0.25">
      <c r="E618" t="str">
        <f>"202012070649"</f>
        <v>202012070649</v>
      </c>
      <c r="F618" t="str">
        <f>"20-20085"</f>
        <v>20-20085</v>
      </c>
      <c r="G618" s="3">
        <v>45</v>
      </c>
      <c r="H618" t="str">
        <f>"20-20085"</f>
        <v>20-20085</v>
      </c>
    </row>
    <row r="619" spans="1:8" x14ac:dyDescent="0.25">
      <c r="E619" t="str">
        <f>"202012070650"</f>
        <v>202012070650</v>
      </c>
      <c r="F619" t="str">
        <f>"20-20077"</f>
        <v>20-20077</v>
      </c>
      <c r="G619" s="3">
        <v>30</v>
      </c>
      <c r="H619" t="str">
        <f>"20-20077"</f>
        <v>20-20077</v>
      </c>
    </row>
    <row r="620" spans="1:8" x14ac:dyDescent="0.25">
      <c r="A620" t="s">
        <v>153</v>
      </c>
      <c r="B620">
        <v>133911</v>
      </c>
      <c r="C620" s="3">
        <v>36.9</v>
      </c>
      <c r="D620" s="5">
        <v>44179</v>
      </c>
      <c r="E620" t="str">
        <f>"01-201299762"</f>
        <v>01-201299762</v>
      </c>
      <c r="F620" t="str">
        <f>"INV 01-201299762"</f>
        <v>INV 01-201299762</v>
      </c>
      <c r="G620" s="3">
        <v>36.9</v>
      </c>
      <c r="H620" t="str">
        <f>"INV 01-201299762"</f>
        <v>INV 01-201299762</v>
      </c>
    </row>
    <row r="621" spans="1:8" x14ac:dyDescent="0.25">
      <c r="A621" t="s">
        <v>154</v>
      </c>
      <c r="B621">
        <v>133912</v>
      </c>
      <c r="C621" s="3">
        <v>42.03</v>
      </c>
      <c r="D621" s="5">
        <v>44179</v>
      </c>
      <c r="E621" t="str">
        <f>"982752634"</f>
        <v>982752634</v>
      </c>
      <c r="F621" t="str">
        <f>"INV 982752634"</f>
        <v>INV 982752634</v>
      </c>
      <c r="G621" s="3">
        <v>42.03</v>
      </c>
      <c r="H621" t="str">
        <f>"INV 982752634"</f>
        <v>INV 982752634</v>
      </c>
    </row>
    <row r="622" spans="1:8" x14ac:dyDescent="0.25">
      <c r="E622" t="str">
        <f>""</f>
        <v/>
      </c>
      <c r="F622" t="str">
        <f>""</f>
        <v/>
      </c>
      <c r="H622" t="str">
        <f>"INV 982752635"</f>
        <v>INV 982752635</v>
      </c>
    </row>
    <row r="623" spans="1:8" x14ac:dyDescent="0.25">
      <c r="A623" t="s">
        <v>155</v>
      </c>
      <c r="B623">
        <v>133913</v>
      </c>
      <c r="C623" s="3">
        <v>1042.5</v>
      </c>
      <c r="D623" s="5">
        <v>44179</v>
      </c>
      <c r="E623" t="str">
        <f>"113140"</f>
        <v>113140</v>
      </c>
      <c r="F623" t="str">
        <f>"WINDOW/REGULAR ENVELOPES"</f>
        <v>WINDOW/REGULAR ENVELOPES</v>
      </c>
      <c r="G623" s="3">
        <v>1042.5</v>
      </c>
      <c r="H623" t="str">
        <f>"WINDOW/REGULAR ENVELOPES"</f>
        <v>WINDOW/REGULAR ENVELOPES</v>
      </c>
    </row>
    <row r="624" spans="1:8" x14ac:dyDescent="0.25">
      <c r="A624" t="s">
        <v>156</v>
      </c>
      <c r="B624">
        <v>133914</v>
      </c>
      <c r="C624" s="3">
        <v>347.09</v>
      </c>
      <c r="D624" s="5">
        <v>44179</v>
      </c>
      <c r="E624" t="str">
        <f>"2011-321874"</f>
        <v>2011-321874</v>
      </c>
      <c r="F624" t="str">
        <f>"ACCT#3-3053/PCT#2"</f>
        <v>ACCT#3-3053/PCT#2</v>
      </c>
      <c r="G624" s="3">
        <v>347.09</v>
      </c>
      <c r="H624" t="str">
        <f>"ACCT#3-3053/PCT#2"</f>
        <v>ACCT#3-3053/PCT#2</v>
      </c>
    </row>
    <row r="625" spans="1:8" x14ac:dyDescent="0.25">
      <c r="A625" t="s">
        <v>157</v>
      </c>
      <c r="B625">
        <v>133915</v>
      </c>
      <c r="C625" s="3">
        <v>4642.78</v>
      </c>
      <c r="D625" s="5">
        <v>44179</v>
      </c>
      <c r="E625" t="str">
        <f>"INV84145"</f>
        <v>INV84145</v>
      </c>
      <c r="F625" t="str">
        <f>"VINE MONTHLY FEE"</f>
        <v>VINE MONTHLY FEE</v>
      </c>
      <c r="G625" s="3">
        <v>4642.78</v>
      </c>
      <c r="H625" t="str">
        <f>"VINE MONTHLY FEE"</f>
        <v>VINE MONTHLY FEE</v>
      </c>
    </row>
    <row r="626" spans="1:8" x14ac:dyDescent="0.25">
      <c r="A626" t="s">
        <v>158</v>
      </c>
      <c r="B626">
        <v>133916</v>
      </c>
      <c r="C626" s="3">
        <v>418.14</v>
      </c>
      <c r="D626" s="5">
        <v>44179</v>
      </c>
      <c r="E626" t="str">
        <f>"202012010488"</f>
        <v>202012010488</v>
      </c>
      <c r="F626" t="str">
        <f>"ACCT#011474/ELECTIONS"</f>
        <v>ACCT#011474/ELECTIONS</v>
      </c>
      <c r="G626" s="3">
        <v>4.5</v>
      </c>
      <c r="H626" t="str">
        <f>"ACCT#011474/ELECTIONS"</f>
        <v>ACCT#011474/ELECTIONS</v>
      </c>
    </row>
    <row r="627" spans="1:8" x14ac:dyDescent="0.25">
      <c r="E627" t="str">
        <f>"202012010489"</f>
        <v>202012010489</v>
      </c>
      <c r="F627" t="str">
        <f>"ACCT#015476/PURCHASING DEPT"</f>
        <v>ACCT#015476/PURCHASING DEPT</v>
      </c>
      <c r="G627" s="3">
        <v>10.49</v>
      </c>
      <c r="H627" t="str">
        <f>"ACCT#015476/PURCHASING DEPT"</f>
        <v>ACCT#015476/PURCHASING DEPT</v>
      </c>
    </row>
    <row r="628" spans="1:8" x14ac:dyDescent="0.25">
      <c r="E628" t="str">
        <f>"202012010490"</f>
        <v>202012010490</v>
      </c>
      <c r="F628" t="str">
        <f>"ACCT#011280/COUNTY CLERK"</f>
        <v>ACCT#011280/COUNTY CLERK</v>
      </c>
      <c r="G628" s="3">
        <v>46.5</v>
      </c>
      <c r="H628" t="str">
        <f>"ACCT#011280/COUNTY CLERK"</f>
        <v>ACCT#011280/COUNTY CLERK</v>
      </c>
    </row>
    <row r="629" spans="1:8" x14ac:dyDescent="0.25">
      <c r="E629" t="str">
        <f>"202012010491"</f>
        <v>202012010491</v>
      </c>
      <c r="F629" t="str">
        <f>"ACCT#010238/GENERAL SVCS"</f>
        <v>ACCT#010238/GENERAL SVCS</v>
      </c>
      <c r="G629" s="3">
        <v>104.49</v>
      </c>
      <c r="H629" t="str">
        <f>"ACCT#010238/GENERAL SVCS"</f>
        <v>ACCT#010238/GENERAL SVCS</v>
      </c>
    </row>
    <row r="630" spans="1:8" x14ac:dyDescent="0.25">
      <c r="E630" t="str">
        <f>"202012010492"</f>
        <v>202012010492</v>
      </c>
      <c r="F630" t="str">
        <f>"ACCT#012231/DIST JUDGE OFFICE"</f>
        <v>ACCT#012231/DIST JUDGE OFFICE</v>
      </c>
      <c r="G630" s="3">
        <v>10</v>
      </c>
      <c r="H630" t="str">
        <f>"ACCT#012231/DIST JUDGE OFFICE"</f>
        <v>ACCT#012231/DIST JUDGE OFFICE</v>
      </c>
    </row>
    <row r="631" spans="1:8" x14ac:dyDescent="0.25">
      <c r="E631" t="str">
        <f>"202012010493"</f>
        <v>202012010493</v>
      </c>
      <c r="F631" t="str">
        <f>"ACCT#011955/DISTRICT JUDGE"</f>
        <v>ACCT#011955/DISTRICT JUDGE</v>
      </c>
      <c r="G631" s="3">
        <v>40.5</v>
      </c>
      <c r="H631" t="str">
        <f>"ACCT#011955/DISTRICT JUDGE"</f>
        <v>ACCT#011955/DISTRICT JUDGE</v>
      </c>
    </row>
    <row r="632" spans="1:8" x14ac:dyDescent="0.25">
      <c r="E632" t="str">
        <f>"202012030540"</f>
        <v>202012030540</v>
      </c>
      <c r="F632" t="str">
        <f>"ACCT#012571/TREASURER"</f>
        <v>ACCT#012571/TREASURER</v>
      </c>
      <c r="G632" s="3">
        <v>9</v>
      </c>
      <c r="H632" t="str">
        <f>"ACCT#012571/TREASURER"</f>
        <v>ACCT#012571/TREASURER</v>
      </c>
    </row>
    <row r="633" spans="1:8" x14ac:dyDescent="0.25">
      <c r="E633" t="str">
        <f>"202012030541"</f>
        <v>202012030541</v>
      </c>
      <c r="F633" t="str">
        <f>"ACCT#010602/COMMISSIONER OFF"</f>
        <v>ACCT#010602/COMMISSIONER OFF</v>
      </c>
      <c r="G633" s="3">
        <v>9</v>
      </c>
      <c r="H633" t="str">
        <f>"ACCT#010602/COMMISSIONER OFF"</f>
        <v>ACCT#010602/COMMISSIONER OFF</v>
      </c>
    </row>
    <row r="634" spans="1:8" x14ac:dyDescent="0.25">
      <c r="E634" t="str">
        <f>"202012030543"</f>
        <v>202012030543</v>
      </c>
      <c r="F634" t="str">
        <f>"ACCT#015199/JP#1"</f>
        <v>ACCT#015199/JP#1</v>
      </c>
      <c r="G634" s="3">
        <v>5.99</v>
      </c>
      <c r="H634" t="str">
        <f>"ACCT#015199/JP#1"</f>
        <v>ACCT#015199/JP#1</v>
      </c>
    </row>
    <row r="635" spans="1:8" x14ac:dyDescent="0.25">
      <c r="E635" t="str">
        <f>"202012030544"</f>
        <v>202012030544</v>
      </c>
      <c r="F635" t="str">
        <f>"ACCT#010057/AUDITOR"</f>
        <v>ACCT#010057/AUDITOR</v>
      </c>
      <c r="G635" s="3">
        <v>9</v>
      </c>
      <c r="H635" t="str">
        <f>"ACCT#010057/AUDITOR"</f>
        <v>ACCT#010057/AUDITOR</v>
      </c>
    </row>
    <row r="636" spans="1:8" x14ac:dyDescent="0.25">
      <c r="E636" t="str">
        <f>"202012030545"</f>
        <v>202012030545</v>
      </c>
      <c r="F636" t="str">
        <f>"ACCT#014877/INDIGENT HLTH"</f>
        <v>ACCT#014877/INDIGENT HLTH</v>
      </c>
      <c r="G636" s="3">
        <v>41.99</v>
      </c>
      <c r="H636" t="str">
        <f>"ACCT#014877/INDIGENT HLTH"</f>
        <v>ACCT#014877/INDIGENT HLTH</v>
      </c>
    </row>
    <row r="637" spans="1:8" x14ac:dyDescent="0.25">
      <c r="E637" t="str">
        <f>"202012030547"</f>
        <v>202012030547</v>
      </c>
      <c r="F637" t="str">
        <f>"ACCT#013393/HUMAN RESOURCES"</f>
        <v>ACCT#013393/HUMAN RESOURCES</v>
      </c>
      <c r="G637" s="3">
        <v>41.7</v>
      </c>
      <c r="H637" t="str">
        <f>"ACCT#013393/HUMAN RESOURCES"</f>
        <v>ACCT#013393/HUMAN RESOURCES</v>
      </c>
    </row>
    <row r="638" spans="1:8" x14ac:dyDescent="0.25">
      <c r="E638" t="str">
        <f>"202012030548"</f>
        <v>202012030548</v>
      </c>
      <c r="F638" t="str">
        <f>"ACCT#010835/COMMISSIONERS PCT1"</f>
        <v>ACCT#010835/COMMISSIONERS PCT1</v>
      </c>
      <c r="G638" s="3">
        <v>26.99</v>
      </c>
      <c r="H638" t="str">
        <f>"ACCT#010835/COMMISSIONERS PCT1"</f>
        <v>ACCT#010835/COMMISSIONERS PCT1</v>
      </c>
    </row>
    <row r="639" spans="1:8" x14ac:dyDescent="0.25">
      <c r="E639" t="str">
        <f>"202012080687"</f>
        <v>202012080687</v>
      </c>
      <c r="F639" t="str">
        <f>"ACCT#012803/BASTROP CO JUDGE"</f>
        <v>ACCT#012803/BASTROP CO JUDGE</v>
      </c>
      <c r="G639" s="3">
        <v>9</v>
      </c>
      <c r="H639" t="str">
        <f>"ACCT#012803/BASTROP CO JUDGE"</f>
        <v>ACCT#012803/BASTROP CO JUDGE</v>
      </c>
    </row>
    <row r="640" spans="1:8" x14ac:dyDescent="0.25">
      <c r="E640" t="str">
        <f>"202012090693"</f>
        <v>202012090693</v>
      </c>
      <c r="F640" t="str">
        <f>"ACCT#014737/ANIMAL SERVICE"</f>
        <v>ACCT#014737/ANIMAL SERVICE</v>
      </c>
      <c r="G640" s="3">
        <v>48.99</v>
      </c>
      <c r="H640" t="str">
        <f>"ACCT#014737/ANIMAL SERVICE"</f>
        <v>ACCT#014737/ANIMAL SERVICE</v>
      </c>
    </row>
    <row r="641" spans="1:8" x14ac:dyDescent="0.25">
      <c r="A641" t="s">
        <v>143</v>
      </c>
      <c r="B641">
        <v>133917</v>
      </c>
      <c r="C641" s="3">
        <v>1025.25</v>
      </c>
      <c r="D641" s="5">
        <v>44179</v>
      </c>
      <c r="E641" t="str">
        <f>"202012070608"</f>
        <v>202012070608</v>
      </c>
      <c r="F641" t="str">
        <f>"ACCT#7700010025 PCT#2"</f>
        <v>ACCT#7700010025 PCT#2</v>
      </c>
      <c r="G641" s="3">
        <v>215.25</v>
      </c>
      <c r="H641" t="str">
        <f>"ACCT#7700010025 PCT#2"</f>
        <v>ACCT#7700010025 PCT#2</v>
      </c>
    </row>
    <row r="642" spans="1:8" x14ac:dyDescent="0.25">
      <c r="E642" t="str">
        <f>"202012080655"</f>
        <v>202012080655</v>
      </c>
      <c r="F642" t="str">
        <f>"ACCT#7700010026/PCT#3"</f>
        <v>ACCT#7700010026/PCT#3</v>
      </c>
      <c r="G642" s="3">
        <v>810</v>
      </c>
      <c r="H642" t="str">
        <f>"ACCT#7700010026/PCT#3"</f>
        <v>ACCT#7700010026/PCT#3</v>
      </c>
    </row>
    <row r="643" spans="1:8" x14ac:dyDescent="0.25">
      <c r="A643" t="s">
        <v>159</v>
      </c>
      <c r="B643">
        <v>133918</v>
      </c>
      <c r="C643" s="3">
        <v>87.68</v>
      </c>
      <c r="D643" s="5">
        <v>44179</v>
      </c>
      <c r="E643" t="str">
        <f>"4714*09011*1"</f>
        <v>4714*09011*1</v>
      </c>
      <c r="F643" t="str">
        <f>"JAIL MEDICAL"</f>
        <v>JAIL MEDICAL</v>
      </c>
      <c r="G643" s="3">
        <v>87.68</v>
      </c>
      <c r="H643" t="str">
        <f>"JAIL MEDICAL"</f>
        <v>JAIL MEDICAL</v>
      </c>
    </row>
    <row r="644" spans="1:8" x14ac:dyDescent="0.25">
      <c r="A644" t="s">
        <v>160</v>
      </c>
      <c r="B644">
        <v>133919</v>
      </c>
      <c r="C644" s="3">
        <v>2250</v>
      </c>
      <c r="D644" s="5">
        <v>44179</v>
      </c>
      <c r="E644" t="str">
        <f>"1814.15"</f>
        <v>1814.15</v>
      </c>
      <c r="F644" t="str">
        <f>"Invoice"</f>
        <v>Invoice</v>
      </c>
      <c r="G644" s="3">
        <v>2250</v>
      </c>
      <c r="H644" t="str">
        <f>"Master Plan Report"</f>
        <v>Master Plan Report</v>
      </c>
    </row>
    <row r="645" spans="1:8" x14ac:dyDescent="0.25">
      <c r="A645" t="s">
        <v>161</v>
      </c>
      <c r="B645">
        <v>133920</v>
      </c>
      <c r="C645" s="3">
        <v>19.68</v>
      </c>
      <c r="D645" s="5">
        <v>44179</v>
      </c>
      <c r="E645" t="str">
        <f>"202012090695"</f>
        <v>202012090695</v>
      </c>
      <c r="F645" t="str">
        <f>"LAMINATING POUCHES"</f>
        <v>LAMINATING POUCHES</v>
      </c>
      <c r="G645" s="3">
        <v>19.68</v>
      </c>
      <c r="H645" t="str">
        <f>"LAMINATING POUCHES"</f>
        <v>LAMINATING POUCHES</v>
      </c>
    </row>
    <row r="646" spans="1:8" x14ac:dyDescent="0.25">
      <c r="A646" t="s">
        <v>162</v>
      </c>
      <c r="B646">
        <v>133921</v>
      </c>
      <c r="C646" s="3">
        <v>4849.74</v>
      </c>
      <c r="D646" s="5">
        <v>44179</v>
      </c>
      <c r="E646" t="str">
        <f>"202012070596"</f>
        <v>202012070596</v>
      </c>
      <c r="F646" t="str">
        <f>"ACCT#512A49-0048 193 3"</f>
        <v>ACCT#512A49-0048 193 3</v>
      </c>
      <c r="G646" s="3">
        <v>4157.2700000000004</v>
      </c>
      <c r="H646" t="str">
        <f>"ACCT#512A49-0048 193 3"</f>
        <v>ACCT#512A49-0048 193 3</v>
      </c>
    </row>
    <row r="647" spans="1:8" x14ac:dyDescent="0.25">
      <c r="E647" t="str">
        <f>""</f>
        <v/>
      </c>
      <c r="F647" t="str">
        <f>""</f>
        <v/>
      </c>
      <c r="H647" t="str">
        <f>"ACCT#512A49-0048 193 3"</f>
        <v>ACCT#512A49-0048 193 3</v>
      </c>
    </row>
    <row r="648" spans="1:8" x14ac:dyDescent="0.25">
      <c r="E648" t="str">
        <f>""</f>
        <v/>
      </c>
      <c r="F648" t="str">
        <f>""</f>
        <v/>
      </c>
      <c r="H648" t="str">
        <f>"ACCT#512A49-0048 193 3"</f>
        <v>ACCT#512A49-0048 193 3</v>
      </c>
    </row>
    <row r="649" spans="1:8" x14ac:dyDescent="0.25">
      <c r="E649" t="str">
        <f>""</f>
        <v/>
      </c>
      <c r="F649" t="str">
        <f>""</f>
        <v/>
      </c>
      <c r="H649" t="str">
        <f>"ACCT#512A49-0048 193 3"</f>
        <v>ACCT#512A49-0048 193 3</v>
      </c>
    </row>
    <row r="650" spans="1:8" x14ac:dyDescent="0.25">
      <c r="E650" t="str">
        <f>"202012080656"</f>
        <v>202012080656</v>
      </c>
      <c r="F650" t="str">
        <f>"ACCT #512 308-9870 530 7"</f>
        <v>ACCT #512 308-9870 530 7</v>
      </c>
      <c r="G650" s="3">
        <v>692.47</v>
      </c>
      <c r="H650" t="str">
        <f>"ACCT #512 308-9870 530 7"</f>
        <v>ACCT #512 308-9870 530 7</v>
      </c>
    </row>
    <row r="651" spans="1:8" x14ac:dyDescent="0.25">
      <c r="A651" t="s">
        <v>162</v>
      </c>
      <c r="B651">
        <v>133922</v>
      </c>
      <c r="C651" s="3">
        <v>6544.72</v>
      </c>
      <c r="D651" s="5">
        <v>44179</v>
      </c>
      <c r="E651" t="str">
        <f>"202012080653"</f>
        <v>202012080653</v>
      </c>
      <c r="F651" t="str">
        <f>"ACCT#8331-000-9850 451"</f>
        <v>ACCT#8331-000-9850 451</v>
      </c>
      <c r="G651" s="3">
        <v>1985.4</v>
      </c>
      <c r="H651" t="str">
        <f>"ACCT#8331-000-9850 451"</f>
        <v>ACCT#8331-000-9850 451</v>
      </c>
    </row>
    <row r="652" spans="1:8" x14ac:dyDescent="0.25">
      <c r="E652" t="str">
        <f>"5659938503"</f>
        <v>5659938503</v>
      </c>
      <c r="F652" t="str">
        <f>"ACCT#8331-000-7218 923"</f>
        <v>ACCT#8331-000-7218 923</v>
      </c>
      <c r="G652" s="3">
        <v>874.25</v>
      </c>
      <c r="H652" t="str">
        <f>"ACCT#8331-000-7218 923"</f>
        <v>ACCT#8331-000-7218 923</v>
      </c>
    </row>
    <row r="653" spans="1:8" x14ac:dyDescent="0.25">
      <c r="E653" t="str">
        <f>"6850947509"</f>
        <v>6850947509</v>
      </c>
      <c r="F653" t="str">
        <f>"ACCT#831-000-7919 623"</f>
        <v>ACCT#831-000-7919 623</v>
      </c>
      <c r="G653" s="3">
        <v>2000.38</v>
      </c>
      <c r="H653" t="str">
        <f>"ACCT#831-000-7919 623"</f>
        <v>ACCT#831-000-7919 623</v>
      </c>
    </row>
    <row r="654" spans="1:8" x14ac:dyDescent="0.25">
      <c r="E654" t="str">
        <f>"8487828508"</f>
        <v>8487828508</v>
      </c>
      <c r="F654" t="str">
        <f>"ACCT#831-000-6084 095"</f>
        <v>ACCT#831-000-6084 095</v>
      </c>
      <c r="G654" s="3">
        <v>1684.69</v>
      </c>
      <c r="H654" t="str">
        <f>"ACCT#831-000-6084 095"</f>
        <v>ACCT#831-000-6084 095</v>
      </c>
    </row>
    <row r="655" spans="1:8" x14ac:dyDescent="0.25">
      <c r="A655" t="s">
        <v>163</v>
      </c>
      <c r="B655">
        <v>133923</v>
      </c>
      <c r="C655" s="3">
        <v>5899</v>
      </c>
      <c r="D655" s="5">
        <v>44179</v>
      </c>
      <c r="E655" t="str">
        <f>"202012080659"</f>
        <v>202012080659</v>
      </c>
      <c r="F655" t="str">
        <f>"ACCT#287263291654"</f>
        <v>ACCT#287263291654</v>
      </c>
      <c r="G655" s="3">
        <v>1425.64</v>
      </c>
      <c r="H655" t="str">
        <f t="shared" ref="H655:H670" si="6">"ACCT#287263291654"</f>
        <v>ACCT#287263291654</v>
      </c>
    </row>
    <row r="656" spans="1:8" x14ac:dyDescent="0.25">
      <c r="E656" t="str">
        <f>""</f>
        <v/>
      </c>
      <c r="F656" t="str">
        <f>""</f>
        <v/>
      </c>
      <c r="H656" t="str">
        <f t="shared" si="6"/>
        <v>ACCT#287263291654</v>
      </c>
    </row>
    <row r="657" spans="5:8" x14ac:dyDescent="0.25">
      <c r="E657" t="str">
        <f>""</f>
        <v/>
      </c>
      <c r="F657" t="str">
        <f>""</f>
        <v/>
      </c>
      <c r="H657" t="str">
        <f t="shared" si="6"/>
        <v>ACCT#287263291654</v>
      </c>
    </row>
    <row r="658" spans="5:8" x14ac:dyDescent="0.25">
      <c r="E658" t="str">
        <f>""</f>
        <v/>
      </c>
      <c r="F658" t="str">
        <f>""</f>
        <v/>
      </c>
      <c r="H658" t="str">
        <f t="shared" si="6"/>
        <v>ACCT#287263291654</v>
      </c>
    </row>
    <row r="659" spans="5:8" x14ac:dyDescent="0.25">
      <c r="E659" t="str">
        <f>""</f>
        <v/>
      </c>
      <c r="F659" t="str">
        <f>""</f>
        <v/>
      </c>
      <c r="H659" t="str">
        <f t="shared" si="6"/>
        <v>ACCT#287263291654</v>
      </c>
    </row>
    <row r="660" spans="5:8" x14ac:dyDescent="0.25">
      <c r="E660" t="str">
        <f>""</f>
        <v/>
      </c>
      <c r="F660" t="str">
        <f>""</f>
        <v/>
      </c>
      <c r="H660" t="str">
        <f t="shared" si="6"/>
        <v>ACCT#287263291654</v>
      </c>
    </row>
    <row r="661" spans="5:8" x14ac:dyDescent="0.25">
      <c r="E661" t="str">
        <f>""</f>
        <v/>
      </c>
      <c r="F661" t="str">
        <f>""</f>
        <v/>
      </c>
      <c r="H661" t="str">
        <f t="shared" si="6"/>
        <v>ACCT#287263291654</v>
      </c>
    </row>
    <row r="662" spans="5:8" x14ac:dyDescent="0.25">
      <c r="E662" t="str">
        <f>""</f>
        <v/>
      </c>
      <c r="F662" t="str">
        <f>""</f>
        <v/>
      </c>
      <c r="H662" t="str">
        <f t="shared" si="6"/>
        <v>ACCT#287263291654</v>
      </c>
    </row>
    <row r="663" spans="5:8" x14ac:dyDescent="0.25">
      <c r="E663" t="str">
        <f>""</f>
        <v/>
      </c>
      <c r="F663" t="str">
        <f>""</f>
        <v/>
      </c>
      <c r="H663" t="str">
        <f t="shared" si="6"/>
        <v>ACCT#287263291654</v>
      </c>
    </row>
    <row r="664" spans="5:8" x14ac:dyDescent="0.25">
      <c r="E664" t="str">
        <f>""</f>
        <v/>
      </c>
      <c r="F664" t="str">
        <f>""</f>
        <v/>
      </c>
      <c r="H664" t="str">
        <f t="shared" si="6"/>
        <v>ACCT#287263291654</v>
      </c>
    </row>
    <row r="665" spans="5:8" x14ac:dyDescent="0.25">
      <c r="E665" t="str">
        <f>""</f>
        <v/>
      </c>
      <c r="F665" t="str">
        <f>""</f>
        <v/>
      </c>
      <c r="H665" t="str">
        <f t="shared" si="6"/>
        <v>ACCT#287263291654</v>
      </c>
    </row>
    <row r="666" spans="5:8" x14ac:dyDescent="0.25">
      <c r="E666" t="str">
        <f>""</f>
        <v/>
      </c>
      <c r="F666" t="str">
        <f>""</f>
        <v/>
      </c>
      <c r="H666" t="str">
        <f t="shared" si="6"/>
        <v>ACCT#287263291654</v>
      </c>
    </row>
    <row r="667" spans="5:8" x14ac:dyDescent="0.25">
      <c r="E667" t="str">
        <f>""</f>
        <v/>
      </c>
      <c r="F667" t="str">
        <f>""</f>
        <v/>
      </c>
      <c r="H667" t="str">
        <f t="shared" si="6"/>
        <v>ACCT#287263291654</v>
      </c>
    </row>
    <row r="668" spans="5:8" x14ac:dyDescent="0.25">
      <c r="E668" t="str">
        <f>""</f>
        <v/>
      </c>
      <c r="F668" t="str">
        <f>""</f>
        <v/>
      </c>
      <c r="H668" t="str">
        <f t="shared" si="6"/>
        <v>ACCT#287263291654</v>
      </c>
    </row>
    <row r="669" spans="5:8" x14ac:dyDescent="0.25">
      <c r="E669" t="str">
        <f>""</f>
        <v/>
      </c>
      <c r="F669" t="str">
        <f>""</f>
        <v/>
      </c>
      <c r="H669" t="str">
        <f t="shared" si="6"/>
        <v>ACCT#287263291654</v>
      </c>
    </row>
    <row r="670" spans="5:8" x14ac:dyDescent="0.25">
      <c r="E670" t="str">
        <f>""</f>
        <v/>
      </c>
      <c r="F670" t="str">
        <f>""</f>
        <v/>
      </c>
      <c r="H670" t="str">
        <f t="shared" si="6"/>
        <v>ACCT#287263291654</v>
      </c>
    </row>
    <row r="671" spans="5:8" x14ac:dyDescent="0.25">
      <c r="E671" t="str">
        <f>"202012080681"</f>
        <v>202012080681</v>
      </c>
      <c r="F671" t="str">
        <f>"INV 287280903541X11202020"</f>
        <v>INV 287280903541X11202020</v>
      </c>
      <c r="G671" s="3">
        <v>264.05</v>
      </c>
      <c r="H671" t="str">
        <f>"INV 287280903541X11202020"</f>
        <v>INV 287280903541X11202020</v>
      </c>
    </row>
    <row r="672" spans="5:8" x14ac:dyDescent="0.25">
      <c r="E672" t="str">
        <f>"290524359X11272020"</f>
        <v>290524359X11272020</v>
      </c>
      <c r="F672" t="str">
        <f>"ACCT#287290524359/FAN#58143538"</f>
        <v>ACCT#287290524359/FAN#58143538</v>
      </c>
      <c r="G672" s="3">
        <v>4209.3100000000004</v>
      </c>
      <c r="H672" t="str">
        <f t="shared" ref="H672:H680" si="7">"ACCT#287290524359/FAN#58143538"</f>
        <v>ACCT#287290524359/FAN#58143538</v>
      </c>
    </row>
    <row r="673" spans="1:8" x14ac:dyDescent="0.25">
      <c r="E673" t="str">
        <f>""</f>
        <v/>
      </c>
      <c r="F673" t="str">
        <f>""</f>
        <v/>
      </c>
      <c r="H673" t="str">
        <f t="shared" si="7"/>
        <v>ACCT#287290524359/FAN#58143538</v>
      </c>
    </row>
    <row r="674" spans="1:8" x14ac:dyDescent="0.25">
      <c r="E674" t="str">
        <f>""</f>
        <v/>
      </c>
      <c r="F674" t="str">
        <f>""</f>
        <v/>
      </c>
      <c r="H674" t="str">
        <f t="shared" si="7"/>
        <v>ACCT#287290524359/FAN#58143538</v>
      </c>
    </row>
    <row r="675" spans="1:8" x14ac:dyDescent="0.25">
      <c r="E675" t="str">
        <f>""</f>
        <v/>
      </c>
      <c r="F675" t="str">
        <f>""</f>
        <v/>
      </c>
      <c r="H675" t="str">
        <f t="shared" si="7"/>
        <v>ACCT#287290524359/FAN#58143538</v>
      </c>
    </row>
    <row r="676" spans="1:8" x14ac:dyDescent="0.25">
      <c r="E676" t="str">
        <f>""</f>
        <v/>
      </c>
      <c r="F676" t="str">
        <f>""</f>
        <v/>
      </c>
      <c r="H676" t="str">
        <f t="shared" si="7"/>
        <v>ACCT#287290524359/FAN#58143538</v>
      </c>
    </row>
    <row r="677" spans="1:8" x14ac:dyDescent="0.25">
      <c r="E677" t="str">
        <f>""</f>
        <v/>
      </c>
      <c r="F677" t="str">
        <f>""</f>
        <v/>
      </c>
      <c r="H677" t="str">
        <f t="shared" si="7"/>
        <v>ACCT#287290524359/FAN#58143538</v>
      </c>
    </row>
    <row r="678" spans="1:8" x14ac:dyDescent="0.25">
      <c r="E678" t="str">
        <f>""</f>
        <v/>
      </c>
      <c r="F678" t="str">
        <f>""</f>
        <v/>
      </c>
      <c r="H678" t="str">
        <f t="shared" si="7"/>
        <v>ACCT#287290524359/FAN#58143538</v>
      </c>
    </row>
    <row r="679" spans="1:8" x14ac:dyDescent="0.25">
      <c r="E679" t="str">
        <f>""</f>
        <v/>
      </c>
      <c r="F679" t="str">
        <f>""</f>
        <v/>
      </c>
      <c r="H679" t="str">
        <f t="shared" si="7"/>
        <v>ACCT#287290524359/FAN#58143538</v>
      </c>
    </row>
    <row r="680" spans="1:8" x14ac:dyDescent="0.25">
      <c r="E680" t="str">
        <f>""</f>
        <v/>
      </c>
      <c r="F680" t="str">
        <f>""</f>
        <v/>
      </c>
      <c r="H680" t="str">
        <f t="shared" si="7"/>
        <v>ACCT#287290524359/FAN#58143538</v>
      </c>
    </row>
    <row r="681" spans="1:8" x14ac:dyDescent="0.25">
      <c r="A681" t="s">
        <v>164</v>
      </c>
      <c r="B681">
        <v>133924</v>
      </c>
      <c r="C681" s="3">
        <v>66.290000000000006</v>
      </c>
      <c r="D681" s="5">
        <v>44179</v>
      </c>
      <c r="E681" t="str">
        <f>"218926"</f>
        <v>218926</v>
      </c>
      <c r="F681" t="str">
        <f>"INV 218926"</f>
        <v>INV 218926</v>
      </c>
      <c r="G681" s="3">
        <v>66.290000000000006</v>
      </c>
      <c r="H681" t="str">
        <f>"INV 218926"</f>
        <v>INV 218926</v>
      </c>
    </row>
    <row r="682" spans="1:8" x14ac:dyDescent="0.25">
      <c r="A682" t="s">
        <v>165</v>
      </c>
      <c r="B682">
        <v>133925</v>
      </c>
      <c r="C682" s="3">
        <v>99.69</v>
      </c>
      <c r="D682" s="5">
        <v>44179</v>
      </c>
      <c r="E682" t="str">
        <f>"321944"</f>
        <v>321944</v>
      </c>
      <c r="F682" t="str">
        <f>"CUST#7627/PCT#4"</f>
        <v>CUST#7627/PCT#4</v>
      </c>
      <c r="G682" s="3">
        <v>99.69</v>
      </c>
      <c r="H682" t="str">
        <f>"CUST#7627/PCT#4"</f>
        <v>CUST#7627/PCT#4</v>
      </c>
    </row>
    <row r="683" spans="1:8" x14ac:dyDescent="0.25">
      <c r="A683" t="s">
        <v>166</v>
      </c>
      <c r="B683">
        <v>133926</v>
      </c>
      <c r="C683" s="3">
        <v>130</v>
      </c>
      <c r="D683" s="5">
        <v>44179</v>
      </c>
      <c r="E683" t="str">
        <f>"31282"</f>
        <v>31282</v>
      </c>
      <c r="F683" t="str">
        <f>"Shipping"</f>
        <v>Shipping</v>
      </c>
      <c r="G683" s="3">
        <v>130</v>
      </c>
      <c r="H683" t="str">
        <f>"Shipping"</f>
        <v>Shipping</v>
      </c>
    </row>
    <row r="684" spans="1:8" x14ac:dyDescent="0.25">
      <c r="A684" t="s">
        <v>16</v>
      </c>
      <c r="B684">
        <v>133927</v>
      </c>
      <c r="C684" s="3">
        <v>5</v>
      </c>
      <c r="D684" s="5">
        <v>44179</v>
      </c>
      <c r="E684" t="str">
        <f>"138419"</f>
        <v>138419</v>
      </c>
      <c r="F684" t="str">
        <f>"INV 138419"</f>
        <v>INV 138419</v>
      </c>
      <c r="G684" s="3">
        <v>5</v>
      </c>
      <c r="H684" t="str">
        <f>"INV 138419"</f>
        <v>INV 138419</v>
      </c>
    </row>
    <row r="685" spans="1:8" x14ac:dyDescent="0.25">
      <c r="A685" t="s">
        <v>167</v>
      </c>
      <c r="B685">
        <v>133928</v>
      </c>
      <c r="C685" s="3">
        <v>154659.79999999999</v>
      </c>
      <c r="D685" s="5">
        <v>44179</v>
      </c>
      <c r="E685" t="str">
        <f>"202012010361"</f>
        <v>202012010361</v>
      </c>
      <c r="F685" t="str">
        <f>"BCAD LOCAL SUPPORT1ST QTR 2020"</f>
        <v>BCAD LOCAL SUPPORT1ST QTR 2020</v>
      </c>
      <c r="G685" s="3">
        <v>154659.79999999999</v>
      </c>
      <c r="H685" t="str">
        <f>"BCAD LOCAL SUPPORT1ST QTR 2020"</f>
        <v>BCAD LOCAL SUPPORT1ST QTR 2020</v>
      </c>
    </row>
    <row r="686" spans="1:8" x14ac:dyDescent="0.25">
      <c r="A686" t="s">
        <v>168</v>
      </c>
      <c r="B686">
        <v>133929</v>
      </c>
      <c r="C686" s="3">
        <v>525</v>
      </c>
      <c r="D686" s="5">
        <v>44179</v>
      </c>
      <c r="E686" t="str">
        <f>"13413"</f>
        <v>13413</v>
      </c>
      <c r="F686" t="str">
        <f>"SERVICE"</f>
        <v>SERVICE</v>
      </c>
      <c r="G686" s="3">
        <v>225</v>
      </c>
      <c r="H686" t="str">
        <f>"SERVICE"</f>
        <v>SERVICE</v>
      </c>
    </row>
    <row r="687" spans="1:8" x14ac:dyDescent="0.25">
      <c r="E687" t="str">
        <f>"13419"</f>
        <v>13419</v>
      </c>
      <c r="F687" t="str">
        <f>"SERVICE"</f>
        <v>SERVICE</v>
      </c>
      <c r="G687" s="3">
        <v>150</v>
      </c>
      <c r="H687" t="str">
        <f>"SERVICE"</f>
        <v>SERVICE</v>
      </c>
    </row>
    <row r="688" spans="1:8" x14ac:dyDescent="0.25">
      <c r="E688" t="str">
        <f>"13566"</f>
        <v>13566</v>
      </c>
      <c r="F688" t="str">
        <f>"SERVICE"</f>
        <v>SERVICE</v>
      </c>
      <c r="G688" s="3">
        <v>150</v>
      </c>
      <c r="H688" t="str">
        <f>"SERVICE"</f>
        <v>SERVICE</v>
      </c>
    </row>
    <row r="689" spans="1:8" x14ac:dyDescent="0.25">
      <c r="A689" t="s">
        <v>169</v>
      </c>
      <c r="B689">
        <v>133930</v>
      </c>
      <c r="C689" s="3">
        <v>1421.2</v>
      </c>
      <c r="D689" s="5">
        <v>44179</v>
      </c>
      <c r="E689" t="str">
        <f>"1169990"</f>
        <v>1169990</v>
      </c>
      <c r="F689" t="str">
        <f>"CLIENT ID:5495160A/ANIMAL SVCS"</f>
        <v>CLIENT ID:5495160A/ANIMAL SVCS</v>
      </c>
      <c r="G689" s="3">
        <v>1421.2</v>
      </c>
      <c r="H689" t="str">
        <f>"CLIENT ID:5495160A/ANIMAL SVCS"</f>
        <v>CLIENT ID:5495160A/ANIMAL SVCS</v>
      </c>
    </row>
    <row r="690" spans="1:8" x14ac:dyDescent="0.25">
      <c r="A690" t="s">
        <v>170</v>
      </c>
      <c r="B690">
        <v>133931</v>
      </c>
      <c r="C690" s="3">
        <v>2464.37</v>
      </c>
      <c r="D690" s="5">
        <v>44179</v>
      </c>
      <c r="E690" t="str">
        <f>"75733937"</f>
        <v>75733937</v>
      </c>
      <c r="F690" t="str">
        <f>"INV 75733937"</f>
        <v>INV 75733937</v>
      </c>
      <c r="G690" s="3">
        <v>655.93</v>
      </c>
      <c r="H690" t="str">
        <f>"INV 75733937"</f>
        <v>INV 75733937</v>
      </c>
    </row>
    <row r="691" spans="1:8" x14ac:dyDescent="0.25">
      <c r="E691" t="str">
        <f>"75742677 75749535"</f>
        <v>75742677 75749535</v>
      </c>
      <c r="F691" t="str">
        <f>"INV 75742677"</f>
        <v>INV 75742677</v>
      </c>
      <c r="G691" s="3">
        <v>1808.44</v>
      </c>
      <c r="H691" t="str">
        <f>"INV 75742677"</f>
        <v>INV 75742677</v>
      </c>
    </row>
    <row r="692" spans="1:8" x14ac:dyDescent="0.25">
      <c r="E692" t="str">
        <f>""</f>
        <v/>
      </c>
      <c r="F692" t="str">
        <f>""</f>
        <v/>
      </c>
      <c r="H692" t="str">
        <f>"INV 75749535"</f>
        <v>INV 75749535</v>
      </c>
    </row>
    <row r="693" spans="1:8" x14ac:dyDescent="0.25">
      <c r="A693" t="s">
        <v>171</v>
      </c>
      <c r="B693">
        <v>133932</v>
      </c>
      <c r="C693" s="3">
        <v>764.98</v>
      </c>
      <c r="D693" s="5">
        <v>44179</v>
      </c>
      <c r="E693" t="str">
        <f>"84078907208"</f>
        <v>84078907208</v>
      </c>
      <c r="F693" t="str">
        <f>"INV 84078907208"</f>
        <v>INV 84078907208</v>
      </c>
      <c r="G693" s="3">
        <v>527.54</v>
      </c>
      <c r="H693" t="str">
        <f>"INV 84078907208"</f>
        <v>INV 84078907208</v>
      </c>
    </row>
    <row r="694" spans="1:8" x14ac:dyDescent="0.25">
      <c r="E694" t="str">
        <f>""</f>
        <v/>
      </c>
      <c r="F694" t="str">
        <f>""</f>
        <v/>
      </c>
      <c r="H694" t="str">
        <f>"INV 84078907280"</f>
        <v>INV 84078907280</v>
      </c>
    </row>
    <row r="695" spans="1:8" x14ac:dyDescent="0.25">
      <c r="E695" t="str">
        <f>"84078907351"</f>
        <v>84078907351</v>
      </c>
      <c r="F695" t="str">
        <f>"INV 84078907351"</f>
        <v>INV 84078907351</v>
      </c>
      <c r="G695" s="3">
        <v>237.44</v>
      </c>
      <c r="H695" t="str">
        <f>"INV 84078907351"</f>
        <v>INV 84078907351</v>
      </c>
    </row>
    <row r="696" spans="1:8" x14ac:dyDescent="0.25">
      <c r="A696" t="s">
        <v>172</v>
      </c>
      <c r="B696">
        <v>133933</v>
      </c>
      <c r="C696" s="3">
        <v>1471.98</v>
      </c>
      <c r="D696" s="5">
        <v>44179</v>
      </c>
      <c r="E696" t="str">
        <f>"80618240"</f>
        <v>80618240</v>
      </c>
      <c r="F696" t="str">
        <f>"Demo"</f>
        <v>Demo</v>
      </c>
      <c r="G696" s="3">
        <v>1471.98</v>
      </c>
      <c r="H696" t="str">
        <f>"Line Cost"</f>
        <v>Line Cost</v>
      </c>
    </row>
    <row r="697" spans="1:8" x14ac:dyDescent="0.25">
      <c r="E697" t="str">
        <f>""</f>
        <v/>
      </c>
      <c r="F697" t="str">
        <f>""</f>
        <v/>
      </c>
      <c r="H697" t="str">
        <f>"Transformers"</f>
        <v>Transformers</v>
      </c>
    </row>
    <row r="698" spans="1:8" x14ac:dyDescent="0.25">
      <c r="A698" t="s">
        <v>173</v>
      </c>
      <c r="B698">
        <v>133934</v>
      </c>
      <c r="C698" s="3">
        <v>215.58</v>
      </c>
      <c r="D698" s="5">
        <v>44179</v>
      </c>
      <c r="E698" t="str">
        <f>"UT1000549515"</f>
        <v>UT1000549515</v>
      </c>
      <c r="F698" t="str">
        <f>"INV UT1000549515"</f>
        <v>INV UT1000549515</v>
      </c>
      <c r="G698" s="3">
        <v>215.58</v>
      </c>
      <c r="H698" t="str">
        <f>"INV UT1000549515"</f>
        <v>INV UT1000549515</v>
      </c>
    </row>
    <row r="699" spans="1:8" x14ac:dyDescent="0.25">
      <c r="A699" t="s">
        <v>174</v>
      </c>
      <c r="B699">
        <v>133935</v>
      </c>
      <c r="C699" s="3">
        <v>8066.72</v>
      </c>
      <c r="D699" s="5">
        <v>44179</v>
      </c>
      <c r="E699" t="str">
        <f>"116003"</f>
        <v>116003</v>
      </c>
      <c r="F699" t="str">
        <f>"ACCT#1268/COMM BASE/PCT#3"</f>
        <v>ACCT#1268/COMM BASE/PCT#3</v>
      </c>
      <c r="G699" s="3">
        <v>1682.12</v>
      </c>
      <c r="H699" t="str">
        <f>"ACCT#1268/COMM BASE/PCT#3"</f>
        <v>ACCT#1268/COMM BASE/PCT#3</v>
      </c>
    </row>
    <row r="700" spans="1:8" x14ac:dyDescent="0.25">
      <c r="E700" t="str">
        <f>"116227"</f>
        <v>116227</v>
      </c>
      <c r="F700" t="str">
        <f>"ACCT#1268/COMM BASE/PCT#3"</f>
        <v>ACCT#1268/COMM BASE/PCT#3</v>
      </c>
      <c r="G700" s="3">
        <v>2585.48</v>
      </c>
      <c r="H700" t="str">
        <f>"ACCT#1268/COMM BASE/PCT#3"</f>
        <v>ACCT#1268/COMM BASE/PCT#3</v>
      </c>
    </row>
    <row r="701" spans="1:8" x14ac:dyDescent="0.25">
      <c r="E701" t="str">
        <f>"116456"</f>
        <v>116456</v>
      </c>
      <c r="F701" t="str">
        <f>"ACCT#1268/PCT#3"</f>
        <v>ACCT#1268/PCT#3</v>
      </c>
      <c r="G701" s="3">
        <v>2957.8</v>
      </c>
      <c r="H701" t="str">
        <f>"ACCT#1268/PCT#3"</f>
        <v>ACCT#1268/PCT#3</v>
      </c>
    </row>
    <row r="702" spans="1:8" x14ac:dyDescent="0.25">
      <c r="E702" t="str">
        <f>"116678"</f>
        <v>116678</v>
      </c>
      <c r="F702" t="str">
        <f>"ACCT#1268/PCT#3"</f>
        <v>ACCT#1268/PCT#3</v>
      </c>
      <c r="G702" s="3">
        <v>841.32</v>
      </c>
      <c r="H702" t="str">
        <f>"ACCT#1268/PCT#3"</f>
        <v>ACCT#1268/PCT#3</v>
      </c>
    </row>
    <row r="703" spans="1:8" x14ac:dyDescent="0.25">
      <c r="A703" t="s">
        <v>175</v>
      </c>
      <c r="B703">
        <v>133936</v>
      </c>
      <c r="C703" s="3">
        <v>15000</v>
      </c>
      <c r="D703" s="5">
        <v>44179</v>
      </c>
      <c r="E703" t="str">
        <f>"202012080680"</f>
        <v>202012080680</v>
      </c>
      <c r="F703" t="str">
        <f>"FY 2020-2021 FUNDS"</f>
        <v>FY 2020-2021 FUNDS</v>
      </c>
      <c r="G703" s="3">
        <v>15000</v>
      </c>
      <c r="H703" t="str">
        <f>"FY 2020-2021 FUNDS"</f>
        <v>FY 2020-2021 FUNDS</v>
      </c>
    </row>
    <row r="704" spans="1:8" x14ac:dyDescent="0.25">
      <c r="A704" t="s">
        <v>176</v>
      </c>
      <c r="B704">
        <v>133937</v>
      </c>
      <c r="C704" s="3">
        <v>1400.48</v>
      </c>
      <c r="D704" s="5">
        <v>44179</v>
      </c>
      <c r="E704" t="str">
        <f>"202012030532"</f>
        <v>202012030532</v>
      </c>
      <c r="F704" t="str">
        <f>"12-15226"</f>
        <v>12-15226</v>
      </c>
      <c r="G704" s="3">
        <v>175</v>
      </c>
      <c r="H704" t="str">
        <f>"12-15226"</f>
        <v>12-15226</v>
      </c>
    </row>
    <row r="705" spans="1:8" x14ac:dyDescent="0.25">
      <c r="E705" t="str">
        <f>"202012070590"</f>
        <v>202012070590</v>
      </c>
      <c r="F705" t="str">
        <f>"G-135"</f>
        <v>G-135</v>
      </c>
      <c r="G705" s="3">
        <v>75</v>
      </c>
      <c r="H705" t="str">
        <f>"G-135"</f>
        <v>G-135</v>
      </c>
    </row>
    <row r="706" spans="1:8" x14ac:dyDescent="0.25">
      <c r="E706" t="str">
        <f>"202012070591"</f>
        <v>202012070591</v>
      </c>
      <c r="F706" t="str">
        <f>"19-19849"</f>
        <v>19-19849</v>
      </c>
      <c r="G706" s="3">
        <v>12.98</v>
      </c>
      <c r="H706" t="str">
        <f>"19-19849"</f>
        <v>19-19849</v>
      </c>
    </row>
    <row r="707" spans="1:8" x14ac:dyDescent="0.25">
      <c r="E707" t="str">
        <f>"202012070592"</f>
        <v>202012070592</v>
      </c>
      <c r="F707" t="str">
        <f>"20-20415"</f>
        <v>20-20415</v>
      </c>
      <c r="G707" s="3">
        <v>100</v>
      </c>
      <c r="H707" t="str">
        <f>"20-20415"</f>
        <v>20-20415</v>
      </c>
    </row>
    <row r="708" spans="1:8" x14ac:dyDescent="0.25">
      <c r="E708" t="str">
        <f>"202012070593"</f>
        <v>202012070593</v>
      </c>
      <c r="F708" t="str">
        <f>"17-18119"</f>
        <v>17-18119</v>
      </c>
      <c r="G708" s="3">
        <v>100</v>
      </c>
      <c r="H708" t="str">
        <f>"17-18119"</f>
        <v>17-18119</v>
      </c>
    </row>
    <row r="709" spans="1:8" x14ac:dyDescent="0.25">
      <c r="E709" t="str">
        <f>"202012070640"</f>
        <v>202012070640</v>
      </c>
      <c r="F709" t="str">
        <f>"20-20357"</f>
        <v>20-20357</v>
      </c>
      <c r="G709" s="3">
        <v>637.5</v>
      </c>
      <c r="H709" t="str">
        <f>"20-20357"</f>
        <v>20-20357</v>
      </c>
    </row>
    <row r="710" spans="1:8" x14ac:dyDescent="0.25">
      <c r="E710" t="str">
        <f>"202012080678"</f>
        <v>202012080678</v>
      </c>
      <c r="F710" t="str">
        <f>"09-13358"</f>
        <v>09-13358</v>
      </c>
      <c r="G710" s="3">
        <v>300</v>
      </c>
      <c r="H710" t="str">
        <f>"09-13358"</f>
        <v>09-13358</v>
      </c>
    </row>
    <row r="711" spans="1:8" x14ac:dyDescent="0.25">
      <c r="A711" t="s">
        <v>177</v>
      </c>
      <c r="B711">
        <v>133938</v>
      </c>
      <c r="C711" s="3">
        <v>283.73</v>
      </c>
      <c r="D711" s="5">
        <v>44179</v>
      </c>
      <c r="E711" t="str">
        <f>"5043721845"</f>
        <v>5043721845</v>
      </c>
      <c r="F711" t="str">
        <f>"CUST#11167190/PCT#1"</f>
        <v>CUST#11167190/PCT#1</v>
      </c>
      <c r="G711" s="3">
        <v>133.72999999999999</v>
      </c>
      <c r="H711" t="str">
        <f>"CUST#11167190/PCT#1"</f>
        <v>CUST#11167190/PCT#1</v>
      </c>
    </row>
    <row r="712" spans="1:8" x14ac:dyDescent="0.25">
      <c r="E712" t="str">
        <f>"9111873642"</f>
        <v>9111873642</v>
      </c>
      <c r="F712" t="str">
        <f>"INV 9111873642"</f>
        <v>INV 9111873642</v>
      </c>
      <c r="G712" s="3">
        <v>100</v>
      </c>
      <c r="H712" t="str">
        <f>"INV 9111873642"</f>
        <v>INV 9111873642</v>
      </c>
    </row>
    <row r="713" spans="1:8" x14ac:dyDescent="0.25">
      <c r="E713" t="str">
        <f>"9111873643"</f>
        <v>9111873643</v>
      </c>
      <c r="F713" t="str">
        <f>"INV 9111873643"</f>
        <v>INV 9111873643</v>
      </c>
      <c r="G713" s="3">
        <v>50</v>
      </c>
      <c r="H713" t="str">
        <f>"INV 9111873643"</f>
        <v>INV 9111873643</v>
      </c>
    </row>
    <row r="714" spans="1:8" x14ac:dyDescent="0.25">
      <c r="A714" t="s">
        <v>178</v>
      </c>
      <c r="B714">
        <v>133939</v>
      </c>
      <c r="C714" s="3">
        <v>281.68</v>
      </c>
      <c r="D714" s="5">
        <v>44179</v>
      </c>
      <c r="E714" t="str">
        <f>"202012090694"</f>
        <v>202012090694</v>
      </c>
      <c r="F714" t="str">
        <f>"PAYER#14108463/ANIMAL SHELTER"</f>
        <v>PAYER#14108463/ANIMAL SHELTER</v>
      </c>
      <c r="G714" s="3">
        <v>281.68</v>
      </c>
      <c r="H714" t="str">
        <f>"PAYER#14108463/ANIMAL SHELTER"</f>
        <v>PAYER#14108463/ANIMAL SHELTER</v>
      </c>
    </row>
    <row r="715" spans="1:8" x14ac:dyDescent="0.25">
      <c r="A715" t="s">
        <v>178</v>
      </c>
      <c r="B715">
        <v>133940</v>
      </c>
      <c r="C715" s="3">
        <v>149.69999999999999</v>
      </c>
      <c r="D715" s="5">
        <v>44179</v>
      </c>
      <c r="E715" t="str">
        <f>"8404898200"</f>
        <v>8404898200</v>
      </c>
      <c r="F715" t="str">
        <f>"CUST#10377368/PCT#3"</f>
        <v>CUST#10377368/PCT#3</v>
      </c>
      <c r="G715" s="3">
        <v>75.41</v>
      </c>
      <c r="H715" t="str">
        <f>"CUST#10377368/PCT#3"</f>
        <v>CUST#10377368/PCT#3</v>
      </c>
    </row>
    <row r="716" spans="1:8" x14ac:dyDescent="0.25">
      <c r="E716" t="str">
        <f>"8404904421"</f>
        <v>8404904421</v>
      </c>
      <c r="F716" t="str">
        <f>"CUST#10377368/PCT#2"</f>
        <v>CUST#10377368/PCT#2</v>
      </c>
      <c r="G716" s="3">
        <v>74.290000000000006</v>
      </c>
      <c r="H716" t="str">
        <f>"CUST#10377368/PCT#2"</f>
        <v>CUST#10377368/PCT#2</v>
      </c>
    </row>
    <row r="717" spans="1:8" x14ac:dyDescent="0.25">
      <c r="A717" t="s">
        <v>179</v>
      </c>
      <c r="B717">
        <v>133941</v>
      </c>
      <c r="C717" s="3">
        <v>532.5</v>
      </c>
      <c r="D717" s="5">
        <v>44179</v>
      </c>
      <c r="E717" t="str">
        <f>"202012070626"</f>
        <v>202012070626</v>
      </c>
      <c r="F717" t="str">
        <f>"BOND#62976933-MAURICE COOK"</f>
        <v>BOND#62976933-MAURICE COOK</v>
      </c>
      <c r="G717" s="3">
        <v>532.5</v>
      </c>
      <c r="H717" t="str">
        <f>"BOND#62976933-MAURICE COOK"</f>
        <v>BOND#62976933-MAURICE COOK</v>
      </c>
    </row>
    <row r="718" spans="1:8" x14ac:dyDescent="0.25">
      <c r="A718" t="s">
        <v>180</v>
      </c>
      <c r="B718">
        <v>133942</v>
      </c>
      <c r="C718" s="3">
        <v>3195</v>
      </c>
      <c r="D718" s="5">
        <v>44179</v>
      </c>
      <c r="E718" t="str">
        <f>"40467"</f>
        <v>40467</v>
      </c>
      <c r="F718" t="str">
        <f>"Renewal"</f>
        <v>Renewal</v>
      </c>
      <c r="G718" s="3">
        <v>1200</v>
      </c>
      <c r="H718" t="str">
        <f>"Inv. 40467"</f>
        <v>Inv. 40467</v>
      </c>
    </row>
    <row r="719" spans="1:8" x14ac:dyDescent="0.25">
      <c r="E719" t="str">
        <f>"40613"</f>
        <v>40613</v>
      </c>
      <c r="F719" t="str">
        <f>"Application"</f>
        <v>Application</v>
      </c>
      <c r="G719" s="3">
        <v>1995</v>
      </c>
      <c r="H719" t="str">
        <f>"Inv 40613"</f>
        <v>Inv 40613</v>
      </c>
    </row>
    <row r="720" spans="1:8" x14ac:dyDescent="0.25">
      <c r="A720" t="s">
        <v>181</v>
      </c>
      <c r="B720">
        <v>133943</v>
      </c>
      <c r="C720" s="3">
        <v>2952.34</v>
      </c>
      <c r="D720" s="5">
        <v>44179</v>
      </c>
      <c r="E720" t="str">
        <f>"TT30332"</f>
        <v>TT30332</v>
      </c>
      <c r="F720" t="str">
        <f t="shared" ref="F720:F726" si="8">"ACCT#68930/ANIMAL SVCS"</f>
        <v>ACCT#68930/ANIMAL SVCS</v>
      </c>
      <c r="G720" s="3">
        <v>312.48</v>
      </c>
      <c r="H720" t="str">
        <f t="shared" ref="H720:H732" si="9">"ACCT#68930/ANIMAL SVCS"</f>
        <v>ACCT#68930/ANIMAL SVCS</v>
      </c>
    </row>
    <row r="721" spans="1:8" x14ac:dyDescent="0.25">
      <c r="E721" t="str">
        <f>"TT30380"</f>
        <v>TT30380</v>
      </c>
      <c r="F721" t="str">
        <f t="shared" si="8"/>
        <v>ACCT#68930/ANIMAL SVCS</v>
      </c>
      <c r="G721" s="3">
        <v>196.99</v>
      </c>
      <c r="H721" t="str">
        <f t="shared" si="9"/>
        <v>ACCT#68930/ANIMAL SVCS</v>
      </c>
    </row>
    <row r="722" spans="1:8" x14ac:dyDescent="0.25">
      <c r="E722" t="str">
        <f>"TT38001"</f>
        <v>TT38001</v>
      </c>
      <c r="F722" t="str">
        <f t="shared" si="8"/>
        <v>ACCT#68930/ANIMAL SVCS</v>
      </c>
      <c r="G722" s="3">
        <v>172.37</v>
      </c>
      <c r="H722" t="str">
        <f t="shared" si="9"/>
        <v>ACCT#68930/ANIMAL SVCS</v>
      </c>
    </row>
    <row r="723" spans="1:8" x14ac:dyDescent="0.25">
      <c r="E723" t="str">
        <f>"TT46522"</f>
        <v>TT46522</v>
      </c>
      <c r="F723" t="str">
        <f t="shared" si="8"/>
        <v>ACCT#68930/ANIMAL SVCS</v>
      </c>
      <c r="G723" s="3">
        <v>414.54</v>
      </c>
      <c r="H723" t="str">
        <f t="shared" si="9"/>
        <v>ACCT#68930/ANIMAL SVCS</v>
      </c>
    </row>
    <row r="724" spans="1:8" x14ac:dyDescent="0.25">
      <c r="E724" t="str">
        <f>"TT46561"</f>
        <v>TT46561</v>
      </c>
      <c r="F724" t="str">
        <f t="shared" si="8"/>
        <v>ACCT#68930/ANIMAL SVCS</v>
      </c>
      <c r="G724" s="3">
        <v>53.04</v>
      </c>
      <c r="H724" t="str">
        <f t="shared" si="9"/>
        <v>ACCT#68930/ANIMAL SVCS</v>
      </c>
    </row>
    <row r="725" spans="1:8" x14ac:dyDescent="0.25">
      <c r="E725" t="str">
        <f>"TT60364"</f>
        <v>TT60364</v>
      </c>
      <c r="F725" t="str">
        <f t="shared" si="8"/>
        <v>ACCT#68930/ANIMAL SVCS</v>
      </c>
      <c r="G725" s="3">
        <v>91.3</v>
      </c>
      <c r="H725" t="str">
        <f t="shared" si="9"/>
        <v>ACCT#68930/ANIMAL SVCS</v>
      </c>
    </row>
    <row r="726" spans="1:8" x14ac:dyDescent="0.25">
      <c r="E726" t="str">
        <f>"TT74442"</f>
        <v>TT74442</v>
      </c>
      <c r="F726" t="str">
        <f t="shared" si="8"/>
        <v>ACCT#68930/ANIMAL SVCS</v>
      </c>
      <c r="G726" s="3">
        <v>244.02</v>
      </c>
      <c r="H726" t="str">
        <f t="shared" si="9"/>
        <v>ACCT#68930/ANIMAL SVCS</v>
      </c>
    </row>
    <row r="727" spans="1:8" x14ac:dyDescent="0.25">
      <c r="E727" t="str">
        <f>""</f>
        <v/>
      </c>
      <c r="F727" t="str">
        <f>""</f>
        <v/>
      </c>
      <c r="H727" t="str">
        <f t="shared" si="9"/>
        <v>ACCT#68930/ANIMAL SVCS</v>
      </c>
    </row>
    <row r="728" spans="1:8" x14ac:dyDescent="0.25">
      <c r="E728" t="str">
        <f>""</f>
        <v/>
      </c>
      <c r="F728" t="str">
        <f>""</f>
        <v/>
      </c>
      <c r="H728" t="str">
        <f t="shared" si="9"/>
        <v>ACCT#68930/ANIMAL SVCS</v>
      </c>
    </row>
    <row r="729" spans="1:8" x14ac:dyDescent="0.25">
      <c r="E729" t="str">
        <f>"TU01144"</f>
        <v>TU01144</v>
      </c>
      <c r="F729" t="str">
        <f>"ACCT#68930/ANIMAL SVCS"</f>
        <v>ACCT#68930/ANIMAL SVCS</v>
      </c>
      <c r="G729" s="3">
        <v>353.12</v>
      </c>
      <c r="H729" t="str">
        <f t="shared" si="9"/>
        <v>ACCT#68930/ANIMAL SVCS</v>
      </c>
    </row>
    <row r="730" spans="1:8" x14ac:dyDescent="0.25">
      <c r="E730" t="str">
        <f>"TU89589"</f>
        <v>TU89589</v>
      </c>
      <c r="F730" t="str">
        <f>"ACCT#68930/ANIMAL SVCS"</f>
        <v>ACCT#68930/ANIMAL SVCS</v>
      </c>
      <c r="G730" s="3">
        <v>72.34</v>
      </c>
      <c r="H730" t="str">
        <f t="shared" si="9"/>
        <v>ACCT#68930/ANIMAL SVCS</v>
      </c>
    </row>
    <row r="731" spans="1:8" x14ac:dyDescent="0.25">
      <c r="E731" t="str">
        <f>"TV26687"</f>
        <v>TV26687</v>
      </c>
      <c r="F731" t="str">
        <f>"ACCT#68930/ANIMAL SVCS"</f>
        <v>ACCT#68930/ANIMAL SVCS</v>
      </c>
      <c r="G731" s="3">
        <v>856.8</v>
      </c>
      <c r="H731" t="str">
        <f t="shared" si="9"/>
        <v>ACCT#68930/ANIMAL SVCS</v>
      </c>
    </row>
    <row r="732" spans="1:8" x14ac:dyDescent="0.25">
      <c r="E732" t="str">
        <f>"TV28294"</f>
        <v>TV28294</v>
      </c>
      <c r="F732" t="str">
        <f>"ACCT#68930/ANIMAL SVCS"</f>
        <v>ACCT#68930/ANIMAL SVCS</v>
      </c>
      <c r="G732" s="3">
        <v>185.34</v>
      </c>
      <c r="H732" t="str">
        <f t="shared" si="9"/>
        <v>ACCT#68930/ANIMAL SVCS</v>
      </c>
    </row>
    <row r="733" spans="1:8" x14ac:dyDescent="0.25">
      <c r="A733" t="s">
        <v>182</v>
      </c>
      <c r="B733">
        <v>133944</v>
      </c>
      <c r="C733" s="3">
        <v>17.5</v>
      </c>
      <c r="D733" s="5">
        <v>44179</v>
      </c>
      <c r="E733" t="s">
        <v>183</v>
      </c>
      <c r="F733" s="3" t="str">
        <f>"RESTITUTION PAYMENT"</f>
        <v>RESTITUTION PAYMENT</v>
      </c>
      <c r="G733" s="3">
        <v>17.5</v>
      </c>
      <c r="H733" s="3" t="str">
        <f>"RESTITUTION PAYMENT"</f>
        <v>RESTITUTION PAYMENT</v>
      </c>
    </row>
    <row r="734" spans="1:8" x14ac:dyDescent="0.25">
      <c r="A734" t="s">
        <v>184</v>
      </c>
      <c r="B734">
        <v>133945</v>
      </c>
      <c r="C734" s="3">
        <v>1750</v>
      </c>
      <c r="D734" s="5">
        <v>44179</v>
      </c>
      <c r="E734" t="str">
        <f>"202011300315"</f>
        <v>202011300315</v>
      </c>
      <c r="F734" t="str">
        <f>"PSYCH EVAL"</f>
        <v>PSYCH EVAL</v>
      </c>
      <c r="G734" s="3">
        <v>500</v>
      </c>
      <c r="H734" t="str">
        <f>"PSYCH EVAL"</f>
        <v>PSYCH EVAL</v>
      </c>
    </row>
    <row r="735" spans="1:8" x14ac:dyDescent="0.25">
      <c r="E735" t="str">
        <f>"202012080665"</f>
        <v>202012080665</v>
      </c>
      <c r="F735" t="str">
        <f>"NOVEMBER INVOICE"</f>
        <v>NOVEMBER INVOICE</v>
      </c>
      <c r="G735" s="3">
        <v>1250</v>
      </c>
      <c r="H735" t="str">
        <f>"NOVEMBER INVOICE"</f>
        <v>NOVEMBER INVOICE</v>
      </c>
    </row>
    <row r="736" spans="1:8" x14ac:dyDescent="0.25">
      <c r="A736" t="s">
        <v>185</v>
      </c>
      <c r="B736">
        <v>133946</v>
      </c>
      <c r="C736" s="3">
        <v>100.43</v>
      </c>
      <c r="D736" s="5">
        <v>44179</v>
      </c>
      <c r="E736" t="str">
        <f>"50809"</f>
        <v>50809</v>
      </c>
      <c r="F736" t="str">
        <f>"ACCT#6795/CONSTABLE"</f>
        <v>ACCT#6795/CONSTABLE</v>
      </c>
      <c r="G736" s="3">
        <v>100.43</v>
      </c>
      <c r="H736" t="str">
        <f>"ACCT#6795/CONSTABLE"</f>
        <v>ACCT#6795/CONSTABLE</v>
      </c>
    </row>
    <row r="737" spans="1:8" x14ac:dyDescent="0.25">
      <c r="A737" t="s">
        <v>186</v>
      </c>
      <c r="B737">
        <v>133947</v>
      </c>
      <c r="C737" s="3">
        <v>550</v>
      </c>
      <c r="D737" s="5">
        <v>44179</v>
      </c>
      <c r="E737" t="str">
        <f>"202012010363"</f>
        <v>202012010363</v>
      </c>
      <c r="F737" t="str">
        <f>"REFUND OSSF FEE"</f>
        <v>REFUND OSSF FEE</v>
      </c>
      <c r="G737" s="3">
        <v>400</v>
      </c>
      <c r="H737" t="str">
        <f>"REFUND OSSF FEE"</f>
        <v>REFUND OSSF FEE</v>
      </c>
    </row>
    <row r="738" spans="1:8" x14ac:dyDescent="0.25">
      <c r="E738" t="str">
        <f>"202012010366"</f>
        <v>202012010366</v>
      </c>
      <c r="F738" t="str">
        <f>"REFUND PORTION OF PERMIT FEE"</f>
        <v>REFUND PORTION OF PERMIT FEE</v>
      </c>
      <c r="G738" s="3">
        <v>150</v>
      </c>
      <c r="H738" t="str">
        <f>"REFUND PORTION OF PERMIT FEE"</f>
        <v>REFUND PORTION OF PERMIT FEE</v>
      </c>
    </row>
    <row r="739" spans="1:8" x14ac:dyDescent="0.25">
      <c r="A739" t="s">
        <v>187</v>
      </c>
      <c r="B739">
        <v>133948</v>
      </c>
      <c r="C739" s="3">
        <v>1717.78</v>
      </c>
      <c r="D739" s="5">
        <v>44179</v>
      </c>
      <c r="E739" t="str">
        <f>"2094188"</f>
        <v>2094188</v>
      </c>
      <c r="F739" t="str">
        <f>"INV 2094188"</f>
        <v>INV 2094188</v>
      </c>
      <c r="G739" s="3">
        <v>698.08</v>
      </c>
      <c r="H739" t="str">
        <f>"INV 2094188"</f>
        <v>INV 2094188</v>
      </c>
    </row>
    <row r="740" spans="1:8" x14ac:dyDescent="0.25">
      <c r="E740" t="str">
        <f>"40200704"</f>
        <v>40200704</v>
      </c>
      <c r="F740" t="str">
        <f>"INV 40200704"</f>
        <v>INV 40200704</v>
      </c>
      <c r="G740" s="3">
        <v>1019.7</v>
      </c>
      <c r="H740" t="str">
        <f>"INV 40200704"</f>
        <v>INV 40200704</v>
      </c>
    </row>
    <row r="741" spans="1:8" x14ac:dyDescent="0.25">
      <c r="E741" t="str">
        <f>""</f>
        <v/>
      </c>
      <c r="F741" t="str">
        <f>""</f>
        <v/>
      </c>
      <c r="H741" t="str">
        <f>"INV 2090188"</f>
        <v>INV 2090188</v>
      </c>
    </row>
    <row r="742" spans="1:8" x14ac:dyDescent="0.25">
      <c r="A742" t="s">
        <v>188</v>
      </c>
      <c r="B742">
        <v>133949</v>
      </c>
      <c r="C742" s="3">
        <v>22668.86</v>
      </c>
      <c r="D742" s="5">
        <v>44179</v>
      </c>
      <c r="E742" t="str">
        <f>"202012030498"</f>
        <v>202012030498</v>
      </c>
      <c r="F742" t="str">
        <f>"DELL"</f>
        <v>DELL</v>
      </c>
      <c r="G742" s="3">
        <v>22668.86</v>
      </c>
      <c r="H742" t="str">
        <f>"Optiplex 7070"</f>
        <v>Optiplex 7070</v>
      </c>
    </row>
    <row r="743" spans="1:8" x14ac:dyDescent="0.25">
      <c r="E743" t="str">
        <f>""</f>
        <v/>
      </c>
      <c r="F743" t="str">
        <f>""</f>
        <v/>
      </c>
      <c r="H743" t="str">
        <f>"Dell Monitor"</f>
        <v>Dell Monitor</v>
      </c>
    </row>
    <row r="744" spans="1:8" x14ac:dyDescent="0.25">
      <c r="E744" t="str">
        <f>""</f>
        <v/>
      </c>
      <c r="F744" t="str">
        <f>""</f>
        <v/>
      </c>
      <c r="H744" t="str">
        <f>"XPS 13"</f>
        <v>XPS 13</v>
      </c>
    </row>
    <row r="745" spans="1:8" x14ac:dyDescent="0.25">
      <c r="E745" t="str">
        <f>""</f>
        <v/>
      </c>
      <c r="F745" t="str">
        <f>""</f>
        <v/>
      </c>
      <c r="H745" t="str">
        <f>"Discount"</f>
        <v>Discount</v>
      </c>
    </row>
    <row r="746" spans="1:8" x14ac:dyDescent="0.25">
      <c r="E746" t="str">
        <f>""</f>
        <v/>
      </c>
      <c r="F746" t="str">
        <f>""</f>
        <v/>
      </c>
      <c r="H746" t="str">
        <f>"Discount"</f>
        <v>Discount</v>
      </c>
    </row>
    <row r="747" spans="1:8" x14ac:dyDescent="0.25">
      <c r="A747" t="s">
        <v>189</v>
      </c>
      <c r="B747">
        <v>133950</v>
      </c>
      <c r="C747" s="3">
        <v>722.5</v>
      </c>
      <c r="D747" s="5">
        <v>44179</v>
      </c>
      <c r="E747" t="str">
        <f>"27165"</f>
        <v>27165</v>
      </c>
      <c r="F747" t="str">
        <f>"KEYS GEN SVCS"</f>
        <v>KEYS GEN SVCS</v>
      </c>
      <c r="G747" s="3">
        <v>98.5</v>
      </c>
      <c r="H747" t="str">
        <f>"KEYS GEN SVCS"</f>
        <v>KEYS GEN SVCS</v>
      </c>
    </row>
    <row r="748" spans="1:8" x14ac:dyDescent="0.25">
      <c r="E748" t="str">
        <f>"27251"</f>
        <v>27251</v>
      </c>
      <c r="F748" t="str">
        <f>"LOCKSMITH SVCS GEN SVCS"</f>
        <v>LOCKSMITH SVCS GEN SVCS</v>
      </c>
      <c r="G748" s="3">
        <v>379</v>
      </c>
      <c r="H748" t="str">
        <f>"LOCKSMITH SVCS GEN SVCS"</f>
        <v>LOCKSMITH SVCS GEN SVCS</v>
      </c>
    </row>
    <row r="749" spans="1:8" x14ac:dyDescent="0.25">
      <c r="E749" t="str">
        <f>"27260/UNIT 4567"</f>
        <v>27260/UNIT 4567</v>
      </c>
      <c r="F749" t="str">
        <f>"INV 27260 / UNIT 4567"</f>
        <v>INV 27260 / UNIT 4567</v>
      </c>
      <c r="G749" s="3">
        <v>125</v>
      </c>
      <c r="H749" t="str">
        <f>"INV 27260 / UNIT 4567"</f>
        <v>INV 27260 / UNIT 4567</v>
      </c>
    </row>
    <row r="750" spans="1:8" x14ac:dyDescent="0.25">
      <c r="E750" t="str">
        <f>"27270/UNIT 3631"</f>
        <v>27270/UNIT 3631</v>
      </c>
      <c r="F750" t="str">
        <f>"INV 27270 / UNIT 3631"</f>
        <v>INV 27270 / UNIT 3631</v>
      </c>
      <c r="G750" s="3">
        <v>120</v>
      </c>
      <c r="H750" t="str">
        <f>"INV 27270 / UNIT 3631"</f>
        <v>INV 27270 / UNIT 3631</v>
      </c>
    </row>
    <row r="751" spans="1:8" x14ac:dyDescent="0.25">
      <c r="A751" t="s">
        <v>190</v>
      </c>
      <c r="B751">
        <v>133951</v>
      </c>
      <c r="C751" s="3">
        <v>20253.71</v>
      </c>
      <c r="D751" s="5">
        <v>44179</v>
      </c>
      <c r="E751" t="str">
        <f>"21001123N"</f>
        <v>21001123N</v>
      </c>
      <c r="F751" t="str">
        <f>"CUST #PKE5000 OCT'20"</f>
        <v>CUST #PKE5000 OCT'20</v>
      </c>
      <c r="G751" s="3">
        <v>20253.71</v>
      </c>
      <c r="H751" t="str">
        <f>"CUST #PKE5000 OCT'20"</f>
        <v>CUST #PKE5000 OCT'20</v>
      </c>
    </row>
    <row r="752" spans="1:8" x14ac:dyDescent="0.25">
      <c r="E752" t="str">
        <f>""</f>
        <v/>
      </c>
      <c r="F752" t="str">
        <f>""</f>
        <v/>
      </c>
      <c r="H752" t="str">
        <f>"CUST #PKE5000 OCT'20"</f>
        <v>CUST #PKE5000 OCT'20</v>
      </c>
    </row>
    <row r="753" spans="1:8" x14ac:dyDescent="0.25">
      <c r="A753" t="s">
        <v>191</v>
      </c>
      <c r="B753">
        <v>133952</v>
      </c>
      <c r="C753" s="3">
        <v>964</v>
      </c>
      <c r="D753" s="5">
        <v>44179</v>
      </c>
      <c r="E753" t="str">
        <f>"2880366"</f>
        <v>2880366</v>
      </c>
      <c r="F753" t="str">
        <f>"ACCT#27917/PCT#1"</f>
        <v>ACCT#27917/PCT#1</v>
      </c>
      <c r="G753" s="3">
        <v>964</v>
      </c>
      <c r="H753" t="str">
        <f>"ACCT#27917/PCT#1"</f>
        <v>ACCT#27917/PCT#1</v>
      </c>
    </row>
    <row r="754" spans="1:8" x14ac:dyDescent="0.25">
      <c r="A754" t="s">
        <v>192</v>
      </c>
      <c r="B754">
        <v>133953</v>
      </c>
      <c r="C754" s="3">
        <v>805.38</v>
      </c>
      <c r="D754" s="5">
        <v>44179</v>
      </c>
      <c r="E754" t="str">
        <f>"202012010371"</f>
        <v>202012010371</v>
      </c>
      <c r="F754" t="str">
        <f>"REIMBURSE HOTEL/MEALS"</f>
        <v>REIMBURSE HOTEL/MEALS</v>
      </c>
      <c r="G754" s="3">
        <v>805.38</v>
      </c>
      <c r="H754" t="str">
        <f>"REIMBURSE HOTEL/MEALS"</f>
        <v>REIMBURSE HOTEL/MEALS</v>
      </c>
    </row>
    <row r="755" spans="1:8" x14ac:dyDescent="0.25">
      <c r="A755" t="s">
        <v>193</v>
      </c>
      <c r="B755">
        <v>133954</v>
      </c>
      <c r="C755" s="3">
        <v>17.5</v>
      </c>
      <c r="D755" s="5">
        <v>44179</v>
      </c>
      <c r="E755" t="s">
        <v>183</v>
      </c>
      <c r="F755" s="3" t="str">
        <f>"RESTITUTION - M. MANZANARES"</f>
        <v>RESTITUTION - M. MANZANARES</v>
      </c>
      <c r="G755" s="3">
        <v>17.5</v>
      </c>
      <c r="H755" s="3" t="str">
        <f>"RESTITUTION - M. MANZANARES"</f>
        <v>RESTITUTION - M. MANZANARES</v>
      </c>
    </row>
    <row r="756" spans="1:8" x14ac:dyDescent="0.25">
      <c r="A756" t="s">
        <v>194</v>
      </c>
      <c r="B756">
        <v>133955</v>
      </c>
      <c r="C756" s="3">
        <v>300</v>
      </c>
      <c r="D756" s="5">
        <v>44179</v>
      </c>
      <c r="E756" t="str">
        <f>"008"</f>
        <v>008</v>
      </c>
      <c r="F756" t="str">
        <f>"COMPLETE-STANDARD/COUNTY CT"</f>
        <v>COMPLETE-STANDARD/COUNTY CT</v>
      </c>
      <c r="G756" s="3">
        <v>300</v>
      </c>
      <c r="H756" t="str">
        <f>"COMPLETE-STANDARD/COUNTY CT"</f>
        <v>COMPLETE-STANDARD/COUNTY CT</v>
      </c>
    </row>
    <row r="757" spans="1:8" x14ac:dyDescent="0.25">
      <c r="A757" t="s">
        <v>195</v>
      </c>
      <c r="B757">
        <v>133956</v>
      </c>
      <c r="C757" s="3">
        <v>3740</v>
      </c>
      <c r="D757" s="5">
        <v>44179</v>
      </c>
      <c r="E757" t="str">
        <f>"022"</f>
        <v>022</v>
      </c>
      <c r="F757" t="str">
        <f>"17 LDS COMM BASE/PCT#3"</f>
        <v>17 LDS COMM BASE/PCT#3</v>
      </c>
      <c r="G757" s="3">
        <v>3740</v>
      </c>
      <c r="H757" t="str">
        <f>"17 LDS COMM BASE/PCT#3"</f>
        <v>17 LDS COMM BASE/PCT#3</v>
      </c>
    </row>
    <row r="758" spans="1:8" x14ac:dyDescent="0.25">
      <c r="A758" t="s">
        <v>196</v>
      </c>
      <c r="B758">
        <v>133957</v>
      </c>
      <c r="C758" s="3">
        <v>347.89</v>
      </c>
      <c r="D758" s="5">
        <v>44179</v>
      </c>
      <c r="E758" t="str">
        <f>"6000155502"</f>
        <v>6000155502</v>
      </c>
      <c r="F758" t="str">
        <f>"ACCT#3422853/ANIMAL CONTROL"</f>
        <v>ACCT#3422853/ANIMAL CONTROL</v>
      </c>
      <c r="G758" s="3">
        <v>347.89</v>
      </c>
      <c r="H758" t="str">
        <f>"ACCT#3422853/ANIMAL CONTROL"</f>
        <v>ACCT#3422853/ANIMAL CONTROL</v>
      </c>
    </row>
    <row r="759" spans="1:8" x14ac:dyDescent="0.25">
      <c r="A759" t="s">
        <v>197</v>
      </c>
      <c r="B759">
        <v>133958</v>
      </c>
      <c r="C759" s="3">
        <v>8136.25</v>
      </c>
      <c r="D759" s="5">
        <v>44179</v>
      </c>
      <c r="E759" t="str">
        <f>"1172673"</f>
        <v>1172673</v>
      </c>
      <c r="F759" t="str">
        <f>"ACCT#B06875/ORD#1258652"</f>
        <v>ACCT#B06875/ORD#1258652</v>
      </c>
      <c r="G759" s="3">
        <v>4675</v>
      </c>
      <c r="H759" t="str">
        <f>"ACCT#B06875/ORD#1258652"</f>
        <v>ACCT#B06875/ORD#1258652</v>
      </c>
    </row>
    <row r="760" spans="1:8" x14ac:dyDescent="0.25">
      <c r="E760" t="str">
        <f>"202012030559"</f>
        <v>202012030559</v>
      </c>
      <c r="F760" t="str">
        <f>"Election"</f>
        <v>Election</v>
      </c>
      <c r="G760" s="3">
        <v>3461.25</v>
      </c>
      <c r="H760" t="str">
        <f>"Payment 2 of 2"</f>
        <v>Payment 2 of 2</v>
      </c>
    </row>
    <row r="761" spans="1:8" x14ac:dyDescent="0.25">
      <c r="A761" t="s">
        <v>10</v>
      </c>
      <c r="B761">
        <v>133959</v>
      </c>
      <c r="C761" s="3">
        <v>40520.76</v>
      </c>
      <c r="D761" s="5">
        <v>44179</v>
      </c>
      <c r="E761" t="str">
        <f>"145-40063-01"</f>
        <v>145-40063-01</v>
      </c>
      <c r="F761" t="str">
        <f>"CUST#0888336/MIKE FISHER BLDG"</f>
        <v>CUST#0888336/MIKE FISHER BLDG</v>
      </c>
      <c r="G761" s="3">
        <v>748.46</v>
      </c>
      <c r="H761" t="str">
        <f>"CUST#0888336/MIKE FISHER BLDG"</f>
        <v>CUST#0888336/MIKE FISHER BLDG</v>
      </c>
    </row>
    <row r="762" spans="1:8" x14ac:dyDescent="0.25">
      <c r="E762" t="str">
        <f>"145-40063-02"</f>
        <v>145-40063-02</v>
      </c>
      <c r="F762" t="str">
        <f>"CUST#0888336/MIKE FISHER BLDG"</f>
        <v>CUST#0888336/MIKE FISHER BLDG</v>
      </c>
      <c r="G762" s="3">
        <v>38759.25</v>
      </c>
      <c r="H762" t="str">
        <f>"CUST#0888336/MIKE FISHER BLDG"</f>
        <v>CUST#0888336/MIKE FISHER BLDG</v>
      </c>
    </row>
    <row r="763" spans="1:8" x14ac:dyDescent="0.25">
      <c r="E763" t="str">
        <f>"145-43841-01"</f>
        <v>145-43841-01</v>
      </c>
      <c r="F763" t="str">
        <f>"INV 145-43841-01"</f>
        <v>INV 145-43841-01</v>
      </c>
      <c r="G763" s="3">
        <v>393.05</v>
      </c>
      <c r="H763" t="str">
        <f>"INV 145-43841-01"</f>
        <v>INV 145-43841-01</v>
      </c>
    </row>
    <row r="764" spans="1:8" x14ac:dyDescent="0.25">
      <c r="E764" t="str">
        <f>"145-44712-01"</f>
        <v>145-44712-01</v>
      </c>
      <c r="F764" t="str">
        <f>"INV 145-44712-01"</f>
        <v>INV 145-44712-01</v>
      </c>
      <c r="G764" s="3">
        <v>210</v>
      </c>
      <c r="H764" t="str">
        <f>"INV 145-44712-01"</f>
        <v>INV 145-44712-01</v>
      </c>
    </row>
    <row r="765" spans="1:8" x14ac:dyDescent="0.25">
      <c r="E765" t="str">
        <f>"145-44731-01"</f>
        <v>145-44731-01</v>
      </c>
      <c r="F765" t="str">
        <f>"INV 145-44731-01"</f>
        <v>INV 145-44731-01</v>
      </c>
      <c r="G765" s="3">
        <v>410</v>
      </c>
      <c r="H765" t="str">
        <f>"INV 145-44731-01"</f>
        <v>INV 145-44731-01</v>
      </c>
    </row>
    <row r="766" spans="1:8" x14ac:dyDescent="0.25">
      <c r="A766" t="s">
        <v>198</v>
      </c>
      <c r="B766">
        <v>133960</v>
      </c>
      <c r="C766" s="3">
        <v>13342.01</v>
      </c>
      <c r="D766" s="5">
        <v>44179</v>
      </c>
      <c r="E766" t="str">
        <f>"9402382918"</f>
        <v>9402382918</v>
      </c>
      <c r="F766" t="str">
        <f>"ACCT#912923/BOL#27797/PCT#4"</f>
        <v>ACCT#912923/BOL#27797/PCT#4</v>
      </c>
      <c r="G766" s="3">
        <v>9677.01</v>
      </c>
      <c r="H766" t="str">
        <f>"ACCT#912923/BOL#27797/PCT#4"</f>
        <v>ACCT#912923/BOL#27797/PCT#4</v>
      </c>
    </row>
    <row r="767" spans="1:8" x14ac:dyDescent="0.25">
      <c r="E767" t="str">
        <f>"940283105"</f>
        <v>940283105</v>
      </c>
      <c r="F767" t="str">
        <f>"ACCT#912923/BOL#27803/PCT#4"</f>
        <v>ACCT#912923/BOL#27803/PCT#4</v>
      </c>
      <c r="G767" s="3">
        <v>3665</v>
      </c>
      <c r="H767" t="str">
        <f>"ACCT#912923/BOL#27803/PCT#4"</f>
        <v>ACCT#912923/BOL#27803/PCT#4</v>
      </c>
    </row>
    <row r="768" spans="1:8" x14ac:dyDescent="0.25">
      <c r="A768" t="s">
        <v>199</v>
      </c>
      <c r="B768">
        <v>133961</v>
      </c>
      <c r="C768" s="3">
        <v>64.239999999999995</v>
      </c>
      <c r="D768" s="5">
        <v>44179</v>
      </c>
      <c r="E768" t="str">
        <f>"7-186-71908"</f>
        <v>7-186-71908</v>
      </c>
      <c r="F768" t="str">
        <f>"INV 7-186-71908"</f>
        <v>INV 7-186-71908</v>
      </c>
      <c r="G768" s="3">
        <v>64.239999999999995</v>
      </c>
      <c r="H768" t="str">
        <f>"INV 7-186-71908"</f>
        <v>INV 7-186-71908</v>
      </c>
    </row>
    <row r="769" spans="1:8" x14ac:dyDescent="0.25">
      <c r="A769" t="s">
        <v>200</v>
      </c>
      <c r="B769">
        <v>133962</v>
      </c>
      <c r="C769" s="3">
        <v>50</v>
      </c>
      <c r="D769" s="5">
        <v>44179</v>
      </c>
      <c r="E769" t="s">
        <v>201</v>
      </c>
      <c r="F769" s="3" t="str">
        <f>"RESTITUTION-L. SADECKY"</f>
        <v>RESTITUTION-L. SADECKY</v>
      </c>
      <c r="G769" s="3">
        <v>50</v>
      </c>
      <c r="H769" s="3" t="str">
        <f>"RESTITUTION-L. SADECKY"</f>
        <v>RESTITUTION-L. SADECKY</v>
      </c>
    </row>
    <row r="770" spans="1:8" x14ac:dyDescent="0.25">
      <c r="A770" t="s">
        <v>202</v>
      </c>
      <c r="B770">
        <v>133963</v>
      </c>
      <c r="C770" s="3">
        <v>1730</v>
      </c>
      <c r="D770" s="5">
        <v>44179</v>
      </c>
      <c r="E770" t="str">
        <f>"20780"</f>
        <v>20780</v>
      </c>
      <c r="F770" t="str">
        <f>"Tablet for SO"</f>
        <v>Tablet for SO</v>
      </c>
      <c r="G770" s="3">
        <v>1730</v>
      </c>
      <c r="H770" t="str">
        <f>"Leica Zeno"</f>
        <v>Leica Zeno</v>
      </c>
    </row>
    <row r="771" spans="1:8" x14ac:dyDescent="0.25">
      <c r="A771" t="s">
        <v>203</v>
      </c>
      <c r="B771">
        <v>133964</v>
      </c>
      <c r="C771" s="3">
        <v>2192.98</v>
      </c>
      <c r="D771" s="5">
        <v>44179</v>
      </c>
      <c r="E771" t="str">
        <f>"016874108"</f>
        <v>016874108</v>
      </c>
      <c r="F771" t="str">
        <f>"INV 016874108"</f>
        <v>INV 016874108</v>
      </c>
      <c r="G771" s="3">
        <v>332</v>
      </c>
      <c r="H771" t="str">
        <f>"INV 016874108"</f>
        <v>INV 016874108</v>
      </c>
    </row>
    <row r="772" spans="1:8" x14ac:dyDescent="0.25">
      <c r="E772" t="str">
        <f>"016907755"</f>
        <v>016907755</v>
      </c>
      <c r="F772" t="str">
        <f>"INV 016907755/016973067"</f>
        <v>INV 016907755/016973067</v>
      </c>
      <c r="G772" s="3">
        <v>332</v>
      </c>
      <c r="H772" t="str">
        <f>"INV 016907755"</f>
        <v>INV 016907755</v>
      </c>
    </row>
    <row r="773" spans="1:8" x14ac:dyDescent="0.25">
      <c r="E773" t="str">
        <f>""</f>
        <v/>
      </c>
      <c r="F773" t="str">
        <f>""</f>
        <v/>
      </c>
      <c r="H773" t="str">
        <f>"INV 016973067"</f>
        <v>INV 016973067</v>
      </c>
    </row>
    <row r="774" spans="1:8" x14ac:dyDescent="0.25">
      <c r="E774" t="str">
        <f>"016907786 01703140"</f>
        <v>016907786 01703140</v>
      </c>
      <c r="F774" t="str">
        <f>"INV 016907786/017031401"</f>
        <v>INV 016907786/017031401</v>
      </c>
      <c r="G774" s="3">
        <v>332</v>
      </c>
      <c r="H774" t="str">
        <f>"INV 016907786"</f>
        <v>INV 016907786</v>
      </c>
    </row>
    <row r="775" spans="1:8" x14ac:dyDescent="0.25">
      <c r="E775" t="str">
        <f>""</f>
        <v/>
      </c>
      <c r="F775" t="str">
        <f>""</f>
        <v/>
      </c>
      <c r="H775" t="str">
        <f>"INV 017031401"</f>
        <v>INV 017031401</v>
      </c>
    </row>
    <row r="776" spans="1:8" x14ac:dyDescent="0.25">
      <c r="E776" t="str">
        <f>"016983679"</f>
        <v>016983679</v>
      </c>
      <c r="F776" t="str">
        <f>"INV 016983679"</f>
        <v>INV 016983679</v>
      </c>
      <c r="G776" s="3">
        <v>339.98</v>
      </c>
      <c r="H776" t="str">
        <f>"INV 016983679"</f>
        <v>INV 016983679</v>
      </c>
    </row>
    <row r="777" spans="1:8" x14ac:dyDescent="0.25">
      <c r="E777" t="str">
        <f>"017031399"</f>
        <v>017031399</v>
      </c>
      <c r="F777" t="str">
        <f>"INV 017031399"</f>
        <v>INV 017031399</v>
      </c>
      <c r="G777" s="3">
        <v>289.5</v>
      </c>
      <c r="H777" t="str">
        <f>"INV 017031399"</f>
        <v>INV 017031399</v>
      </c>
    </row>
    <row r="778" spans="1:8" x14ac:dyDescent="0.25">
      <c r="E778" t="str">
        <f>"017056115"</f>
        <v>017056115</v>
      </c>
      <c r="F778" t="str">
        <f>"INV 017056115"</f>
        <v>INV 017056115</v>
      </c>
      <c r="G778" s="3">
        <v>235.5</v>
      </c>
      <c r="H778" t="str">
        <f>"INV 017056115"</f>
        <v>INV 017056115</v>
      </c>
    </row>
    <row r="779" spans="1:8" x14ac:dyDescent="0.25">
      <c r="E779" t="str">
        <f>"017069050"</f>
        <v>017069050</v>
      </c>
      <c r="F779" t="str">
        <f>"INV 017069050"</f>
        <v>INV 017069050</v>
      </c>
      <c r="G779" s="3">
        <v>332</v>
      </c>
      <c r="H779" t="str">
        <f>"INV 017069050"</f>
        <v>INV 017069050</v>
      </c>
    </row>
    <row r="780" spans="1:8" x14ac:dyDescent="0.25">
      <c r="A780" t="s">
        <v>204</v>
      </c>
      <c r="B780">
        <v>133965</v>
      </c>
      <c r="C780" s="3">
        <v>47.95</v>
      </c>
      <c r="D780" s="5">
        <v>44179</v>
      </c>
      <c r="E780" t="str">
        <f>"202012080683"</f>
        <v>202012080683</v>
      </c>
      <c r="F780" t="str">
        <f>"INV 814780730"</f>
        <v>INV 814780730</v>
      </c>
      <c r="G780" s="3">
        <v>47.95</v>
      </c>
      <c r="H780" t="str">
        <f>"INV 814780730"</f>
        <v>INV 814780730</v>
      </c>
    </row>
    <row r="781" spans="1:8" x14ac:dyDescent="0.25">
      <c r="A781" t="s">
        <v>205</v>
      </c>
      <c r="B781">
        <v>133966</v>
      </c>
      <c r="C781" s="3">
        <v>325.38</v>
      </c>
      <c r="D781" s="5">
        <v>44179</v>
      </c>
      <c r="E781" t="str">
        <f>"78712-101  27708.0"</f>
        <v>78712-101  27708.0</v>
      </c>
      <c r="F781" t="str">
        <f>"Headsets"</f>
        <v>Headsets</v>
      </c>
      <c r="G781" s="3">
        <v>325.38</v>
      </c>
      <c r="H781" t="str">
        <f>"78712-101"</f>
        <v>78712-101</v>
      </c>
    </row>
    <row r="782" spans="1:8" x14ac:dyDescent="0.25">
      <c r="E782" t="str">
        <f>""</f>
        <v/>
      </c>
      <c r="F782" t="str">
        <f>""</f>
        <v/>
      </c>
      <c r="H782" t="str">
        <f>"27708.01"</f>
        <v>27708.01</v>
      </c>
    </row>
    <row r="783" spans="1:8" x14ac:dyDescent="0.25">
      <c r="E783" t="str">
        <f>""</f>
        <v/>
      </c>
      <c r="F783" t="str">
        <f>""</f>
        <v/>
      </c>
      <c r="H783" t="str">
        <f>"freight"</f>
        <v>freight</v>
      </c>
    </row>
    <row r="784" spans="1:8" x14ac:dyDescent="0.25">
      <c r="A784" t="s">
        <v>206</v>
      </c>
      <c r="B784">
        <v>133967</v>
      </c>
      <c r="C784" s="3">
        <v>289.95999999999998</v>
      </c>
      <c r="D784" s="5">
        <v>44179</v>
      </c>
      <c r="E784" t="str">
        <f>"29333"</f>
        <v>29333</v>
      </c>
      <c r="F784" t="str">
        <f>"ACCT#937/RIP RAP/PCT#3"</f>
        <v>ACCT#937/RIP RAP/PCT#3</v>
      </c>
      <c r="G784" s="3">
        <v>289.95999999999998</v>
      </c>
      <c r="H784" t="str">
        <f>"ACCT#937/RIP RAP/PCT#3"</f>
        <v>ACCT#937/RIP RAP/PCT#3</v>
      </c>
    </row>
    <row r="785" spans="1:8" x14ac:dyDescent="0.25">
      <c r="A785" t="s">
        <v>207</v>
      </c>
      <c r="B785">
        <v>133968</v>
      </c>
      <c r="C785" s="3">
        <v>47.5</v>
      </c>
      <c r="D785" s="5">
        <v>44179</v>
      </c>
      <c r="E785" t="str">
        <f>"10819920"</f>
        <v>10819920</v>
      </c>
      <c r="F785" t="str">
        <f>"ACCT#0083705/CUST#3324/PCT#4"</f>
        <v>ACCT#0083705/CUST#3324/PCT#4</v>
      </c>
      <c r="G785" s="3">
        <v>47.5</v>
      </c>
      <c r="H785" t="str">
        <f>"ACCT#0083705/CUST#3324/PCT#4"</f>
        <v>ACCT#0083705/CUST#3324/PCT#4</v>
      </c>
    </row>
    <row r="786" spans="1:8" x14ac:dyDescent="0.25">
      <c r="A786" t="s">
        <v>208</v>
      </c>
      <c r="B786">
        <v>133969</v>
      </c>
      <c r="C786" s="3">
        <v>500</v>
      </c>
      <c r="D786" s="5">
        <v>44179</v>
      </c>
      <c r="E786" t="str">
        <f>"202011300318"</f>
        <v>202011300318</v>
      </c>
      <c r="F786" t="str">
        <f>"423-4184"</f>
        <v>423-4184</v>
      </c>
      <c r="G786" s="3">
        <v>100</v>
      </c>
      <c r="H786" t="str">
        <f>"423-4184"</f>
        <v>423-4184</v>
      </c>
    </row>
    <row r="787" spans="1:8" x14ac:dyDescent="0.25">
      <c r="E787" t="str">
        <f>"202012070574"</f>
        <v>202012070574</v>
      </c>
      <c r="F787" t="str">
        <f>"423-3804"</f>
        <v>423-3804</v>
      </c>
      <c r="G787" s="3">
        <v>100</v>
      </c>
      <c r="H787" t="str">
        <f>"423-3804"</f>
        <v>423-3804</v>
      </c>
    </row>
    <row r="788" spans="1:8" x14ac:dyDescent="0.25">
      <c r="E788" t="str">
        <f>"202012070575"</f>
        <v>202012070575</v>
      </c>
      <c r="F788" t="str">
        <f>"423-4874"</f>
        <v>423-4874</v>
      </c>
      <c r="G788" s="3">
        <v>100</v>
      </c>
      <c r="H788" t="str">
        <f>"423-4874"</f>
        <v>423-4874</v>
      </c>
    </row>
    <row r="789" spans="1:8" x14ac:dyDescent="0.25">
      <c r="E789" t="str">
        <f>"202012070642"</f>
        <v>202012070642</v>
      </c>
      <c r="F789" t="str">
        <f>"16-17992"</f>
        <v>16-17992</v>
      </c>
      <c r="G789" s="3">
        <v>100</v>
      </c>
      <c r="H789" t="str">
        <f>"16-17992"</f>
        <v>16-17992</v>
      </c>
    </row>
    <row r="790" spans="1:8" x14ac:dyDescent="0.25">
      <c r="E790" t="str">
        <f>"202012070643"</f>
        <v>202012070643</v>
      </c>
      <c r="F790" t="str">
        <f>"03-8150"</f>
        <v>03-8150</v>
      </c>
      <c r="G790" s="3">
        <v>100</v>
      </c>
      <c r="H790" t="str">
        <f>"03-8150"</f>
        <v>03-8150</v>
      </c>
    </row>
    <row r="791" spans="1:8" x14ac:dyDescent="0.25">
      <c r="A791" t="s">
        <v>209</v>
      </c>
      <c r="B791">
        <v>133970</v>
      </c>
      <c r="C791" s="3">
        <v>313.36</v>
      </c>
      <c r="D791" s="5">
        <v>44179</v>
      </c>
      <c r="E791" t="str">
        <f>"14429"</f>
        <v>14429</v>
      </c>
      <c r="F791" t="str">
        <f>"EMBROIDERY/PCT#1"</f>
        <v>EMBROIDERY/PCT#1</v>
      </c>
      <c r="G791" s="3">
        <v>313.36</v>
      </c>
      <c r="H791" t="str">
        <f>"EMBROIDERY/PCT#1"</f>
        <v>EMBROIDERY/PCT#1</v>
      </c>
    </row>
    <row r="792" spans="1:8" x14ac:dyDescent="0.25">
      <c r="A792" t="s">
        <v>210</v>
      </c>
      <c r="B792">
        <v>133971</v>
      </c>
      <c r="C792" s="3">
        <v>497.5</v>
      </c>
      <c r="D792" s="5">
        <v>44179</v>
      </c>
      <c r="E792" t="str">
        <f>"SL2020-11_00343"</f>
        <v>SL2020-11_00343</v>
      </c>
      <c r="F792" t="str">
        <f>"SHELTERLUV SOFTWARE/ANIMAL SVC"</f>
        <v>SHELTERLUV SOFTWARE/ANIMAL SVC</v>
      </c>
      <c r="G792" s="3">
        <v>497.5</v>
      </c>
      <c r="H792" t="str">
        <f>"SHELTERLUV SOFTWARE/ANIMAL SVC"</f>
        <v>SHELTERLUV SOFTWARE/ANIMAL SVC</v>
      </c>
    </row>
    <row r="793" spans="1:8" x14ac:dyDescent="0.25">
      <c r="A793" t="s">
        <v>211</v>
      </c>
      <c r="B793">
        <v>133972</v>
      </c>
      <c r="C793" s="3">
        <v>8360</v>
      </c>
      <c r="D793" s="5">
        <v>44179</v>
      </c>
      <c r="E793" t="str">
        <f>"18372"</f>
        <v>18372</v>
      </c>
      <c r="F793" t="str">
        <f>"QUOTE SQ-US004100"</f>
        <v>QUOTE SQ-US004100</v>
      </c>
      <c r="G793" s="3">
        <v>4180</v>
      </c>
      <c r="H793" t="str">
        <f>"INV18372"</f>
        <v>INV18372</v>
      </c>
    </row>
    <row r="794" spans="1:8" x14ac:dyDescent="0.25">
      <c r="E794" t="str">
        <f>""</f>
        <v/>
      </c>
      <c r="F794" t="str">
        <f>""</f>
        <v/>
      </c>
      <c r="H794" t="str">
        <f>"PRD12207"</f>
        <v>PRD12207</v>
      </c>
    </row>
    <row r="795" spans="1:8" x14ac:dyDescent="0.25">
      <c r="E795" t="str">
        <f>""</f>
        <v/>
      </c>
      <c r="F795" t="str">
        <f>""</f>
        <v/>
      </c>
      <c r="H795" t="str">
        <f>"60160"</f>
        <v>60160</v>
      </c>
    </row>
    <row r="796" spans="1:8" x14ac:dyDescent="0.25">
      <c r="E796" t="str">
        <f>"INV18372/PRD12207"</f>
        <v>INV18372/PRD12207</v>
      </c>
      <c r="F796" t="str">
        <f>"Headsets"</f>
        <v>Headsets</v>
      </c>
      <c r="G796" s="3">
        <v>4180</v>
      </c>
      <c r="H796" t="str">
        <f>"INV18372"</f>
        <v>INV18372</v>
      </c>
    </row>
    <row r="797" spans="1:8" x14ac:dyDescent="0.25">
      <c r="E797" t="str">
        <f>""</f>
        <v/>
      </c>
      <c r="F797" t="str">
        <f>""</f>
        <v/>
      </c>
      <c r="H797" t="str">
        <f>"PRD12207"</f>
        <v>PRD12207</v>
      </c>
    </row>
    <row r="798" spans="1:8" x14ac:dyDescent="0.25">
      <c r="E798" t="str">
        <f>""</f>
        <v/>
      </c>
      <c r="F798" t="str">
        <f>""</f>
        <v/>
      </c>
      <c r="H798" t="str">
        <f>"60160"</f>
        <v>60160</v>
      </c>
    </row>
    <row r="799" spans="1:8" x14ac:dyDescent="0.25">
      <c r="A799" t="s">
        <v>212</v>
      </c>
      <c r="B799">
        <v>133973</v>
      </c>
      <c r="C799" s="3">
        <v>171.04</v>
      </c>
      <c r="D799" s="5">
        <v>44179</v>
      </c>
      <c r="E799" t="str">
        <f>"DCNG558"</f>
        <v>DCNG558</v>
      </c>
      <c r="F799" t="str">
        <f>"CUST ID:AX773/COUNTY CLERK-DEC"</f>
        <v>CUST ID:AX773/COUNTY CLERK-DEC</v>
      </c>
      <c r="G799" s="3">
        <v>171.04</v>
      </c>
      <c r="H799" t="str">
        <f>"CUST ID:AX773/COUNTY CLERK-DEC"</f>
        <v>CUST ID:AX773/COUNTY CLERK-DEC</v>
      </c>
    </row>
    <row r="800" spans="1:8" x14ac:dyDescent="0.25">
      <c r="A800" t="s">
        <v>213</v>
      </c>
      <c r="B800">
        <v>133974</v>
      </c>
      <c r="C800" s="3">
        <v>2313</v>
      </c>
      <c r="D800" s="5">
        <v>44179</v>
      </c>
      <c r="E800" t="str">
        <f>"1300"</f>
        <v>1300</v>
      </c>
      <c r="F800" t="str">
        <f>"INV 1300"</f>
        <v>INV 1300</v>
      </c>
      <c r="G800" s="3">
        <v>2013</v>
      </c>
      <c r="H800" t="str">
        <f>"INV 1300"</f>
        <v>INV 1300</v>
      </c>
    </row>
    <row r="801" spans="1:8" x14ac:dyDescent="0.25">
      <c r="E801" t="str">
        <f>"1301"</f>
        <v>1301</v>
      </c>
      <c r="F801" t="str">
        <f>"INV 1301 / UNIT 7279"</f>
        <v>INV 1301 / UNIT 7279</v>
      </c>
      <c r="G801" s="3">
        <v>300</v>
      </c>
      <c r="H801" t="str">
        <f>"INV 1301 / UNIT 7279"</f>
        <v>INV 1301 / UNIT 7279</v>
      </c>
    </row>
    <row r="802" spans="1:8" x14ac:dyDescent="0.25">
      <c r="A802" t="s">
        <v>214</v>
      </c>
      <c r="B802">
        <v>133975</v>
      </c>
      <c r="C802" s="3">
        <v>17.5</v>
      </c>
      <c r="D802" s="5">
        <v>44179</v>
      </c>
      <c r="E802" t="s">
        <v>183</v>
      </c>
      <c r="F802" s="3" t="str">
        <f>"RESTITUTION - M. MANZANARES"</f>
        <v>RESTITUTION - M. MANZANARES</v>
      </c>
      <c r="G802" s="3">
        <v>17.5</v>
      </c>
      <c r="H802" s="3" t="str">
        <f>"RESTITUTION - M. MANZANARES"</f>
        <v>RESTITUTION - M. MANZANARES</v>
      </c>
    </row>
    <row r="803" spans="1:8" x14ac:dyDescent="0.25">
      <c r="A803" t="s">
        <v>215</v>
      </c>
      <c r="B803">
        <v>133976</v>
      </c>
      <c r="C803" s="3">
        <v>50</v>
      </c>
      <c r="D803" s="5">
        <v>44179</v>
      </c>
      <c r="E803" t="s">
        <v>216</v>
      </c>
      <c r="F803" s="3" t="str">
        <f>"RESTITUTION - J. HOFFMAN"</f>
        <v>RESTITUTION - J. HOFFMAN</v>
      </c>
      <c r="G803" s="3">
        <v>50</v>
      </c>
      <c r="H803" s="3" t="str">
        <f>"RESTITUTION - J. HOFFMAN"</f>
        <v>RESTITUTION - J. HOFFMAN</v>
      </c>
    </row>
    <row r="804" spans="1:8" x14ac:dyDescent="0.25">
      <c r="A804" t="s">
        <v>217</v>
      </c>
      <c r="B804">
        <v>133977</v>
      </c>
      <c r="C804" s="3">
        <v>214.85</v>
      </c>
      <c r="D804" s="5">
        <v>44179</v>
      </c>
      <c r="E804" t="str">
        <f>"202012010369"</f>
        <v>202012010369</v>
      </c>
      <c r="F804" t="str">
        <f>"REIMBURSE MILEAGE"</f>
        <v>REIMBURSE MILEAGE</v>
      </c>
      <c r="G804" s="3">
        <v>58.65</v>
      </c>
      <c r="H804" t="str">
        <f>"REIMBURSE MILEAGE"</f>
        <v>REIMBURSE MILEAGE</v>
      </c>
    </row>
    <row r="805" spans="1:8" x14ac:dyDescent="0.25">
      <c r="E805" t="str">
        <f>"202012010370"</f>
        <v>202012010370</v>
      </c>
      <c r="F805" t="str">
        <f>"REIMBURSE FEES FOR IDENTOGO"</f>
        <v>REIMBURSE FEES FOR IDENTOGO</v>
      </c>
      <c r="G805" s="3">
        <v>156.19999999999999</v>
      </c>
      <c r="H805" t="str">
        <f>"REIMBURSE FEES FOR IDENTOGO"</f>
        <v>REIMBURSE FEES FOR IDENTOGO</v>
      </c>
    </row>
    <row r="806" spans="1:8" x14ac:dyDescent="0.25">
      <c r="A806" t="s">
        <v>218</v>
      </c>
      <c r="B806">
        <v>133978</v>
      </c>
      <c r="C806" s="3">
        <v>2386.8000000000002</v>
      </c>
      <c r="D806" s="5">
        <v>44179</v>
      </c>
      <c r="E806" t="str">
        <f>"379-136330"</f>
        <v>379-136330</v>
      </c>
      <c r="F806" t="str">
        <f>"ACCT#1650 PCT1"</f>
        <v>ACCT#1650 PCT1</v>
      </c>
      <c r="G806" s="3">
        <v>765.41</v>
      </c>
      <c r="H806" t="str">
        <f>"ACCT#1650 PCT1"</f>
        <v>ACCT#1650 PCT1</v>
      </c>
    </row>
    <row r="807" spans="1:8" x14ac:dyDescent="0.25">
      <c r="E807" t="str">
        <f>"379-136454"</f>
        <v>379-136454</v>
      </c>
      <c r="F807" t="str">
        <f>"ACCT#1590 ANIMAL CONTROL"</f>
        <v>ACCT#1590 ANIMAL CONTROL</v>
      </c>
      <c r="G807" s="3">
        <v>317.77</v>
      </c>
      <c r="H807" t="str">
        <f>"ACCT#1590 ANIMAL CONTROL"</f>
        <v>ACCT#1590 ANIMAL CONTROL</v>
      </c>
    </row>
    <row r="808" spans="1:8" x14ac:dyDescent="0.25">
      <c r="E808" t="str">
        <f>"379-136466"</f>
        <v>379-136466</v>
      </c>
      <c r="F808" t="str">
        <f>"ACCT #1750 PCT3"</f>
        <v>ACCT #1750 PCT3</v>
      </c>
      <c r="G808" s="3">
        <v>1108.7</v>
      </c>
      <c r="H808" t="str">
        <f>"ACCT #1750 PCT3"</f>
        <v>ACCT #1750 PCT3</v>
      </c>
    </row>
    <row r="809" spans="1:8" x14ac:dyDescent="0.25">
      <c r="E809" t="str">
        <f>"379-136600"</f>
        <v>379-136600</v>
      </c>
      <c r="F809" t="str">
        <f>"ACCT#1645 WILDFIRE MITIGATION"</f>
        <v>ACCT#1645 WILDFIRE MITIGATION</v>
      </c>
      <c r="G809" s="3">
        <v>194.92</v>
      </c>
      <c r="H809" t="str">
        <f>"ACCT#1645 WILDFIRE MITIGATION"</f>
        <v>ACCT#1645 WILDFIRE MITIGATION</v>
      </c>
    </row>
    <row r="810" spans="1:8" x14ac:dyDescent="0.25">
      <c r="A810" t="s">
        <v>219</v>
      </c>
      <c r="B810">
        <v>133979</v>
      </c>
      <c r="C810" s="3">
        <v>689</v>
      </c>
      <c r="D810" s="5">
        <v>44179</v>
      </c>
      <c r="E810" t="str">
        <f>"202012010486"</f>
        <v>202012010486</v>
      </c>
      <c r="F810" t="str">
        <f>"TIRE SVC/PCT#4"</f>
        <v>TIRE SVC/PCT#4</v>
      </c>
      <c r="G810" s="3">
        <v>689</v>
      </c>
      <c r="H810" t="str">
        <f>"TIRE SVC/PCT#4"</f>
        <v>TIRE SVC/PCT#4</v>
      </c>
    </row>
    <row r="811" spans="1:8" x14ac:dyDescent="0.25">
      <c r="A811" t="s">
        <v>220</v>
      </c>
      <c r="B811">
        <v>133980</v>
      </c>
      <c r="C811" s="3">
        <v>225</v>
      </c>
      <c r="D811" s="5">
        <v>44179</v>
      </c>
      <c r="E811" t="str">
        <f>"20838"</f>
        <v>20838</v>
      </c>
      <c r="F811" t="str">
        <f>"INTERPRETATION 1SC-0018-20"</f>
        <v>INTERPRETATION 1SC-0018-20</v>
      </c>
      <c r="G811" s="3">
        <v>225</v>
      </c>
      <c r="H811" t="str">
        <f>"INTERPRETATION 1SC-0018-20"</f>
        <v>INTERPRETATION 1SC-0018-20</v>
      </c>
    </row>
    <row r="812" spans="1:8" x14ac:dyDescent="0.25">
      <c r="A812" t="s">
        <v>221</v>
      </c>
      <c r="B812">
        <v>133981</v>
      </c>
      <c r="C812" s="3">
        <v>454.5</v>
      </c>
      <c r="D812" s="5">
        <v>44179</v>
      </c>
      <c r="E812" t="str">
        <f>"1361725-20201130"</f>
        <v>1361725-20201130</v>
      </c>
      <c r="F812" t="str">
        <f>"BILL ID:1361725/INDIGENT HLTH"</f>
        <v>BILL ID:1361725/INDIGENT HLTH</v>
      </c>
      <c r="G812" s="3">
        <v>150</v>
      </c>
      <c r="H812" t="str">
        <f>"BILL ID:1361725/INDIGENT HLTH"</f>
        <v>BILL ID:1361725/INDIGENT HLTH</v>
      </c>
    </row>
    <row r="813" spans="1:8" x14ac:dyDescent="0.25">
      <c r="E813" t="str">
        <f>"1420944-20201130"</f>
        <v>1420944-20201130</v>
      </c>
      <c r="F813" t="str">
        <f>"BILL ID:1420944/SHERIFF'S OFF"</f>
        <v>BILL ID:1420944/SHERIFF'S OFF</v>
      </c>
      <c r="G813" s="3">
        <v>254.5</v>
      </c>
      <c r="H813" t="str">
        <f>"BILL ID:1420944/SHERIFF'S OFF"</f>
        <v>BILL ID:1420944/SHERIFF'S OFF</v>
      </c>
    </row>
    <row r="814" spans="1:8" x14ac:dyDescent="0.25">
      <c r="E814" t="str">
        <f>"1489870-20201130"</f>
        <v>1489870-20201130</v>
      </c>
      <c r="F814" t="str">
        <f>"BILLING ID 148970 DIST CLERK"</f>
        <v>BILLING ID 148970 DIST CLERK</v>
      </c>
      <c r="G814" s="3">
        <v>50</v>
      </c>
      <c r="H814" t="str">
        <f>"BILLING ID 148970 DIST CLERK"</f>
        <v>BILLING ID 148970 DIST CLERK</v>
      </c>
    </row>
    <row r="815" spans="1:8" x14ac:dyDescent="0.25">
      <c r="A815" t="s">
        <v>222</v>
      </c>
      <c r="B815">
        <v>133982</v>
      </c>
      <c r="C815" s="3">
        <v>2022.83</v>
      </c>
      <c r="D815" s="5">
        <v>44179</v>
      </c>
      <c r="E815" t="str">
        <f>"1941299"</f>
        <v>1941299</v>
      </c>
      <c r="F815" t="str">
        <f>"ACCT#15717/601 COOL WATER/708"</f>
        <v>ACCT#15717/601 COOL WATER/708</v>
      </c>
      <c r="G815" s="3">
        <v>2022.83</v>
      </c>
      <c r="H815" t="str">
        <f>"ACCT#15717/601 COOL WATER/708"</f>
        <v>ACCT#15717/601 COOL WATER/708</v>
      </c>
    </row>
    <row r="816" spans="1:8" x14ac:dyDescent="0.25">
      <c r="A816" t="s">
        <v>223</v>
      </c>
      <c r="B816">
        <v>133983</v>
      </c>
      <c r="C816" s="3">
        <v>109.74</v>
      </c>
      <c r="D816" s="5">
        <v>44179</v>
      </c>
      <c r="E816" t="str">
        <f>"4738*104*1"</f>
        <v>4738*104*1</v>
      </c>
      <c r="F816" t="str">
        <f>"JAIL MEDICAL"</f>
        <v>JAIL MEDICAL</v>
      </c>
      <c r="G816" s="3">
        <v>109.74</v>
      </c>
      <c r="H816" t="str">
        <f>"JAIL MEDICAL"</f>
        <v>JAIL MEDICAL</v>
      </c>
    </row>
    <row r="817" spans="1:8" x14ac:dyDescent="0.25">
      <c r="A817" t="s">
        <v>224</v>
      </c>
      <c r="B817">
        <v>133984</v>
      </c>
      <c r="C817" s="3">
        <v>2812</v>
      </c>
      <c r="D817" s="5">
        <v>44179</v>
      </c>
      <c r="E817" t="str">
        <f>"1890"</f>
        <v>1890</v>
      </c>
      <c r="F817" t="str">
        <f>"WATER EXTRACTION COURTHOUSE"</f>
        <v>WATER EXTRACTION COURTHOUSE</v>
      </c>
      <c r="G817" s="3">
        <v>1010</v>
      </c>
      <c r="H817" t="str">
        <f>"WATER EXTRACTION COURTHOUSE"</f>
        <v>WATER EXTRACTION COURTHOUSE</v>
      </c>
    </row>
    <row r="818" spans="1:8" x14ac:dyDescent="0.25">
      <c r="E818" t="str">
        <f>"1902"</f>
        <v>1902</v>
      </c>
      <c r="F818" t="str">
        <f>"CARPET CLEANING COURTHOUSE"</f>
        <v>CARPET CLEANING COURTHOUSE</v>
      </c>
      <c r="G818" s="3">
        <v>1802</v>
      </c>
      <c r="H818" t="str">
        <f>"CARPET CLEANING COURTHOUSE"</f>
        <v>CARPET CLEANING COURTHOUSE</v>
      </c>
    </row>
    <row r="819" spans="1:8" x14ac:dyDescent="0.25">
      <c r="A819" t="s">
        <v>225</v>
      </c>
      <c r="B819">
        <v>133985</v>
      </c>
      <c r="C819" s="3">
        <v>50</v>
      </c>
      <c r="D819" s="5">
        <v>44179</v>
      </c>
      <c r="E819" t="s">
        <v>201</v>
      </c>
      <c r="F819" s="3" t="str">
        <f>"RESTITUTION-L. SADECKY"</f>
        <v>RESTITUTION-L. SADECKY</v>
      </c>
      <c r="G819" s="3">
        <v>50</v>
      </c>
      <c r="H819" s="3" t="str">
        <f>"RESTITUTION-L. SADECKY"</f>
        <v>RESTITUTION-L. SADECKY</v>
      </c>
    </row>
    <row r="820" spans="1:8" x14ac:dyDescent="0.25">
      <c r="A820" t="s">
        <v>226</v>
      </c>
      <c r="B820">
        <v>133986</v>
      </c>
      <c r="C820" s="3">
        <v>175.72</v>
      </c>
      <c r="D820" s="5">
        <v>44179</v>
      </c>
      <c r="E820" t="str">
        <f>"001911813"</f>
        <v>001911813</v>
      </c>
      <c r="F820" t="str">
        <f>"INV001911813"</f>
        <v>INV001911813</v>
      </c>
      <c r="G820" s="3">
        <v>175.72</v>
      </c>
      <c r="H820" t="str">
        <f>"INV001911813"</f>
        <v>INV001911813</v>
      </c>
    </row>
    <row r="821" spans="1:8" x14ac:dyDescent="0.25">
      <c r="A821" t="s">
        <v>22</v>
      </c>
      <c r="B821">
        <v>133987</v>
      </c>
      <c r="C821" s="3">
        <v>264.45999999999998</v>
      </c>
      <c r="D821" s="5">
        <v>44179</v>
      </c>
      <c r="E821" t="str">
        <f>"22685108"</f>
        <v>22685108</v>
      </c>
      <c r="F821" t="str">
        <f>"ACCT#41472/PCT#1"</f>
        <v>ACCT#41472/PCT#1</v>
      </c>
      <c r="G821" s="3">
        <v>29.73</v>
      </c>
      <c r="H821" t="str">
        <f>"ACCT#41472/PCT#1"</f>
        <v>ACCT#41472/PCT#1</v>
      </c>
    </row>
    <row r="822" spans="1:8" x14ac:dyDescent="0.25">
      <c r="E822" t="str">
        <f>"22685181"</f>
        <v>22685181</v>
      </c>
      <c r="F822" t="str">
        <f>"ACCT#45057/PCT#4"</f>
        <v>ACCT#45057/PCT#4</v>
      </c>
      <c r="G822" s="3">
        <v>54.73</v>
      </c>
      <c r="H822" t="str">
        <f>"ACCT#45057/PCT#1"</f>
        <v>ACCT#45057/PCT#1</v>
      </c>
    </row>
    <row r="823" spans="1:8" x14ac:dyDescent="0.25">
      <c r="E823" t="str">
        <f>"22692490"</f>
        <v>22692490</v>
      </c>
      <c r="F823" t="str">
        <f>"ACCT#S9549/PCT#1"</f>
        <v>ACCT#S9549/PCT#1</v>
      </c>
      <c r="G823" s="3">
        <v>180</v>
      </c>
      <c r="H823" t="str">
        <f>"ACCT#S9549/PCT#1"</f>
        <v>ACCT#S9549/PCT#1</v>
      </c>
    </row>
    <row r="824" spans="1:8" x14ac:dyDescent="0.25">
      <c r="A824" t="s">
        <v>227</v>
      </c>
      <c r="B824">
        <v>133988</v>
      </c>
      <c r="C824" s="3">
        <v>1680</v>
      </c>
      <c r="D824" s="5">
        <v>44179</v>
      </c>
      <c r="E824" t="str">
        <f>"202012030533"</f>
        <v>202012030533</v>
      </c>
      <c r="F824" t="str">
        <f>"1443-21"</f>
        <v>1443-21</v>
      </c>
      <c r="G824" s="3">
        <v>1680</v>
      </c>
      <c r="H824" t="str">
        <f>"1443-21"</f>
        <v>1443-21</v>
      </c>
    </row>
    <row r="825" spans="1:8" x14ac:dyDescent="0.25">
      <c r="A825" t="s">
        <v>228</v>
      </c>
      <c r="B825">
        <v>133989</v>
      </c>
      <c r="C825" s="3">
        <v>14929.9</v>
      </c>
      <c r="D825" s="5">
        <v>44179</v>
      </c>
      <c r="E825" t="s">
        <v>229</v>
      </c>
      <c r="F825" s="3" t="str">
        <f>"SERVICE"</f>
        <v>SERVICE</v>
      </c>
      <c r="G825" s="3">
        <v>50</v>
      </c>
      <c r="H825" s="3" t="str">
        <f>"SERVICE"</f>
        <v>SERVICE</v>
      </c>
    </row>
    <row r="826" spans="1:8" x14ac:dyDescent="0.25">
      <c r="E826" t="str">
        <f>"13413"</f>
        <v>13413</v>
      </c>
      <c r="F826" t="str">
        <f>"ABST FEE"</f>
        <v>ABST FEE</v>
      </c>
      <c r="G826" s="3">
        <v>225</v>
      </c>
      <c r="H826" t="str">
        <f>"ABST FEE"</f>
        <v>ABST FEE</v>
      </c>
    </row>
    <row r="827" spans="1:8" x14ac:dyDescent="0.25">
      <c r="E827" t="str">
        <f>"13419"</f>
        <v>13419</v>
      </c>
      <c r="F827" t="str">
        <f>"ABST FEE"</f>
        <v>ABST FEE</v>
      </c>
      <c r="G827" s="3">
        <v>225</v>
      </c>
      <c r="H827" t="str">
        <f>"ABST FEE"</f>
        <v>ABST FEE</v>
      </c>
    </row>
    <row r="828" spans="1:8" x14ac:dyDescent="0.25">
      <c r="E828" t="str">
        <f>"13566"</f>
        <v>13566</v>
      </c>
      <c r="F828" t="str">
        <f>"ABST FEE"</f>
        <v>ABST FEE</v>
      </c>
      <c r="G828" s="3">
        <v>225</v>
      </c>
      <c r="H828" t="str">
        <f>"ABST FEE"</f>
        <v>ABST FEE</v>
      </c>
    </row>
    <row r="829" spans="1:8" x14ac:dyDescent="0.25">
      <c r="E829" t="str">
        <f>"202012030542"</f>
        <v>202012030542</v>
      </c>
      <c r="F829" t="str">
        <f>"DELINQUENT TAX COLL-NOV 2020"</f>
        <v>DELINQUENT TAX COLL-NOV 2020</v>
      </c>
      <c r="G829" s="3">
        <v>14204.9</v>
      </c>
      <c r="H829" t="str">
        <f>"DELINQUENT TAX COLL-NOV 2020"</f>
        <v>DELINQUENT TAX COLL-NOV 2020</v>
      </c>
    </row>
    <row r="830" spans="1:8" x14ac:dyDescent="0.25">
      <c r="A830" t="s">
        <v>230</v>
      </c>
      <c r="B830">
        <v>133990</v>
      </c>
      <c r="C830" s="3">
        <v>75</v>
      </c>
      <c r="D830" s="5">
        <v>44179</v>
      </c>
      <c r="E830" t="s">
        <v>231</v>
      </c>
      <c r="F830" s="3" t="str">
        <f>"RESTITUTION - OMAR CABALLERO"</f>
        <v>RESTITUTION - OMAR CABALLERO</v>
      </c>
      <c r="G830" s="3">
        <v>75</v>
      </c>
      <c r="H830" s="3" t="str">
        <f>"RESTITUTION - OMAR CABALLERO"</f>
        <v>RESTITUTION - OMAR CABALLERO</v>
      </c>
    </row>
    <row r="831" spans="1:8" x14ac:dyDescent="0.25">
      <c r="A831" t="s">
        <v>232</v>
      </c>
      <c r="B831">
        <v>133991</v>
      </c>
      <c r="C831" s="3">
        <v>80917.259999999995</v>
      </c>
      <c r="D831" s="5">
        <v>44179</v>
      </c>
      <c r="E831" t="str">
        <f>"202012030504"</f>
        <v>202012030504</v>
      </c>
      <c r="F831" t="str">
        <f>"MOTOROLA SOLUTIONS  IN.C"</f>
        <v>MOTOROLA SOLUTIONS  IN.C</v>
      </c>
      <c r="G831" s="3">
        <v>291.75</v>
      </c>
      <c r="H831" t="str">
        <f>"Tactical Interface"</f>
        <v>Tactical Interface</v>
      </c>
    </row>
    <row r="832" spans="1:8" x14ac:dyDescent="0.25">
      <c r="E832" t="str">
        <f>"202012030562"</f>
        <v>202012030562</v>
      </c>
      <c r="F832" t="str">
        <f>"Radios for PCT 4"</f>
        <v>Radios for PCT 4</v>
      </c>
      <c r="G832" s="3">
        <v>59418.2</v>
      </c>
      <c r="H832" t="str">
        <f>"M22URS9W1 N"</f>
        <v>M22URS9W1 N</v>
      </c>
    </row>
    <row r="833" spans="5:8" x14ac:dyDescent="0.25">
      <c r="E833" t="str">
        <f>""</f>
        <v/>
      </c>
      <c r="F833" t="str">
        <f>""</f>
        <v/>
      </c>
      <c r="H833" t="str">
        <f>"QA02756"</f>
        <v>QA02756</v>
      </c>
    </row>
    <row r="834" spans="5:8" x14ac:dyDescent="0.25">
      <c r="E834" t="str">
        <f>""</f>
        <v/>
      </c>
      <c r="F834" t="str">
        <f>""</f>
        <v/>
      </c>
      <c r="H834" t="str">
        <f>"QA01648"</f>
        <v>QA01648</v>
      </c>
    </row>
    <row r="835" spans="5:8" x14ac:dyDescent="0.25">
      <c r="E835" t="str">
        <f>""</f>
        <v/>
      </c>
      <c r="F835" t="str">
        <f>""</f>
        <v/>
      </c>
      <c r="H835" t="str">
        <f>"GA00804"</f>
        <v>GA00804</v>
      </c>
    </row>
    <row r="836" spans="5:8" x14ac:dyDescent="0.25">
      <c r="E836" t="str">
        <f>""</f>
        <v/>
      </c>
      <c r="F836" t="str">
        <f>""</f>
        <v/>
      </c>
      <c r="H836" t="str">
        <f>"G66"</f>
        <v>G66</v>
      </c>
    </row>
    <row r="837" spans="5:8" x14ac:dyDescent="0.25">
      <c r="E837" t="str">
        <f>""</f>
        <v/>
      </c>
      <c r="F837" t="str">
        <f>""</f>
        <v/>
      </c>
      <c r="H837" t="str">
        <f>"G174"</f>
        <v>G174</v>
      </c>
    </row>
    <row r="838" spans="5:8" x14ac:dyDescent="0.25">
      <c r="E838" t="str">
        <f>""</f>
        <v/>
      </c>
      <c r="F838" t="str">
        <f>""</f>
        <v/>
      </c>
      <c r="H838" t="str">
        <f>"W22"</f>
        <v>W22</v>
      </c>
    </row>
    <row r="839" spans="5:8" x14ac:dyDescent="0.25">
      <c r="E839" t="str">
        <f>""</f>
        <v/>
      </c>
      <c r="F839" t="str">
        <f>""</f>
        <v/>
      </c>
      <c r="H839" t="str">
        <f>"B18"</f>
        <v>B18</v>
      </c>
    </row>
    <row r="840" spans="5:8" x14ac:dyDescent="0.25">
      <c r="E840" t="str">
        <f>""</f>
        <v/>
      </c>
      <c r="F840" t="str">
        <f>""</f>
        <v/>
      </c>
      <c r="H840" t="str">
        <f>"GA00318"</f>
        <v>GA00318</v>
      </c>
    </row>
    <row r="841" spans="5:8" x14ac:dyDescent="0.25">
      <c r="E841" t="str">
        <f>""</f>
        <v/>
      </c>
      <c r="F841" t="str">
        <f>""</f>
        <v/>
      </c>
      <c r="H841" t="str">
        <f>"GA01767"</f>
        <v>GA01767</v>
      </c>
    </row>
    <row r="842" spans="5:8" x14ac:dyDescent="0.25">
      <c r="E842" t="str">
        <f>""</f>
        <v/>
      </c>
      <c r="F842" t="str">
        <f>""</f>
        <v/>
      </c>
      <c r="H842" t="str">
        <f>"W969"</f>
        <v>W969</v>
      </c>
    </row>
    <row r="843" spans="5:8" x14ac:dyDescent="0.25">
      <c r="E843" t="str">
        <f>""</f>
        <v/>
      </c>
      <c r="F843" t="str">
        <f>""</f>
        <v/>
      </c>
      <c r="H843" t="str">
        <f>"CREDIT"</f>
        <v>CREDIT</v>
      </c>
    </row>
    <row r="844" spans="5:8" x14ac:dyDescent="0.25">
      <c r="E844" t="str">
        <f>""</f>
        <v/>
      </c>
      <c r="F844" t="str">
        <f>""</f>
        <v/>
      </c>
      <c r="H844" t="str">
        <f>"PROMO"</f>
        <v>PROMO</v>
      </c>
    </row>
    <row r="845" spans="5:8" x14ac:dyDescent="0.25">
      <c r="E845" t="str">
        <f>""</f>
        <v/>
      </c>
      <c r="F845" t="str">
        <f>""</f>
        <v/>
      </c>
      <c r="H845" t="str">
        <f>"GA09008"</f>
        <v>GA09008</v>
      </c>
    </row>
    <row r="846" spans="5:8" x14ac:dyDescent="0.25">
      <c r="E846" t="str">
        <f>""</f>
        <v/>
      </c>
      <c r="F846" t="str">
        <f>""</f>
        <v/>
      </c>
      <c r="H846" t="str">
        <f>"H51UCF9W7 N"</f>
        <v>H51UCF9W7 N</v>
      </c>
    </row>
    <row r="847" spans="5:8" x14ac:dyDescent="0.25">
      <c r="E847" t="str">
        <f>""</f>
        <v/>
      </c>
      <c r="F847" t="str">
        <f>""</f>
        <v/>
      </c>
      <c r="H847" t="str">
        <f>"QA02756"</f>
        <v>QA02756</v>
      </c>
    </row>
    <row r="848" spans="5:8" x14ac:dyDescent="0.25">
      <c r="E848" t="str">
        <f>""</f>
        <v/>
      </c>
      <c r="F848" t="str">
        <f>""</f>
        <v/>
      </c>
      <c r="H848" t="str">
        <f>"QA01648"</f>
        <v>QA01648</v>
      </c>
    </row>
    <row r="849" spans="1:8" x14ac:dyDescent="0.25">
      <c r="E849" t="str">
        <f>""</f>
        <v/>
      </c>
      <c r="F849" t="str">
        <f>""</f>
        <v/>
      </c>
      <c r="H849" t="str">
        <f>"QA01767"</f>
        <v>QA01767</v>
      </c>
    </row>
    <row r="850" spans="1:8" x14ac:dyDescent="0.25">
      <c r="E850" t="str">
        <f>""</f>
        <v/>
      </c>
      <c r="F850" t="str">
        <f>""</f>
        <v/>
      </c>
      <c r="H850" t="str">
        <f>"QA01833"</f>
        <v>QA01833</v>
      </c>
    </row>
    <row r="851" spans="1:8" x14ac:dyDescent="0.25">
      <c r="E851" t="str">
        <f>""</f>
        <v/>
      </c>
      <c r="F851" t="str">
        <f>""</f>
        <v/>
      </c>
      <c r="H851" t="str">
        <f>"QA09008"</f>
        <v>QA09008</v>
      </c>
    </row>
    <row r="852" spans="1:8" x14ac:dyDescent="0.25">
      <c r="E852" t="str">
        <f>""</f>
        <v/>
      </c>
      <c r="F852" t="str">
        <f>""</f>
        <v/>
      </c>
      <c r="H852" t="str">
        <f>"QA00582"</f>
        <v>QA00582</v>
      </c>
    </row>
    <row r="853" spans="1:8" x14ac:dyDescent="0.25">
      <c r="E853" t="str">
        <f>""</f>
        <v/>
      </c>
      <c r="F853" t="str">
        <f>""</f>
        <v/>
      </c>
      <c r="H853" t="str">
        <f>"Q887"</f>
        <v>Q887</v>
      </c>
    </row>
    <row r="854" spans="1:8" x14ac:dyDescent="0.25">
      <c r="E854" t="str">
        <f>""</f>
        <v/>
      </c>
      <c r="F854" t="str">
        <f>""</f>
        <v/>
      </c>
      <c r="H854" t="str">
        <f>"T7914"</f>
        <v>T7914</v>
      </c>
    </row>
    <row r="855" spans="1:8" x14ac:dyDescent="0.25">
      <c r="E855" t="str">
        <f>""</f>
        <v/>
      </c>
      <c r="F855" t="str">
        <f>""</f>
        <v/>
      </c>
      <c r="H855" t="str">
        <f>"PMMN4062A"</f>
        <v>PMMN4062A</v>
      </c>
    </row>
    <row r="856" spans="1:8" x14ac:dyDescent="0.25">
      <c r="E856" t="str">
        <f>""</f>
        <v/>
      </c>
      <c r="F856" t="str">
        <f>""</f>
        <v/>
      </c>
      <c r="H856" t="str">
        <f>"NNTN8560A"</f>
        <v>NNTN8560A</v>
      </c>
    </row>
    <row r="857" spans="1:8" x14ac:dyDescent="0.25">
      <c r="E857" t="str">
        <f>""</f>
        <v/>
      </c>
      <c r="F857" t="str">
        <f>""</f>
        <v/>
      </c>
      <c r="H857" t="str">
        <f>"PMPN4174"</f>
        <v>PMPN4174</v>
      </c>
    </row>
    <row r="858" spans="1:8" x14ac:dyDescent="0.25">
      <c r="E858" t="str">
        <f>""</f>
        <v/>
      </c>
      <c r="F858" t="str">
        <f>""</f>
        <v/>
      </c>
      <c r="H858" t="str">
        <f>"PMPN4284A"</f>
        <v>PMPN4284A</v>
      </c>
    </row>
    <row r="859" spans="1:8" x14ac:dyDescent="0.25">
      <c r="E859" t="str">
        <f>""</f>
        <v/>
      </c>
      <c r="F859" t="str">
        <f>""</f>
        <v/>
      </c>
      <c r="H859" t="str">
        <f>"PROMO"</f>
        <v>PROMO</v>
      </c>
    </row>
    <row r="860" spans="1:8" x14ac:dyDescent="0.25">
      <c r="E860" t="str">
        <f>"8230302374"</f>
        <v>8230302374</v>
      </c>
      <c r="F860" t="str">
        <f>"ACCT#1036215277/JANUARY"</f>
        <v>ACCT#1036215277/JANUARY</v>
      </c>
      <c r="G860" s="3">
        <v>20769.310000000001</v>
      </c>
      <c r="H860" t="str">
        <f>"ACCT#1036215277/JANUARY"</f>
        <v>ACCT#1036215277/JANUARY</v>
      </c>
    </row>
    <row r="861" spans="1:8" x14ac:dyDescent="0.25">
      <c r="E861" t="str">
        <f>"8281055790"</f>
        <v>8281055790</v>
      </c>
      <c r="F861" t="str">
        <f>"MOTOROLA SOLUTIONS  IN.C"</f>
        <v>MOTOROLA SOLUTIONS  IN.C</v>
      </c>
      <c r="G861" s="3">
        <v>438</v>
      </c>
      <c r="H861" t="str">
        <f>"Battery Pack"</f>
        <v>Battery Pack</v>
      </c>
    </row>
    <row r="862" spans="1:8" x14ac:dyDescent="0.25">
      <c r="A862" t="s">
        <v>233</v>
      </c>
      <c r="B862">
        <v>133992</v>
      </c>
      <c r="C862" s="3">
        <v>85</v>
      </c>
      <c r="D862" s="5">
        <v>44179</v>
      </c>
      <c r="E862" t="str">
        <f>"202012080652"</f>
        <v>202012080652</v>
      </c>
      <c r="F862" t="str">
        <f>"RENEWAL STEVEN LONG"</f>
        <v>RENEWAL STEVEN LONG</v>
      </c>
      <c r="G862" s="3">
        <v>85</v>
      </c>
      <c r="H862" t="str">
        <f>"RENEWAL STEVEN LONG"</f>
        <v>RENEWAL STEVEN LONG</v>
      </c>
    </row>
    <row r="863" spans="1:8" x14ac:dyDescent="0.25">
      <c r="A863" t="s">
        <v>234</v>
      </c>
      <c r="B863">
        <v>133993</v>
      </c>
      <c r="C863" s="3">
        <v>957.12</v>
      </c>
      <c r="D863" s="5">
        <v>44179</v>
      </c>
      <c r="E863" t="str">
        <f>"86946284"</f>
        <v>86946284</v>
      </c>
      <c r="F863" t="str">
        <f>"AGRMENT#9265402/BILL#150344157"</f>
        <v>AGRMENT#9265402/BILL#150344157</v>
      </c>
      <c r="G863" s="3">
        <v>957.12</v>
      </c>
      <c r="H863" t="str">
        <f>"AGRMENT#9265402/BILL#150344157"</f>
        <v>AGRMENT#9265402/BILL#150344157</v>
      </c>
    </row>
    <row r="864" spans="1:8" x14ac:dyDescent="0.25">
      <c r="A864" t="s">
        <v>235</v>
      </c>
      <c r="B864">
        <v>133994</v>
      </c>
      <c r="C864" s="3">
        <v>2532.5</v>
      </c>
      <c r="D864" s="5">
        <v>44179</v>
      </c>
      <c r="E864" t="str">
        <f>"1111-5-20-2"</f>
        <v>1111-5-20-2</v>
      </c>
      <c r="F864" t="str">
        <f>"JOB 1111-5-20-2"</f>
        <v>JOB 1111-5-20-2</v>
      </c>
      <c r="G864" s="3">
        <v>722.5</v>
      </c>
      <c r="H864" t="str">
        <f>"JOB 1111-5-20-2"</f>
        <v>JOB 1111-5-20-2</v>
      </c>
    </row>
    <row r="865" spans="1:8" x14ac:dyDescent="0.25">
      <c r="E865" t="str">
        <f>"202012080668"</f>
        <v>202012080668</v>
      </c>
      <c r="F865" t="str">
        <f>"JOB 11-05-20-2"</f>
        <v>JOB 11-05-20-2</v>
      </c>
      <c r="G865" s="3">
        <v>680</v>
      </c>
      <c r="H865" t="str">
        <f>"JOB 11-05-20-2"</f>
        <v>JOB 11-05-20-2</v>
      </c>
    </row>
    <row r="866" spans="1:8" x14ac:dyDescent="0.25">
      <c r="E866" t="str">
        <f>"202012080669"</f>
        <v>202012080669</v>
      </c>
      <c r="F866" t="str">
        <f>"JOB 11-3-20-1"</f>
        <v>JOB 11-3-20-1</v>
      </c>
      <c r="G866" s="3">
        <v>510</v>
      </c>
      <c r="H866" t="str">
        <f>"JOB 11-3-20-1"</f>
        <v>JOB 11-3-20-1</v>
      </c>
    </row>
    <row r="867" spans="1:8" x14ac:dyDescent="0.25">
      <c r="E867" t="str">
        <f>"202012080670"</f>
        <v>202012080670</v>
      </c>
      <c r="F867" t="str">
        <f>"JOB 10-30-20-2"</f>
        <v>JOB 10-30-20-2</v>
      </c>
      <c r="G867" s="3">
        <v>325</v>
      </c>
      <c r="H867" t="str">
        <f>"JOB 10-30-20-2"</f>
        <v>JOB 10-30-20-2</v>
      </c>
    </row>
    <row r="868" spans="1:8" x14ac:dyDescent="0.25">
      <c r="E868" t="str">
        <f>"202012080671"</f>
        <v>202012080671</v>
      </c>
      <c r="F868" t="str">
        <f>"JOB 10-30-20-1"</f>
        <v>JOB 10-30-20-1</v>
      </c>
      <c r="G868" s="3">
        <v>295</v>
      </c>
      <c r="H868" t="str">
        <f>"JOB 10-30-20-1"</f>
        <v>JOB 10-30-20-1</v>
      </c>
    </row>
    <row r="869" spans="1:8" x14ac:dyDescent="0.25">
      <c r="A869" t="s">
        <v>236</v>
      </c>
      <c r="B869">
        <v>133995</v>
      </c>
      <c r="C869" s="3">
        <v>8200</v>
      </c>
      <c r="D869" s="5">
        <v>44179</v>
      </c>
      <c r="E869" t="str">
        <f>"10109"</f>
        <v>10109</v>
      </c>
      <c r="F869" t="str">
        <f>"NEMO-Q"</f>
        <v>NEMO-Q</v>
      </c>
      <c r="G869" s="3">
        <v>8200</v>
      </c>
      <c r="H869" t="str">
        <f>"Inv. 10109"</f>
        <v>Inv. 10109</v>
      </c>
    </row>
    <row r="870" spans="1:8" x14ac:dyDescent="0.25">
      <c r="A870" t="s">
        <v>237</v>
      </c>
      <c r="B870">
        <v>133996</v>
      </c>
      <c r="C870" s="3">
        <v>1594.6</v>
      </c>
      <c r="D870" s="5">
        <v>44179</v>
      </c>
      <c r="E870" t="str">
        <f>"33713S"</f>
        <v>33713S</v>
      </c>
      <c r="F870" t="str">
        <f>"ACCT#38859/PCT#1"</f>
        <v>ACCT#38859/PCT#1</v>
      </c>
      <c r="G870" s="3">
        <v>797.3</v>
      </c>
      <c r="H870" t="str">
        <f>"ACCT#38859/PCT#1"</f>
        <v>ACCT#38859/PCT#1</v>
      </c>
    </row>
    <row r="871" spans="1:8" x14ac:dyDescent="0.25">
      <c r="E871" t="str">
        <f>"33713S - P2"</f>
        <v>33713S - P2</v>
      </c>
      <c r="F871" t="str">
        <f>"ACCT#38859/PCT#2"</f>
        <v>ACCT#38859/PCT#2</v>
      </c>
      <c r="G871" s="3">
        <v>797.3</v>
      </c>
      <c r="H871" t="str">
        <f>"ACCT#38859/PCT#2"</f>
        <v>ACCT#38859/PCT#2</v>
      </c>
    </row>
    <row r="872" spans="1:8" x14ac:dyDescent="0.25">
      <c r="A872" t="s">
        <v>238</v>
      </c>
      <c r="B872">
        <v>133997</v>
      </c>
      <c r="C872" s="3">
        <v>759.29</v>
      </c>
      <c r="D872" s="5">
        <v>44179</v>
      </c>
      <c r="E872" t="str">
        <f>"16579152"</f>
        <v>16579152</v>
      </c>
      <c r="F872" t="str">
        <f>"Statement"</f>
        <v>Statement</v>
      </c>
      <c r="G872" s="3">
        <v>759.29</v>
      </c>
      <c r="H872" t="str">
        <f>"120258431001"</f>
        <v>120258431001</v>
      </c>
    </row>
    <row r="873" spans="1:8" x14ac:dyDescent="0.25">
      <c r="E873" t="str">
        <f>""</f>
        <v/>
      </c>
      <c r="F873" t="str">
        <f>""</f>
        <v/>
      </c>
      <c r="H873" t="str">
        <f>"137809610001"</f>
        <v>137809610001</v>
      </c>
    </row>
    <row r="874" spans="1:8" x14ac:dyDescent="0.25">
      <c r="E874" t="str">
        <f>""</f>
        <v/>
      </c>
      <c r="F874" t="str">
        <f>""</f>
        <v/>
      </c>
      <c r="H874" t="str">
        <f>"137809610001"</f>
        <v>137809610001</v>
      </c>
    </row>
    <row r="875" spans="1:8" x14ac:dyDescent="0.25">
      <c r="E875" t="str">
        <f>""</f>
        <v/>
      </c>
      <c r="F875" t="str">
        <f>""</f>
        <v/>
      </c>
      <c r="H875" t="str">
        <f>"135106698001"</f>
        <v>135106698001</v>
      </c>
    </row>
    <row r="876" spans="1:8" x14ac:dyDescent="0.25">
      <c r="E876" t="str">
        <f>""</f>
        <v/>
      </c>
      <c r="F876" t="str">
        <f>""</f>
        <v/>
      </c>
      <c r="H876" t="str">
        <f>"135106698002"</f>
        <v>135106698002</v>
      </c>
    </row>
    <row r="877" spans="1:8" x14ac:dyDescent="0.25">
      <c r="E877" t="str">
        <f>""</f>
        <v/>
      </c>
      <c r="F877" t="str">
        <f>""</f>
        <v/>
      </c>
      <c r="H877" t="str">
        <f>"135448751001"</f>
        <v>135448751001</v>
      </c>
    </row>
    <row r="878" spans="1:8" x14ac:dyDescent="0.25">
      <c r="E878" t="str">
        <f>""</f>
        <v/>
      </c>
      <c r="F878" t="str">
        <f>""</f>
        <v/>
      </c>
      <c r="H878" t="str">
        <f>"515443211001"</f>
        <v>515443211001</v>
      </c>
    </row>
    <row r="879" spans="1:8" x14ac:dyDescent="0.25">
      <c r="E879" t="str">
        <f>""</f>
        <v/>
      </c>
      <c r="F879" t="str">
        <f>""</f>
        <v/>
      </c>
      <c r="H879" t="str">
        <f>"515440638001"</f>
        <v>515440638001</v>
      </c>
    </row>
    <row r="880" spans="1:8" x14ac:dyDescent="0.25">
      <c r="A880" t="s">
        <v>239</v>
      </c>
      <c r="B880">
        <v>133998</v>
      </c>
      <c r="C880" s="3">
        <v>690</v>
      </c>
      <c r="D880" s="5">
        <v>44179</v>
      </c>
      <c r="E880" t="str">
        <f>"288096"</f>
        <v>288096</v>
      </c>
      <c r="F880" t="str">
        <f>"CUST ID:BASCOU/DRUG SCREEN"</f>
        <v>CUST ID:BASCOU/DRUG SCREEN</v>
      </c>
      <c r="G880" s="3">
        <v>155</v>
      </c>
      <c r="H880" t="str">
        <f>"CUST ID:BASCOU/DRUG SCREEN"</f>
        <v>CUST ID:BASCOU/DRUG SCREEN</v>
      </c>
    </row>
    <row r="881" spans="1:8" x14ac:dyDescent="0.25">
      <c r="E881" t="str">
        <f>""</f>
        <v/>
      </c>
      <c r="F881" t="str">
        <f>""</f>
        <v/>
      </c>
      <c r="H881" t="str">
        <f>"CUST ID:BASCOU/DRUG SCREEN"</f>
        <v>CUST ID:BASCOU/DRUG SCREEN</v>
      </c>
    </row>
    <row r="882" spans="1:8" x14ac:dyDescent="0.25">
      <c r="E882" t="str">
        <f>""</f>
        <v/>
      </c>
      <c r="F882" t="str">
        <f>""</f>
        <v/>
      </c>
      <c r="H882" t="str">
        <f>"CUST ID:BASCOU/DRUG SCREEN"</f>
        <v>CUST ID:BASCOU/DRUG SCREEN</v>
      </c>
    </row>
    <row r="883" spans="1:8" x14ac:dyDescent="0.25">
      <c r="E883" t="str">
        <f>"288231"</f>
        <v>288231</v>
      </c>
      <c r="F883" t="str">
        <f>"CUST ID BASCOU"</f>
        <v>CUST ID BASCOU</v>
      </c>
      <c r="G883" s="3">
        <v>535</v>
      </c>
      <c r="H883" t="str">
        <f>"CUST ID BASCOU"</f>
        <v>CUST ID BASCOU</v>
      </c>
    </row>
    <row r="884" spans="1:8" x14ac:dyDescent="0.25">
      <c r="E884" t="str">
        <f>""</f>
        <v/>
      </c>
      <c r="F884" t="str">
        <f>""</f>
        <v/>
      </c>
      <c r="H884" t="str">
        <f>"CUST ID BASCOU"</f>
        <v>CUST ID BASCOU</v>
      </c>
    </row>
    <row r="885" spans="1:8" x14ac:dyDescent="0.25">
      <c r="E885" t="str">
        <f>""</f>
        <v/>
      </c>
      <c r="F885" t="str">
        <f>""</f>
        <v/>
      </c>
      <c r="H885" t="str">
        <f>"CUST ID BASCOU"</f>
        <v>CUST ID BASCOU</v>
      </c>
    </row>
    <row r="886" spans="1:8" x14ac:dyDescent="0.25">
      <c r="E886" t="str">
        <f>""</f>
        <v/>
      </c>
      <c r="F886" t="str">
        <f>""</f>
        <v/>
      </c>
      <c r="H886" t="str">
        <f>"CUST ID BASCOU"</f>
        <v>CUST ID BASCOU</v>
      </c>
    </row>
    <row r="887" spans="1:8" x14ac:dyDescent="0.25">
      <c r="E887" t="str">
        <f>""</f>
        <v/>
      </c>
      <c r="F887" t="str">
        <f>""</f>
        <v/>
      </c>
      <c r="H887" t="str">
        <f>"CUST ID BASCOU"</f>
        <v>CUST ID BASCOU</v>
      </c>
    </row>
    <row r="888" spans="1:8" x14ac:dyDescent="0.25">
      <c r="A888" t="s">
        <v>240</v>
      </c>
      <c r="B888">
        <v>133999</v>
      </c>
      <c r="C888" s="3">
        <v>7.53</v>
      </c>
      <c r="D888" s="5">
        <v>44179</v>
      </c>
      <c r="E888" t="str">
        <f>"79366"</f>
        <v>79366</v>
      </c>
      <c r="F888" t="str">
        <f>"SEAL/PCT#2"</f>
        <v>SEAL/PCT#2</v>
      </c>
      <c r="G888" s="3">
        <v>7.53</v>
      </c>
      <c r="H888" t="str">
        <f>"SEAL/PCT#2"</f>
        <v>SEAL/PCT#2</v>
      </c>
    </row>
    <row r="889" spans="1:8" x14ac:dyDescent="0.25">
      <c r="A889" t="s">
        <v>241</v>
      </c>
      <c r="B889">
        <v>134000</v>
      </c>
      <c r="C889" s="3">
        <v>178.93</v>
      </c>
      <c r="D889" s="5">
        <v>44179</v>
      </c>
      <c r="E889" t="str">
        <f>"202012070568"</f>
        <v>202012070568</v>
      </c>
      <c r="F889" t="str">
        <f>"ACCT#1137/PCT#4"</f>
        <v>ACCT#1137/PCT#4</v>
      </c>
      <c r="G889" s="3">
        <v>178.93</v>
      </c>
      <c r="H889" t="str">
        <f>"ACCT#1137/PCT#4"</f>
        <v>ACCT#1137/PCT#4</v>
      </c>
    </row>
    <row r="890" spans="1:8" x14ac:dyDescent="0.25">
      <c r="A890" t="s">
        <v>242</v>
      </c>
      <c r="B890">
        <v>134001</v>
      </c>
      <c r="C890" s="3">
        <v>3342.15</v>
      </c>
      <c r="D890" s="5">
        <v>44179</v>
      </c>
      <c r="E890" t="str">
        <f>"202012090692"</f>
        <v>202012090692</v>
      </c>
      <c r="F890" t="str">
        <f>"ACCT#0200140783/ANIMAL CONTROL"</f>
        <v>ACCT#0200140783/ANIMAL CONTROL</v>
      </c>
      <c r="G890" s="3">
        <v>3342.15</v>
      </c>
      <c r="H890" t="str">
        <f>"ACCT#0200140783/ANIMAL CONTROL"</f>
        <v>ACCT#0200140783/ANIMAL CONTROL</v>
      </c>
    </row>
    <row r="891" spans="1:8" x14ac:dyDescent="0.25">
      <c r="E891" t="str">
        <f>""</f>
        <v/>
      </c>
      <c r="F891" t="str">
        <f>""</f>
        <v/>
      </c>
      <c r="H891" t="str">
        <f>"ACCT#0200140783/ANIMAL CONTROL"</f>
        <v>ACCT#0200140783/ANIMAL CONTROL</v>
      </c>
    </row>
    <row r="892" spans="1:8" x14ac:dyDescent="0.25">
      <c r="E892" t="str">
        <f>""</f>
        <v/>
      </c>
      <c r="F892" t="str">
        <f>""</f>
        <v/>
      </c>
      <c r="H892" t="str">
        <f>"ACCT#0200140783/ANIMAL CONTROL"</f>
        <v>ACCT#0200140783/ANIMAL CONTROL</v>
      </c>
    </row>
    <row r="893" spans="1:8" x14ac:dyDescent="0.25">
      <c r="A893" t="s">
        <v>243</v>
      </c>
      <c r="B893">
        <v>134002</v>
      </c>
      <c r="C893" s="3">
        <v>1846</v>
      </c>
      <c r="D893" s="5">
        <v>44179</v>
      </c>
      <c r="E893" t="str">
        <f>"139662"</f>
        <v>139662</v>
      </c>
      <c r="F893" t="str">
        <f>"INV 139662"</f>
        <v>INV 139662</v>
      </c>
      <c r="G893" s="3">
        <v>1846</v>
      </c>
      <c r="H893" t="str">
        <f>"INV 139662"</f>
        <v>INV 139662</v>
      </c>
    </row>
    <row r="894" spans="1:8" x14ac:dyDescent="0.25">
      <c r="A894" t="s">
        <v>244</v>
      </c>
      <c r="B894">
        <v>134003</v>
      </c>
      <c r="C894" s="3">
        <v>551.04999999999995</v>
      </c>
      <c r="D894" s="5">
        <v>44179</v>
      </c>
      <c r="E894" t="str">
        <f>"258973"</f>
        <v>258973</v>
      </c>
      <c r="F894" t="str">
        <f>"INV 258973"</f>
        <v>INV 258973</v>
      </c>
      <c r="G894" s="3">
        <v>551.04999999999995</v>
      </c>
      <c r="H894" t="str">
        <f>"INV 258973"</f>
        <v>INV 258973</v>
      </c>
    </row>
    <row r="895" spans="1:8" x14ac:dyDescent="0.25">
      <c r="A895" t="s">
        <v>245</v>
      </c>
      <c r="B895">
        <v>134004</v>
      </c>
      <c r="C895" s="3">
        <v>330</v>
      </c>
      <c r="D895" s="5">
        <v>44179</v>
      </c>
      <c r="E895" t="str">
        <f>"BCEC001112720"</f>
        <v>BCEC001112720</v>
      </c>
      <c r="F895" t="str">
        <f>"TCLEDDS RENEWAL-EMERGENCY COMM"</f>
        <v>TCLEDDS RENEWAL-EMERGENCY COMM</v>
      </c>
      <c r="G895" s="3">
        <v>330</v>
      </c>
      <c r="H895" t="str">
        <f>"TCLEDDS RENEWAL-EMERGENCY COMM"</f>
        <v>TCLEDDS RENEWAL-EMERGENCY COMM</v>
      </c>
    </row>
    <row r="896" spans="1:8" x14ac:dyDescent="0.25">
      <c r="A896" t="s">
        <v>246</v>
      </c>
      <c r="B896">
        <v>134005</v>
      </c>
      <c r="C896" s="3">
        <v>100</v>
      </c>
      <c r="D896" s="5">
        <v>44179</v>
      </c>
      <c r="E896" t="s">
        <v>247</v>
      </c>
      <c r="F896" s="3" t="str">
        <f>"RESTITUTION - COY FERRIS"</f>
        <v>RESTITUTION - COY FERRIS</v>
      </c>
      <c r="G896" s="3">
        <v>50</v>
      </c>
      <c r="H896" s="3" t="str">
        <f>"RESTITUTION - COY FERRIS"</f>
        <v>RESTITUTION - COY FERRIS</v>
      </c>
    </row>
    <row r="897" spans="1:8" x14ac:dyDescent="0.25">
      <c r="E897" t="s">
        <v>248</v>
      </c>
      <c r="F897" s="3" t="str">
        <f>"RESTITUTION-C. FERRIS"</f>
        <v>RESTITUTION-C. FERRIS</v>
      </c>
      <c r="G897" s="3">
        <v>50</v>
      </c>
      <c r="H897" s="3" t="str">
        <f>"RESTITUTION-C. FERRIS"</f>
        <v>RESTITUTION-C. FERRIS</v>
      </c>
    </row>
    <row r="898" spans="1:8" x14ac:dyDescent="0.25">
      <c r="A898" t="s">
        <v>249</v>
      </c>
      <c r="B898">
        <v>134006</v>
      </c>
      <c r="C898" s="3">
        <v>526</v>
      </c>
      <c r="D898" s="5">
        <v>44179</v>
      </c>
      <c r="E898" t="str">
        <f>"333413"</f>
        <v>333413</v>
      </c>
      <c r="F898" t="str">
        <f>"ANNUAL FIRE EXTINGUISHER/MAINT"</f>
        <v>ANNUAL FIRE EXTINGUISHER/MAINT</v>
      </c>
      <c r="G898" s="3">
        <v>35</v>
      </c>
      <c r="H898" t="str">
        <f>"ANNUAL FIRE EXTINGUISHER/MAINT"</f>
        <v>ANNUAL FIRE EXTINGUISHER/MAINT</v>
      </c>
    </row>
    <row r="899" spans="1:8" x14ac:dyDescent="0.25">
      <c r="E899" t="str">
        <f>"335537"</f>
        <v>335537</v>
      </c>
      <c r="F899" t="str">
        <f>"INV 335537"</f>
        <v>INV 335537</v>
      </c>
      <c r="G899" s="3">
        <v>491</v>
      </c>
      <c r="H899" t="str">
        <f>"INV 335537"</f>
        <v>INV 335537</v>
      </c>
    </row>
    <row r="900" spans="1:8" x14ac:dyDescent="0.25">
      <c r="A900" t="s">
        <v>18</v>
      </c>
      <c r="B900">
        <v>134007</v>
      </c>
      <c r="C900" s="3">
        <v>2282.14</v>
      </c>
      <c r="D900" s="5">
        <v>44179</v>
      </c>
      <c r="E900" t="str">
        <f>"202012030546"</f>
        <v>202012030546</v>
      </c>
      <c r="F900" t="str">
        <f>"CUST#19610/GEN SVCS"</f>
        <v>CUST#19610/GEN SVCS</v>
      </c>
      <c r="G900" s="3">
        <v>478.18</v>
      </c>
      <c r="H900" t="str">
        <f>"CUST#19610/GEN SVCS"</f>
        <v>CUST#19610/GEN SVCS</v>
      </c>
    </row>
    <row r="901" spans="1:8" x14ac:dyDescent="0.25">
      <c r="E901" t="str">
        <f>"202012030549"</f>
        <v>202012030549</v>
      </c>
      <c r="F901" t="str">
        <f>"CUST#19610/PCT#2"</f>
        <v>CUST#19610/PCT#2</v>
      </c>
      <c r="G901" s="3">
        <v>1162.31</v>
      </c>
      <c r="H901" t="str">
        <f>"CUST#19610/PCT#2"</f>
        <v>CUST#19610/PCT#2</v>
      </c>
    </row>
    <row r="902" spans="1:8" x14ac:dyDescent="0.25">
      <c r="E902" t="str">
        <f>"202012030551"</f>
        <v>202012030551</v>
      </c>
      <c r="F902" t="str">
        <f>"CUST#19610/PCT#3"</f>
        <v>CUST#19610/PCT#3</v>
      </c>
      <c r="G902" s="3">
        <v>641.65</v>
      </c>
      <c r="H902" t="str">
        <f>"CUST#19610/PCT#3"</f>
        <v>CUST#19610/PCT#3</v>
      </c>
    </row>
    <row r="903" spans="1:8" x14ac:dyDescent="0.25">
      <c r="A903" t="s">
        <v>250</v>
      </c>
      <c r="B903">
        <v>134008</v>
      </c>
      <c r="C903" s="3">
        <v>9000</v>
      </c>
      <c r="D903" s="5">
        <v>44179</v>
      </c>
      <c r="E903" t="str">
        <f>"202012010362"</f>
        <v>202012010362</v>
      </c>
      <c r="F903" t="str">
        <f>"ACCT#34549337/POSTAGE"</f>
        <v>ACCT#34549337/POSTAGE</v>
      </c>
      <c r="G903" s="3">
        <v>9000</v>
      </c>
      <c r="H903" t="str">
        <f>"ACCT#34549337/POSTAGE"</f>
        <v>ACCT#34549337/POSTAGE</v>
      </c>
    </row>
    <row r="904" spans="1:8" x14ac:dyDescent="0.25">
      <c r="A904" t="s">
        <v>17</v>
      </c>
      <c r="B904">
        <v>134009</v>
      </c>
      <c r="C904" s="3">
        <v>487.99</v>
      </c>
      <c r="D904" s="5">
        <v>44179</v>
      </c>
      <c r="E904" t="str">
        <f>"5139884"</f>
        <v>5139884</v>
      </c>
      <c r="F904" t="str">
        <f>"INV 5139884"</f>
        <v>INV 5139884</v>
      </c>
      <c r="G904" s="3">
        <v>487.99</v>
      </c>
      <c r="H904" t="str">
        <f>"INV 5139884"</f>
        <v>INV 5139884</v>
      </c>
    </row>
    <row r="905" spans="1:8" x14ac:dyDescent="0.25">
      <c r="A905" t="s">
        <v>142</v>
      </c>
      <c r="B905">
        <v>134010</v>
      </c>
      <c r="C905" s="3">
        <v>200</v>
      </c>
      <c r="D905" s="5">
        <v>44179</v>
      </c>
      <c r="E905" t="str">
        <f>"1266-49"</f>
        <v>1266-49</v>
      </c>
      <c r="F905" t="str">
        <f>"TRUCK SEAT REPAIR/PCT#3"</f>
        <v>TRUCK SEAT REPAIR/PCT#3</v>
      </c>
      <c r="G905" s="3">
        <v>200</v>
      </c>
      <c r="H905" t="str">
        <f>"TRUCK SEAT REPAIR/PCT#3"</f>
        <v>TRUCK SEAT REPAIR/PCT#3</v>
      </c>
    </row>
    <row r="906" spans="1:8" x14ac:dyDescent="0.25">
      <c r="A906" t="s">
        <v>251</v>
      </c>
      <c r="B906">
        <v>134011</v>
      </c>
      <c r="C906" s="3">
        <v>156.19999999999999</v>
      </c>
      <c r="D906" s="5">
        <v>44179</v>
      </c>
      <c r="E906" t="str">
        <f>"202012010368"</f>
        <v>202012010368</v>
      </c>
      <c r="F906" t="str">
        <f>"REIMBURSE FEES FOR IDENTOGO"</f>
        <v>REIMBURSE FEES FOR IDENTOGO</v>
      </c>
      <c r="G906" s="3">
        <v>156.19999999999999</v>
      </c>
      <c r="H906" t="str">
        <f>"REIMBURSE FEES FOR IDENTOGO"</f>
        <v>REIMBURSE FEES FOR IDENTOGO</v>
      </c>
    </row>
    <row r="907" spans="1:8" x14ac:dyDescent="0.25">
      <c r="A907" t="s">
        <v>252</v>
      </c>
      <c r="B907">
        <v>134012</v>
      </c>
      <c r="C907" s="3">
        <v>228</v>
      </c>
      <c r="D907" s="5">
        <v>44179</v>
      </c>
      <c r="E907" t="str">
        <f>"202012080657"</f>
        <v>202012080657</v>
      </c>
      <c r="F907" t="str">
        <f>"LPHCP RECORDING FEES"</f>
        <v>LPHCP RECORDING FEES</v>
      </c>
      <c r="G907" s="3">
        <v>228</v>
      </c>
      <c r="H907" t="str">
        <f>"LPHCP RECORDING FEES"</f>
        <v>LPHCP RECORDING FEES</v>
      </c>
    </row>
    <row r="908" spans="1:8" x14ac:dyDescent="0.25">
      <c r="A908" t="s">
        <v>252</v>
      </c>
      <c r="B908">
        <v>134013</v>
      </c>
      <c r="C908" s="3">
        <v>61</v>
      </c>
      <c r="D908" s="5">
        <v>44179</v>
      </c>
      <c r="E908" t="str">
        <f>"202012080679"</f>
        <v>202012080679</v>
      </c>
      <c r="F908" t="str">
        <f>"DEVELOPMENT SVCS RECORDING FEE"</f>
        <v>DEVELOPMENT SVCS RECORDING FEE</v>
      </c>
      <c r="G908" s="3">
        <v>61</v>
      </c>
      <c r="H908" t="str">
        <f>"DEVELOPMENT SVCS RECORDING FEE"</f>
        <v>DEVELOPMENT SVCS RECORDING FEE</v>
      </c>
    </row>
    <row r="909" spans="1:8" x14ac:dyDescent="0.25">
      <c r="A909" t="s">
        <v>253</v>
      </c>
      <c r="B909">
        <v>134014</v>
      </c>
      <c r="C909" s="3">
        <v>1008.5</v>
      </c>
      <c r="D909" s="5">
        <v>44179</v>
      </c>
      <c r="E909" t="str">
        <f>"2733"</f>
        <v>2733</v>
      </c>
      <c r="F909" t="str">
        <f>"INV 2733"</f>
        <v>INV 2733</v>
      </c>
      <c r="G909" s="3">
        <v>1008.5</v>
      </c>
      <c r="H909" t="str">
        <f>"INV 2733"</f>
        <v>INV 2733</v>
      </c>
    </row>
    <row r="910" spans="1:8" x14ac:dyDescent="0.25">
      <c r="A910" t="s">
        <v>254</v>
      </c>
      <c r="B910">
        <v>134015</v>
      </c>
      <c r="C910" s="3">
        <v>165</v>
      </c>
      <c r="D910" s="5">
        <v>44179</v>
      </c>
      <c r="E910" t="str">
        <f>"202012010364"</f>
        <v>202012010364</v>
      </c>
      <c r="F910" t="str">
        <f>"REFUND DIFF IN SEPTIC FEES"</f>
        <v>REFUND DIFF IN SEPTIC FEES</v>
      </c>
      <c r="G910" s="3">
        <v>165</v>
      </c>
      <c r="H910" t="str">
        <f>"REFUND DIFF IN SEPTIC FEES"</f>
        <v>REFUND DIFF IN SEPTIC FEES</v>
      </c>
    </row>
    <row r="911" spans="1:8" x14ac:dyDescent="0.25">
      <c r="A911" t="s">
        <v>255</v>
      </c>
      <c r="B911">
        <v>134016</v>
      </c>
      <c r="C911" s="3">
        <v>790</v>
      </c>
      <c r="D911" s="5">
        <v>44179</v>
      </c>
      <c r="E911" t="str">
        <f>"202012010365"</f>
        <v>202012010365</v>
      </c>
      <c r="F911" t="str">
        <f>"REFUND SEPTIC &amp; DEVLPMT PERMIT"</f>
        <v>REFUND SEPTIC &amp; DEVLPMT PERMIT</v>
      </c>
      <c r="G911" s="3">
        <v>790</v>
      </c>
      <c r="H911" t="str">
        <f>"REFUND SEPTIC &amp; DEVLPMT PERMIT"</f>
        <v>REFUND SEPTIC &amp; DEVLPMT PERMIT</v>
      </c>
    </row>
    <row r="912" spans="1:8" x14ac:dyDescent="0.25">
      <c r="E912" t="str">
        <f>""</f>
        <v/>
      </c>
      <c r="F912" t="str">
        <f>""</f>
        <v/>
      </c>
      <c r="H912" t="str">
        <f>"REFUND SEPTIC &amp; DEVLPMT PERMIT"</f>
        <v>REFUND SEPTIC &amp; DEVLPMT PERMIT</v>
      </c>
    </row>
    <row r="913" spans="1:8" x14ac:dyDescent="0.25">
      <c r="A913" t="s">
        <v>256</v>
      </c>
      <c r="B913">
        <v>134017</v>
      </c>
      <c r="C913" s="3">
        <v>90</v>
      </c>
      <c r="D913" s="5">
        <v>44179</v>
      </c>
      <c r="E913" t="s">
        <v>257</v>
      </c>
      <c r="F913" s="3" t="str">
        <f>"RESTITUTION - D. MCCOMB"</f>
        <v>RESTITUTION - D. MCCOMB</v>
      </c>
      <c r="G913" s="3">
        <v>40</v>
      </c>
      <c r="H913" s="3" t="str">
        <f>"RESTITUTION - D. MCCOMB"</f>
        <v>RESTITUTION - D. MCCOMB</v>
      </c>
    </row>
    <row r="914" spans="1:8" x14ac:dyDescent="0.25">
      <c r="E914" t="s">
        <v>258</v>
      </c>
      <c r="F914" s="3" t="str">
        <f>"RESTITUTION-D. MCCOMB"</f>
        <v>RESTITUTION-D. MCCOMB</v>
      </c>
      <c r="G914" s="3">
        <v>50</v>
      </c>
      <c r="H914" s="3" t="str">
        <f>"RESTITUTION-D. MCCOMB"</f>
        <v>RESTITUTION-D. MCCOMB</v>
      </c>
    </row>
    <row r="915" spans="1:8" x14ac:dyDescent="0.25">
      <c r="A915" t="s">
        <v>259</v>
      </c>
      <c r="B915">
        <v>134018</v>
      </c>
      <c r="C915" s="3">
        <v>14560.63</v>
      </c>
      <c r="D915" s="5">
        <v>44179</v>
      </c>
      <c r="E915" t="str">
        <f>"202012030497"</f>
        <v>202012030497</v>
      </c>
      <c r="F915" t="str">
        <f>"Security Cameras"</f>
        <v>Security Cameras</v>
      </c>
      <c r="G915" s="3">
        <v>9836</v>
      </c>
      <c r="H915" t="str">
        <f>"P5635-E"</f>
        <v>P5635-E</v>
      </c>
    </row>
    <row r="916" spans="1:8" x14ac:dyDescent="0.25">
      <c r="E916" t="str">
        <f>""</f>
        <v/>
      </c>
      <c r="F916" t="str">
        <f>""</f>
        <v/>
      </c>
      <c r="H916" t="str">
        <f>"P3717-PLE"</f>
        <v>P3717-PLE</v>
      </c>
    </row>
    <row r="917" spans="1:8" x14ac:dyDescent="0.25">
      <c r="E917" t="str">
        <f>""</f>
        <v/>
      </c>
      <c r="F917" t="str">
        <f>""</f>
        <v/>
      </c>
      <c r="H917" t="str">
        <f>"P3375-LVE"</f>
        <v>P3375-LVE</v>
      </c>
    </row>
    <row r="918" spans="1:8" x14ac:dyDescent="0.25">
      <c r="E918" t="str">
        <f>""</f>
        <v/>
      </c>
      <c r="F918" t="str">
        <f>""</f>
        <v/>
      </c>
      <c r="H918" t="str">
        <f>"M3045-V"</f>
        <v>M3045-V</v>
      </c>
    </row>
    <row r="919" spans="1:8" x14ac:dyDescent="0.25">
      <c r="E919" t="str">
        <f>""</f>
        <v/>
      </c>
      <c r="F919" t="str">
        <f>""</f>
        <v/>
      </c>
      <c r="H919" t="str">
        <f>"P3374-LV"</f>
        <v>P3374-LV</v>
      </c>
    </row>
    <row r="920" spans="1:8" x14ac:dyDescent="0.25">
      <c r="E920" t="str">
        <f>""</f>
        <v/>
      </c>
      <c r="F920" t="str">
        <f>""</f>
        <v/>
      </c>
      <c r="H920" t="str">
        <f>"M3025"</f>
        <v>M3025</v>
      </c>
    </row>
    <row r="921" spans="1:8" x14ac:dyDescent="0.25">
      <c r="E921" t="str">
        <f>""</f>
        <v/>
      </c>
      <c r="F921" t="str">
        <f>""</f>
        <v/>
      </c>
      <c r="H921" t="str">
        <f>"Axis Wall Pole"</f>
        <v>Axis Wall Pole</v>
      </c>
    </row>
    <row r="922" spans="1:8" x14ac:dyDescent="0.25">
      <c r="E922" t="str">
        <f>"202012030501"</f>
        <v>202012030501</v>
      </c>
      <c r="F922" t="str">
        <f>"SHI GOVERNMENT SOLUTIONS INC."</f>
        <v>SHI GOVERNMENT SOLUTIONS INC.</v>
      </c>
      <c r="G922" s="3">
        <v>257</v>
      </c>
      <c r="H922" t="str">
        <f>"Headset"</f>
        <v>Headset</v>
      </c>
    </row>
    <row r="923" spans="1:8" x14ac:dyDescent="0.25">
      <c r="E923" t="str">
        <f>"8831"</f>
        <v>8831</v>
      </c>
      <c r="F923" t="str">
        <f>"SHI GOVERNMENT SOLUTIONS INC."</f>
        <v>SHI GOVERNMENT SOLUTIONS INC.</v>
      </c>
      <c r="G923" s="3">
        <v>4392.04</v>
      </c>
      <c r="H923" t="str">
        <f>"8831"</f>
        <v>8831</v>
      </c>
    </row>
    <row r="924" spans="1:8" x14ac:dyDescent="0.25">
      <c r="E924" t="str">
        <f>""</f>
        <v/>
      </c>
      <c r="F924" t="str">
        <f>""</f>
        <v/>
      </c>
      <c r="H924" t="str">
        <f>"8811"</f>
        <v>8811</v>
      </c>
    </row>
    <row r="925" spans="1:8" x14ac:dyDescent="0.25">
      <c r="E925" t="str">
        <f>"GB00392250"</f>
        <v>GB00392250</v>
      </c>
      <c r="F925" t="str">
        <f>"Power Supply"</f>
        <v>Power Supply</v>
      </c>
      <c r="G925" s="3">
        <v>75.59</v>
      </c>
      <c r="H925" t="str">
        <f>"Power Supply"</f>
        <v>Power Supply</v>
      </c>
    </row>
    <row r="926" spans="1:8" x14ac:dyDescent="0.25">
      <c r="A926" t="s">
        <v>260</v>
      </c>
      <c r="B926">
        <v>134019</v>
      </c>
      <c r="C926" s="3">
        <v>230.33</v>
      </c>
      <c r="D926" s="5">
        <v>44179</v>
      </c>
      <c r="E926" t="str">
        <f>"8180987060"</f>
        <v>8180987060</v>
      </c>
      <c r="F926" t="str">
        <f>"CUST #16156071 TAX OFFICE"</f>
        <v>CUST #16156071 TAX OFFICE</v>
      </c>
      <c r="G926" s="3">
        <v>86.45</v>
      </c>
      <c r="H926" t="str">
        <f>"CUST #16156071 TAX OFFICE"</f>
        <v>CUST #16156071 TAX OFFICE</v>
      </c>
    </row>
    <row r="927" spans="1:8" x14ac:dyDescent="0.25">
      <c r="E927" t="str">
        <f>"8180987130"</f>
        <v>8180987130</v>
      </c>
      <c r="F927" t="str">
        <f>"CUST#16158670 JP4"</f>
        <v>CUST#16158670 JP4</v>
      </c>
      <c r="G927" s="3">
        <v>69.58</v>
      </c>
      <c r="H927" t="str">
        <f>"CUST#16158670 JP4"</f>
        <v>CUST#16158670 JP4</v>
      </c>
    </row>
    <row r="928" spans="1:8" x14ac:dyDescent="0.25">
      <c r="E928" t="str">
        <f>"8180987238"</f>
        <v>8180987238</v>
      </c>
      <c r="F928" t="str">
        <f>"CUST#16160327 VET SVCS/IHC"</f>
        <v>CUST#16160327 VET SVCS/IHC</v>
      </c>
      <c r="G928" s="3">
        <v>74.3</v>
      </c>
      <c r="H928" t="str">
        <f>"CUST#16160327 VET SVCS/IHC"</f>
        <v>CUST#16160327 VET SVCS/IHC</v>
      </c>
    </row>
    <row r="929" spans="1:8" x14ac:dyDescent="0.25">
      <c r="E929" t="str">
        <f>""</f>
        <v/>
      </c>
      <c r="F929" t="str">
        <f>""</f>
        <v/>
      </c>
      <c r="H929" t="str">
        <f>"CUST#16160327 VET SVCS/IHC"</f>
        <v>CUST#16160327 VET SVCS/IHC</v>
      </c>
    </row>
    <row r="930" spans="1:8" x14ac:dyDescent="0.25">
      <c r="A930" t="s">
        <v>261</v>
      </c>
      <c r="B930">
        <v>134020</v>
      </c>
      <c r="C930" s="3">
        <v>1396</v>
      </c>
      <c r="D930" s="5">
        <v>44179</v>
      </c>
      <c r="E930" t="str">
        <f>"8116898 8116900"</f>
        <v>8116898 8116900</v>
      </c>
      <c r="F930" t="str">
        <f>"Training"</f>
        <v>Training</v>
      </c>
      <c r="G930" s="3">
        <v>1396</v>
      </c>
      <c r="H930" t="str">
        <f>"Inv. 8116898"</f>
        <v>Inv. 8116898</v>
      </c>
    </row>
    <row r="931" spans="1:8" x14ac:dyDescent="0.25">
      <c r="E931" t="str">
        <f>""</f>
        <v/>
      </c>
      <c r="F931" t="str">
        <f>""</f>
        <v/>
      </c>
      <c r="H931" t="str">
        <f>"Inv 8116900"</f>
        <v>Inv 8116900</v>
      </c>
    </row>
    <row r="932" spans="1:8" x14ac:dyDescent="0.25">
      <c r="A932" t="s">
        <v>262</v>
      </c>
      <c r="B932">
        <v>134021</v>
      </c>
      <c r="C932" s="3">
        <v>664.25</v>
      </c>
      <c r="D932" s="5">
        <v>44179</v>
      </c>
      <c r="E932" t="str">
        <f>"34938"</f>
        <v>34938</v>
      </c>
      <c r="F932" t="str">
        <f>"PARTS/PCT#1"</f>
        <v>PARTS/PCT#1</v>
      </c>
      <c r="G932" s="3">
        <v>588.85</v>
      </c>
      <c r="H932" t="str">
        <f>"PARTS/PCT#1"</f>
        <v>PARTS/PCT#1</v>
      </c>
    </row>
    <row r="933" spans="1:8" x14ac:dyDescent="0.25">
      <c r="E933" t="str">
        <f>"489097 490022"</f>
        <v>489097 490022</v>
      </c>
      <c r="F933" t="str">
        <f>"STATEMENT #34939 PCT#2"</f>
        <v>STATEMENT #34939 PCT#2</v>
      </c>
      <c r="G933" s="3">
        <v>75.400000000000006</v>
      </c>
      <c r="H933" t="str">
        <f>"STATEMENT #34939 PCT#2"</f>
        <v>STATEMENT #34939 PCT#2</v>
      </c>
    </row>
    <row r="934" spans="1:8" x14ac:dyDescent="0.25">
      <c r="A934" t="s">
        <v>263</v>
      </c>
      <c r="B934">
        <v>134022</v>
      </c>
      <c r="C934" s="3">
        <v>74.349999999999994</v>
      </c>
      <c r="D934" s="5">
        <v>44179</v>
      </c>
      <c r="E934" t="str">
        <f>"560627"</f>
        <v>560627</v>
      </c>
      <c r="F934" t="str">
        <f>"ACCT #260 PCT#2"</f>
        <v>ACCT #260 PCT#2</v>
      </c>
      <c r="G934" s="3">
        <v>74.349999999999994</v>
      </c>
      <c r="H934" t="str">
        <f>"ACCT #260 PCT#2"</f>
        <v>ACCT #260 PCT#2</v>
      </c>
    </row>
    <row r="935" spans="1:8" x14ac:dyDescent="0.25">
      <c r="A935" t="s">
        <v>264</v>
      </c>
      <c r="B935">
        <v>134023</v>
      </c>
      <c r="C935" s="3">
        <v>6551.24</v>
      </c>
      <c r="D935" s="5">
        <v>44179</v>
      </c>
      <c r="E935" t="str">
        <f>"4240020804"</f>
        <v>4240020804</v>
      </c>
      <c r="F935" t="str">
        <f>"INV 4240020804"</f>
        <v>INV 4240020804</v>
      </c>
      <c r="G935" s="3">
        <v>1308.4000000000001</v>
      </c>
      <c r="H935" t="str">
        <f>"INV 4240020804"</f>
        <v>INV 4240020804</v>
      </c>
    </row>
    <row r="936" spans="1:8" x14ac:dyDescent="0.25">
      <c r="E936" t="str">
        <f>"4650061111"</f>
        <v>4650061111</v>
      </c>
      <c r="F936" t="str">
        <f>"CUST#0052158/PCT#1"</f>
        <v>CUST#0052158/PCT#1</v>
      </c>
      <c r="G936" s="3">
        <v>2554.16</v>
      </c>
      <c r="H936" t="str">
        <f>"CUST#0052158/PCT#1"</f>
        <v>CUST#0052158/PCT#1</v>
      </c>
    </row>
    <row r="937" spans="1:8" x14ac:dyDescent="0.25">
      <c r="E937" t="str">
        <f>"4650061557"</f>
        <v>4650061557</v>
      </c>
      <c r="F937" t="str">
        <f>"CUST#0052157/PCT#3"</f>
        <v>CUST#0052157/PCT#3</v>
      </c>
      <c r="G937" s="3">
        <v>1149.8</v>
      </c>
      <c r="H937" t="str">
        <f>"CUST#0052157/PCT#3"</f>
        <v>CUST#0052157/PCT#3</v>
      </c>
    </row>
    <row r="938" spans="1:8" x14ac:dyDescent="0.25">
      <c r="E938" t="str">
        <f>"4650062540"</f>
        <v>4650062540</v>
      </c>
      <c r="F938" t="str">
        <f>"CUST#0052157/PCT#3"</f>
        <v>CUST#0052157/PCT#3</v>
      </c>
      <c r="G938" s="3">
        <v>1154.08</v>
      </c>
      <c r="H938" t="str">
        <f>"CUST#0052157/PCT#3"</f>
        <v>CUST#0052157/PCT#3</v>
      </c>
    </row>
    <row r="939" spans="1:8" x14ac:dyDescent="0.25">
      <c r="E939" t="str">
        <f>"4660022858"</f>
        <v>4660022858</v>
      </c>
      <c r="F939" t="str">
        <f>"CUST#52158 SVC CALL PCT2"</f>
        <v>CUST#52158 SVC CALL PCT2</v>
      </c>
      <c r="G939" s="3">
        <v>289.85000000000002</v>
      </c>
      <c r="H939" t="str">
        <f>"CUST#52158 SVC CALL PCT2"</f>
        <v>CUST#52158 SVC CALL PCT2</v>
      </c>
    </row>
    <row r="940" spans="1:8" x14ac:dyDescent="0.25">
      <c r="E940" t="str">
        <f>"4660022859"</f>
        <v>4660022859</v>
      </c>
      <c r="F940" t="str">
        <f>"CUST#0052158 PCT#2"</f>
        <v>CUST#0052158 PCT#2</v>
      </c>
      <c r="G940" s="3">
        <v>94.95</v>
      </c>
      <c r="H940" t="str">
        <f>"CUST#0052158 PCT#2"</f>
        <v>CUST#0052158 PCT#2</v>
      </c>
    </row>
    <row r="941" spans="1:8" x14ac:dyDescent="0.25">
      <c r="A941" t="s">
        <v>12</v>
      </c>
      <c r="B941">
        <v>134024</v>
      </c>
      <c r="C941" s="3">
        <v>4622.08</v>
      </c>
      <c r="D941" s="5">
        <v>44179</v>
      </c>
      <c r="E941" t="str">
        <f>"8060359518"</f>
        <v>8060359518</v>
      </c>
      <c r="F941" t="str">
        <f>"Summary"</f>
        <v>Summary</v>
      </c>
      <c r="G941" s="3">
        <v>2358.0700000000002</v>
      </c>
      <c r="H941" t="str">
        <f>"3462091061"</f>
        <v>3462091061</v>
      </c>
    </row>
    <row r="942" spans="1:8" x14ac:dyDescent="0.25">
      <c r="E942" t="str">
        <f>""</f>
        <v/>
      </c>
      <c r="F942" t="str">
        <f>""</f>
        <v/>
      </c>
      <c r="H942" t="str">
        <f>"3462091062"</f>
        <v>3462091062</v>
      </c>
    </row>
    <row r="943" spans="1:8" x14ac:dyDescent="0.25">
      <c r="E943" t="str">
        <f>""</f>
        <v/>
      </c>
      <c r="F943" t="str">
        <f>""</f>
        <v/>
      </c>
      <c r="H943" t="str">
        <f>"3462091066"</f>
        <v>3462091066</v>
      </c>
    </row>
    <row r="944" spans="1:8" x14ac:dyDescent="0.25">
      <c r="E944" t="str">
        <f>""</f>
        <v/>
      </c>
      <c r="F944" t="str">
        <f>""</f>
        <v/>
      </c>
      <c r="H944" t="str">
        <f>"3462091066"</f>
        <v>3462091066</v>
      </c>
    </row>
    <row r="945" spans="5:8" x14ac:dyDescent="0.25">
      <c r="E945" t="str">
        <f>""</f>
        <v/>
      </c>
      <c r="F945" t="str">
        <f>""</f>
        <v/>
      </c>
      <c r="H945" t="str">
        <f>"3462091060"</f>
        <v>3462091060</v>
      </c>
    </row>
    <row r="946" spans="5:8" x14ac:dyDescent="0.25">
      <c r="E946" t="str">
        <f>""</f>
        <v/>
      </c>
      <c r="F946" t="str">
        <f>""</f>
        <v/>
      </c>
      <c r="H946" t="str">
        <f>"3462091063"</f>
        <v>3462091063</v>
      </c>
    </row>
    <row r="947" spans="5:8" x14ac:dyDescent="0.25">
      <c r="E947" t="str">
        <f>""</f>
        <v/>
      </c>
      <c r="F947" t="str">
        <f>""</f>
        <v/>
      </c>
      <c r="H947" t="str">
        <f>"3462091053"</f>
        <v>3462091053</v>
      </c>
    </row>
    <row r="948" spans="5:8" x14ac:dyDescent="0.25">
      <c r="E948" t="str">
        <f>""</f>
        <v/>
      </c>
      <c r="F948" t="str">
        <f>""</f>
        <v/>
      </c>
      <c r="H948" t="str">
        <f>"3462091054"</f>
        <v>3462091054</v>
      </c>
    </row>
    <row r="949" spans="5:8" x14ac:dyDescent="0.25">
      <c r="E949" t="str">
        <f>""</f>
        <v/>
      </c>
      <c r="F949" t="str">
        <f>""</f>
        <v/>
      </c>
      <c r="H949" t="str">
        <f>"3462091055"</f>
        <v>3462091055</v>
      </c>
    </row>
    <row r="950" spans="5:8" x14ac:dyDescent="0.25">
      <c r="E950" t="str">
        <f>""</f>
        <v/>
      </c>
      <c r="F950" t="str">
        <f>""</f>
        <v/>
      </c>
      <c r="H950" t="str">
        <f>"3462091056"</f>
        <v>3462091056</v>
      </c>
    </row>
    <row r="951" spans="5:8" x14ac:dyDescent="0.25">
      <c r="E951" t="str">
        <f>""</f>
        <v/>
      </c>
      <c r="F951" t="str">
        <f>""</f>
        <v/>
      </c>
      <c r="H951" t="str">
        <f>"3462091057"</f>
        <v>3462091057</v>
      </c>
    </row>
    <row r="952" spans="5:8" x14ac:dyDescent="0.25">
      <c r="E952" t="str">
        <f>""</f>
        <v/>
      </c>
      <c r="F952" t="str">
        <f>""</f>
        <v/>
      </c>
      <c r="H952" t="str">
        <f>"3462091058"</f>
        <v>3462091058</v>
      </c>
    </row>
    <row r="953" spans="5:8" x14ac:dyDescent="0.25">
      <c r="E953" t="str">
        <f>""</f>
        <v/>
      </c>
      <c r="F953" t="str">
        <f>""</f>
        <v/>
      </c>
      <c r="H953" t="str">
        <f>"3462091059"</f>
        <v>3462091059</v>
      </c>
    </row>
    <row r="954" spans="5:8" x14ac:dyDescent="0.25">
      <c r="E954" t="str">
        <f>""</f>
        <v/>
      </c>
      <c r="F954" t="str">
        <f>""</f>
        <v/>
      </c>
      <c r="H954" t="str">
        <f>"3462091065"</f>
        <v>3462091065</v>
      </c>
    </row>
    <row r="955" spans="5:8" x14ac:dyDescent="0.25">
      <c r="E955" t="str">
        <f>""</f>
        <v/>
      </c>
      <c r="F955" t="str">
        <f>""</f>
        <v/>
      </c>
      <c r="H955" t="str">
        <f>"3462091067"</f>
        <v>3462091067</v>
      </c>
    </row>
    <row r="956" spans="5:8" x14ac:dyDescent="0.25">
      <c r="E956" t="str">
        <f>""</f>
        <v/>
      </c>
      <c r="F956" t="str">
        <f>""</f>
        <v/>
      </c>
      <c r="H956" t="str">
        <f>"3462091069"</f>
        <v>3462091069</v>
      </c>
    </row>
    <row r="957" spans="5:8" x14ac:dyDescent="0.25">
      <c r="E957" t="str">
        <f>""</f>
        <v/>
      </c>
      <c r="F957" t="str">
        <f>""</f>
        <v/>
      </c>
      <c r="H957" t="str">
        <f>"3462091070"</f>
        <v>3462091070</v>
      </c>
    </row>
    <row r="958" spans="5:8" x14ac:dyDescent="0.25">
      <c r="E958" t="str">
        <f>""</f>
        <v/>
      </c>
      <c r="F958" t="str">
        <f>""</f>
        <v/>
      </c>
      <c r="H958" t="str">
        <f>"3462091072"</f>
        <v>3462091072</v>
      </c>
    </row>
    <row r="959" spans="5:8" x14ac:dyDescent="0.25">
      <c r="E959" t="str">
        <f>""</f>
        <v/>
      </c>
      <c r="F959" t="str">
        <f>""</f>
        <v/>
      </c>
      <c r="H959" t="str">
        <f>"3462091074"</f>
        <v>3462091074</v>
      </c>
    </row>
    <row r="960" spans="5:8" x14ac:dyDescent="0.25">
      <c r="E960" t="str">
        <f>""</f>
        <v/>
      </c>
      <c r="F960" t="str">
        <f>""</f>
        <v/>
      </c>
      <c r="H960" t="str">
        <f>"3462091051"</f>
        <v>3462091051</v>
      </c>
    </row>
    <row r="961" spans="1:8" x14ac:dyDescent="0.25">
      <c r="E961" t="str">
        <f>""</f>
        <v/>
      </c>
      <c r="F961" t="str">
        <f>""</f>
        <v/>
      </c>
      <c r="H961" t="str">
        <f>"3462091052"</f>
        <v>3462091052</v>
      </c>
    </row>
    <row r="962" spans="1:8" x14ac:dyDescent="0.25">
      <c r="E962" t="str">
        <f>"806213284"</f>
        <v>806213284</v>
      </c>
      <c r="F962" t="str">
        <f>"Statement"</f>
        <v>Statement</v>
      </c>
      <c r="G962" s="3">
        <v>2264.0100000000002</v>
      </c>
      <c r="H962" t="str">
        <f>"3461065575"</f>
        <v>3461065575</v>
      </c>
    </row>
    <row r="963" spans="1:8" x14ac:dyDescent="0.25">
      <c r="E963" t="str">
        <f>""</f>
        <v/>
      </c>
      <c r="F963" t="str">
        <f>""</f>
        <v/>
      </c>
      <c r="H963" t="str">
        <f>"3461065564"</f>
        <v>3461065564</v>
      </c>
    </row>
    <row r="964" spans="1:8" x14ac:dyDescent="0.25">
      <c r="E964" t="str">
        <f>""</f>
        <v/>
      </c>
      <c r="F964" t="str">
        <f>""</f>
        <v/>
      </c>
      <c r="H964" t="str">
        <f>"3461065566"</f>
        <v>3461065566</v>
      </c>
    </row>
    <row r="965" spans="1:8" x14ac:dyDescent="0.25">
      <c r="E965" t="str">
        <f>""</f>
        <v/>
      </c>
      <c r="F965" t="str">
        <f>""</f>
        <v/>
      </c>
      <c r="H965" t="str">
        <f>"3461065574"</f>
        <v>3461065574</v>
      </c>
    </row>
    <row r="966" spans="1:8" x14ac:dyDescent="0.25">
      <c r="E966" t="str">
        <f>""</f>
        <v/>
      </c>
      <c r="F966" t="str">
        <f>""</f>
        <v/>
      </c>
      <c r="H966" t="str">
        <f>"3461065567"</f>
        <v>3461065567</v>
      </c>
    </row>
    <row r="967" spans="1:8" x14ac:dyDescent="0.25">
      <c r="E967" t="str">
        <f>""</f>
        <v/>
      </c>
      <c r="F967" t="str">
        <f>""</f>
        <v/>
      </c>
      <c r="H967" t="str">
        <f>"3461065568"</f>
        <v>3461065568</v>
      </c>
    </row>
    <row r="968" spans="1:8" x14ac:dyDescent="0.25">
      <c r="E968" t="str">
        <f>""</f>
        <v/>
      </c>
      <c r="F968" t="str">
        <f>""</f>
        <v/>
      </c>
      <c r="H968" t="str">
        <f>"3461065578"</f>
        <v>3461065578</v>
      </c>
    </row>
    <row r="969" spans="1:8" x14ac:dyDescent="0.25">
      <c r="E969" t="str">
        <f>""</f>
        <v/>
      </c>
      <c r="F969" t="str">
        <f>""</f>
        <v/>
      </c>
      <c r="H969" t="str">
        <f>"3461065580"</f>
        <v>3461065580</v>
      </c>
    </row>
    <row r="970" spans="1:8" x14ac:dyDescent="0.25">
      <c r="E970" t="str">
        <f>""</f>
        <v/>
      </c>
      <c r="F970" t="str">
        <f>""</f>
        <v/>
      </c>
      <c r="H970" t="str">
        <f>"3461065579"</f>
        <v>3461065579</v>
      </c>
    </row>
    <row r="971" spans="1:8" x14ac:dyDescent="0.25">
      <c r="E971" t="str">
        <f>""</f>
        <v/>
      </c>
      <c r="F971" t="str">
        <f>""</f>
        <v/>
      </c>
      <c r="H971" t="str">
        <f>"3461065557"</f>
        <v>3461065557</v>
      </c>
    </row>
    <row r="972" spans="1:8" x14ac:dyDescent="0.25">
      <c r="E972" t="str">
        <f>""</f>
        <v/>
      </c>
      <c r="F972" t="str">
        <f>""</f>
        <v/>
      </c>
      <c r="H972" t="str">
        <f>"3461065559"</f>
        <v>3461065559</v>
      </c>
    </row>
    <row r="973" spans="1:8" x14ac:dyDescent="0.25">
      <c r="E973" t="str">
        <f>""</f>
        <v/>
      </c>
      <c r="F973" t="str">
        <f>""</f>
        <v/>
      </c>
      <c r="H973" t="str">
        <f>"3461065562"</f>
        <v>3461065562</v>
      </c>
    </row>
    <row r="974" spans="1:8" x14ac:dyDescent="0.25">
      <c r="E974" t="str">
        <f>""</f>
        <v/>
      </c>
      <c r="F974" t="str">
        <f>""</f>
        <v/>
      </c>
      <c r="H974" t="str">
        <f>"3461065569"</f>
        <v>3461065569</v>
      </c>
    </row>
    <row r="975" spans="1:8" x14ac:dyDescent="0.25">
      <c r="E975" t="str">
        <f>""</f>
        <v/>
      </c>
      <c r="F975" t="str">
        <f>""</f>
        <v/>
      </c>
      <c r="H975" t="str">
        <f>"3461065555"</f>
        <v>3461065555</v>
      </c>
    </row>
    <row r="976" spans="1:8" x14ac:dyDescent="0.25">
      <c r="A976" t="s">
        <v>265</v>
      </c>
      <c r="B976">
        <v>134025</v>
      </c>
      <c r="C976" s="3">
        <v>834.29</v>
      </c>
      <c r="D976" s="5">
        <v>44179</v>
      </c>
      <c r="E976" t="str">
        <f>"4009746811"</f>
        <v>4009746811</v>
      </c>
      <c r="F976" t="str">
        <f>"INV 4009746811"</f>
        <v>INV 4009746811</v>
      </c>
      <c r="G976" s="3">
        <v>834.29</v>
      </c>
      <c r="H976" t="str">
        <f>"INV 4009746811"</f>
        <v>INV 4009746811</v>
      </c>
    </row>
    <row r="977" spans="1:8" x14ac:dyDescent="0.25">
      <c r="A977" t="s">
        <v>266</v>
      </c>
      <c r="B977">
        <v>134026</v>
      </c>
      <c r="C977" s="3">
        <v>1972.8</v>
      </c>
      <c r="D977" s="5">
        <v>44179</v>
      </c>
      <c r="E977" t="str">
        <f>"2106225560"</f>
        <v>2106225560</v>
      </c>
      <c r="F977" t="str">
        <f>"Renewal"</f>
        <v>Renewal</v>
      </c>
      <c r="G977" s="3">
        <v>1972.8</v>
      </c>
      <c r="H977" t="str">
        <f>"Inv. 2106225560"</f>
        <v>Inv. 2106225560</v>
      </c>
    </row>
    <row r="978" spans="1:8" x14ac:dyDescent="0.25">
      <c r="A978" t="s">
        <v>267</v>
      </c>
      <c r="B978">
        <v>134027</v>
      </c>
      <c r="C978" s="3">
        <v>17698.32</v>
      </c>
      <c r="D978" s="5">
        <v>44179</v>
      </c>
      <c r="E978" t="str">
        <f>"1033523-IN"</f>
        <v>1033523-IN</v>
      </c>
      <c r="F978" t="str">
        <f>"ACCT#01-0112917/PCT#3"</f>
        <v>ACCT#01-0112917/PCT#3</v>
      </c>
      <c r="G978" s="3">
        <v>3197.41</v>
      </c>
      <c r="H978" t="str">
        <f>"ACCT#01-0112917/PCT#3"</f>
        <v>ACCT#01-0112917/PCT#3</v>
      </c>
    </row>
    <row r="979" spans="1:8" x14ac:dyDescent="0.25">
      <c r="E979" t="str">
        <f>"1033628-IN"</f>
        <v>1033628-IN</v>
      </c>
      <c r="F979" t="str">
        <f>"ACCT#01-0112917/PCT#3"</f>
        <v>ACCT#01-0112917/PCT#3</v>
      </c>
      <c r="G979" s="3">
        <v>3080.94</v>
      </c>
      <c r="H979" t="str">
        <f>"ACCT#01-0112917/PCT#3"</f>
        <v>ACCT#01-0112917/PCT#3</v>
      </c>
    </row>
    <row r="980" spans="1:8" x14ac:dyDescent="0.25">
      <c r="E980" t="str">
        <f>"1033865-IN"</f>
        <v>1033865-IN</v>
      </c>
      <c r="F980" t="str">
        <f>"ACCT#01-0112917/BOL#12266/PCT4"</f>
        <v>ACCT#01-0112917/BOL#12266/PCT4</v>
      </c>
      <c r="G980" s="3">
        <v>4417.05</v>
      </c>
      <c r="H980" t="str">
        <f>"ACCT#01-0112917/BOL#12266/PCT4"</f>
        <v>ACCT#01-0112917/BOL#12266/PCT4</v>
      </c>
    </row>
    <row r="981" spans="1:8" x14ac:dyDescent="0.25">
      <c r="E981" t="str">
        <f>"1034568-IN"</f>
        <v>1034568-IN</v>
      </c>
      <c r="F981" t="str">
        <f>"DIESEL EXHAUST FLUID PCT2"</f>
        <v>DIESEL EXHAUST FLUID PCT2</v>
      </c>
      <c r="G981" s="3">
        <v>339.12</v>
      </c>
      <c r="H981" t="str">
        <f>"DIESEL EXHAUST FLUID PCT2"</f>
        <v>DIESEL EXHAUST FLUID PCT2</v>
      </c>
    </row>
    <row r="982" spans="1:8" x14ac:dyDescent="0.25">
      <c r="E982" t="str">
        <f>"1036474-IN"</f>
        <v>1036474-IN</v>
      </c>
      <c r="F982" t="str">
        <f>"ACCT#01-0112917/PCT#3"</f>
        <v>ACCT#01-0112917/PCT#3</v>
      </c>
      <c r="G982" s="3">
        <v>3258.59</v>
      </c>
      <c r="H982" t="str">
        <f>"ACCT#01-0112917/PCT#3"</f>
        <v>ACCT#01-0112917/PCT#3</v>
      </c>
    </row>
    <row r="983" spans="1:8" x14ac:dyDescent="0.25">
      <c r="E983" t="str">
        <f>"1038471-IN"</f>
        <v>1038471-IN</v>
      </c>
      <c r="F983" t="str">
        <f>"ACCT#01-0112917/BOL#797750/P4"</f>
        <v>ACCT#01-0112917/BOL#797750/P4</v>
      </c>
      <c r="G983" s="3">
        <v>3405.21</v>
      </c>
      <c r="H983" t="str">
        <f>"ACCT#01-0112917/PCT#4"</f>
        <v>ACCT#01-0112917/PCT#4</v>
      </c>
    </row>
    <row r="984" spans="1:8" x14ac:dyDescent="0.25">
      <c r="A984" t="s">
        <v>268</v>
      </c>
      <c r="B984">
        <v>134028</v>
      </c>
      <c r="C984" s="3">
        <v>125</v>
      </c>
      <c r="D984" s="5">
        <v>44179</v>
      </c>
      <c r="E984" t="str">
        <f>"203162 / 203162"</f>
        <v>203162 / 203162</v>
      </c>
      <c r="F984" t="str">
        <f>"CDCAT MEMBS DUES-ROSE PIETSCH"</f>
        <v>CDCAT MEMBS DUES-ROSE PIETSCH</v>
      </c>
      <c r="G984" s="3">
        <v>125</v>
      </c>
      <c r="H984" t="str">
        <f>"CDCAT MEMBS DUES-ROSE PIETSCH"</f>
        <v>CDCAT MEMBS DUES-ROSE PIETSCH</v>
      </c>
    </row>
    <row r="985" spans="1:8" x14ac:dyDescent="0.25">
      <c r="A985" t="s">
        <v>269</v>
      </c>
      <c r="B985">
        <v>134029</v>
      </c>
      <c r="C985" s="3">
        <v>2654.58</v>
      </c>
      <c r="D985" s="5">
        <v>44179</v>
      </c>
      <c r="E985" t="str">
        <f>"224726"</f>
        <v>224726</v>
      </c>
      <c r="F985" t="str">
        <f>"CUST#1574/PCT#4"</f>
        <v>CUST#1574/PCT#4</v>
      </c>
      <c r="G985" s="3">
        <v>828.24</v>
      </c>
      <c r="H985" t="str">
        <f>"CUST#1574/PCT#4"</f>
        <v>CUST#1574/PCT#4</v>
      </c>
    </row>
    <row r="986" spans="1:8" x14ac:dyDescent="0.25">
      <c r="E986" t="str">
        <f>"224998"</f>
        <v>224998</v>
      </c>
      <c r="F986" t="str">
        <f>"CUST#1574/PCT#4"</f>
        <v>CUST#1574/PCT#4</v>
      </c>
      <c r="G986" s="3">
        <v>856.52</v>
      </c>
      <c r="H986" t="str">
        <f>"CUST#1574/PCT#4"</f>
        <v>CUST#1574/PCT#4</v>
      </c>
    </row>
    <row r="987" spans="1:8" x14ac:dyDescent="0.25">
      <c r="E987" t="str">
        <f>"225269"</f>
        <v>225269</v>
      </c>
      <c r="F987" t="str">
        <f>"CUST#1574/PCT#4"</f>
        <v>CUST#1574/PCT#4</v>
      </c>
      <c r="G987" s="3">
        <v>969.82</v>
      </c>
      <c r="H987" t="str">
        <f>"CUST#1574/PCT#4"</f>
        <v>CUST#1574/PCT#4</v>
      </c>
    </row>
    <row r="988" spans="1:8" x14ac:dyDescent="0.25">
      <c r="A988" t="s">
        <v>270</v>
      </c>
      <c r="B988">
        <v>134030</v>
      </c>
      <c r="C988" s="3">
        <v>24</v>
      </c>
      <c r="D988" s="5">
        <v>44179</v>
      </c>
      <c r="E988" t="str">
        <f>"CRS-202010-203436"</f>
        <v>CRS-202010-203436</v>
      </c>
      <c r="F988" t="str">
        <f>"CCH NAME SEARCH OCT 2020"</f>
        <v>CCH NAME SEARCH OCT 2020</v>
      </c>
      <c r="G988" s="3">
        <v>24</v>
      </c>
      <c r="H988" t="str">
        <f>"CCH NAME SEARCH OCT 2020"</f>
        <v>CCH NAME SEARCH OCT 2020</v>
      </c>
    </row>
    <row r="989" spans="1:8" x14ac:dyDescent="0.25">
      <c r="A989" t="s">
        <v>271</v>
      </c>
      <c r="B989">
        <v>134031</v>
      </c>
      <c r="C989" s="3">
        <v>155</v>
      </c>
      <c r="D989" s="5">
        <v>44179</v>
      </c>
      <c r="E989" t="str">
        <f>"5698357"</f>
        <v>5698357</v>
      </c>
      <c r="F989" t="str">
        <f>"CUST#1-238865/TAHITIAN VILLAGE"</f>
        <v>CUST#1-238865/TAHITIAN VILLAGE</v>
      </c>
      <c r="G989" s="3">
        <v>155</v>
      </c>
      <c r="H989" t="str">
        <f>"CUST#1-238865/TAHITIAN VILLAGE"</f>
        <v>CUST#1-238865/TAHITIAN VILLAGE</v>
      </c>
    </row>
    <row r="990" spans="1:8" x14ac:dyDescent="0.25">
      <c r="A990" t="s">
        <v>272</v>
      </c>
      <c r="B990">
        <v>134032</v>
      </c>
      <c r="C990" s="3">
        <v>1986.5</v>
      </c>
      <c r="D990" s="5">
        <v>44179</v>
      </c>
      <c r="E990" t="str">
        <f>"200919426"</f>
        <v>200919426</v>
      </c>
      <c r="F990" t="str">
        <f>"CUST #255120 COLD MIX PCT#2"</f>
        <v>CUST #255120 COLD MIX PCT#2</v>
      </c>
      <c r="G990" s="3">
        <v>1986.5</v>
      </c>
      <c r="H990" t="str">
        <f>"CUST #255120 COLD MIX PCT#2"</f>
        <v>CUST #255120 COLD MIX PCT#2</v>
      </c>
    </row>
    <row r="991" spans="1:8" x14ac:dyDescent="0.25">
      <c r="A991" t="s">
        <v>273</v>
      </c>
      <c r="B991">
        <v>134033</v>
      </c>
      <c r="C991" s="3">
        <v>867</v>
      </c>
      <c r="D991" s="5">
        <v>44179</v>
      </c>
      <c r="E991" t="str">
        <f>"3CO-1264-19"</f>
        <v>3CO-1264-19</v>
      </c>
      <c r="F991" t="str">
        <f>"A8286617 - K. WESSON"</f>
        <v>A8286617 - K. WESSON</v>
      </c>
      <c r="G991" s="3">
        <v>114.75</v>
      </c>
      <c r="H991" t="str">
        <f>"A8286617 - K. WESSON"</f>
        <v>A8286617 - K. WESSON</v>
      </c>
    </row>
    <row r="992" spans="1:8" x14ac:dyDescent="0.25">
      <c r="E992" t="str">
        <f>"3CO-1939-20"</f>
        <v>3CO-1939-20</v>
      </c>
      <c r="F992" t="str">
        <f>"A8329864 - J. SANCHEZ"</f>
        <v>A8329864 - J. SANCHEZ</v>
      </c>
      <c r="G992" s="3">
        <v>157.25</v>
      </c>
      <c r="H992" t="str">
        <f>"A8329864 - J. SANCHEZ"</f>
        <v>A8329864 - J. SANCHEZ</v>
      </c>
    </row>
    <row r="993" spans="1:8" x14ac:dyDescent="0.25">
      <c r="E993" t="str">
        <f>"3CO-1978-20"</f>
        <v>3CO-1978-20</v>
      </c>
      <c r="F993" t="str">
        <f>"A8361101-B. SHEPPARD"</f>
        <v>A8361101-B. SHEPPARD</v>
      </c>
      <c r="G993" s="3">
        <v>425</v>
      </c>
      <c r="H993" t="str">
        <f>"A8361101-B. SHEPPARD"</f>
        <v>A8361101-B. SHEPPARD</v>
      </c>
    </row>
    <row r="994" spans="1:8" x14ac:dyDescent="0.25">
      <c r="E994" t="str">
        <f>"A8329862"</f>
        <v>A8329862</v>
      </c>
      <c r="F994" t="str">
        <f>"3CO-1940-20/F. GUTIERREZ"</f>
        <v>3CO-1940-20/F. GUTIERREZ</v>
      </c>
      <c r="G994" s="3">
        <v>170</v>
      </c>
      <c r="H994" t="str">
        <f>"3CO-1940-20/F. GUTIERREZ"</f>
        <v>3CO-1940-20/F. GUTIERREZ</v>
      </c>
    </row>
    <row r="995" spans="1:8" x14ac:dyDescent="0.25">
      <c r="A995" t="s">
        <v>274</v>
      </c>
      <c r="B995">
        <v>134034</v>
      </c>
      <c r="C995" s="3">
        <v>366.98</v>
      </c>
      <c r="D995" s="5">
        <v>44179</v>
      </c>
      <c r="E995" t="str">
        <f>"70035761"</f>
        <v>70035761</v>
      </c>
      <c r="F995" t="str">
        <f>"INV 70035761"</f>
        <v>INV 70035761</v>
      </c>
      <c r="G995" s="3">
        <v>366.98</v>
      </c>
      <c r="H995" t="str">
        <f>"INV 70035761"</f>
        <v>INV 70035761</v>
      </c>
    </row>
    <row r="996" spans="1:8" x14ac:dyDescent="0.25">
      <c r="A996" t="s">
        <v>275</v>
      </c>
      <c r="B996">
        <v>134035</v>
      </c>
      <c r="C996" s="3">
        <v>632.58000000000004</v>
      </c>
      <c r="D996" s="5">
        <v>44179</v>
      </c>
      <c r="E996" t="str">
        <f>"0167100111620"</f>
        <v>0167100111620</v>
      </c>
      <c r="F996" t="str">
        <f>"ACCT#8260160170167100"</f>
        <v>ACCT#8260160170167100</v>
      </c>
      <c r="G996" s="3">
        <v>632.58000000000004</v>
      </c>
      <c r="H996" t="str">
        <f>"ACCT#8260160170167100"</f>
        <v>ACCT#8260160170167100</v>
      </c>
    </row>
    <row r="997" spans="1:8" x14ac:dyDescent="0.25">
      <c r="A997" t="s">
        <v>21</v>
      </c>
      <c r="B997">
        <v>134036</v>
      </c>
      <c r="C997" s="3">
        <v>542.16999999999996</v>
      </c>
      <c r="D997" s="5">
        <v>44179</v>
      </c>
      <c r="E997" t="str">
        <f>"100226556"</f>
        <v>100226556</v>
      </c>
      <c r="F997" t="str">
        <f>"Statement"</f>
        <v>Statement</v>
      </c>
      <c r="G997" s="3">
        <v>542.16999999999996</v>
      </c>
      <c r="H997" t="str">
        <f>"100227527"</f>
        <v>100227527</v>
      </c>
    </row>
    <row r="998" spans="1:8" x14ac:dyDescent="0.25">
      <c r="E998" t="str">
        <f>""</f>
        <v/>
      </c>
      <c r="F998" t="str">
        <f>""</f>
        <v/>
      </c>
      <c r="H998" t="str">
        <f>"100711213"</f>
        <v>100711213</v>
      </c>
    </row>
    <row r="999" spans="1:8" x14ac:dyDescent="0.25">
      <c r="E999" t="str">
        <f>""</f>
        <v/>
      </c>
      <c r="F999" t="str">
        <f>""</f>
        <v/>
      </c>
      <c r="H999" t="str">
        <f>"300661496"</f>
        <v>300661496</v>
      </c>
    </row>
    <row r="1000" spans="1:8" x14ac:dyDescent="0.25">
      <c r="E1000" t="str">
        <f>""</f>
        <v/>
      </c>
      <c r="F1000" t="str">
        <f>""</f>
        <v/>
      </c>
      <c r="H1000" t="str">
        <f>"100226556"</f>
        <v>100226556</v>
      </c>
    </row>
    <row r="1001" spans="1:8" x14ac:dyDescent="0.25">
      <c r="E1001" t="str">
        <f>""</f>
        <v/>
      </c>
      <c r="F1001" t="str">
        <f>""</f>
        <v/>
      </c>
      <c r="H1001" t="str">
        <f>"100226590"</f>
        <v>100226590</v>
      </c>
    </row>
    <row r="1002" spans="1:8" x14ac:dyDescent="0.25">
      <c r="A1002" t="s">
        <v>276</v>
      </c>
      <c r="B1002">
        <v>134037</v>
      </c>
      <c r="C1002" s="3">
        <v>160</v>
      </c>
      <c r="D1002" s="5">
        <v>44179</v>
      </c>
      <c r="E1002" t="str">
        <f>"13419"</f>
        <v>13419</v>
      </c>
      <c r="F1002" t="str">
        <f>"SERVICE"</f>
        <v>SERVICE</v>
      </c>
      <c r="G1002" s="3">
        <v>160</v>
      </c>
      <c r="H1002" t="str">
        <f>"SERVICE"</f>
        <v>SERVICE</v>
      </c>
    </row>
    <row r="1003" spans="1:8" x14ac:dyDescent="0.25">
      <c r="A1003" t="s">
        <v>277</v>
      </c>
      <c r="B1003">
        <v>134038</v>
      </c>
      <c r="C1003" s="3">
        <v>2900</v>
      </c>
      <c r="D1003" s="5">
        <v>44179</v>
      </c>
      <c r="E1003" t="str">
        <f>"3300004097"</f>
        <v>3300004097</v>
      </c>
      <c r="F1003" t="str">
        <f>"CUST#100011/INV#3300004097"</f>
        <v>CUST#100011/INV#3300004097</v>
      </c>
      <c r="G1003" s="3">
        <v>2900</v>
      </c>
      <c r="H1003" t="str">
        <f>"CUST#100011/INV#3300004097"</f>
        <v>CUST#100011/INV#3300004097</v>
      </c>
    </row>
    <row r="1004" spans="1:8" x14ac:dyDescent="0.25">
      <c r="A1004" t="s">
        <v>278</v>
      </c>
      <c r="B1004">
        <v>134039</v>
      </c>
      <c r="C1004" s="3">
        <v>19500</v>
      </c>
      <c r="D1004" s="5">
        <v>44179</v>
      </c>
      <c r="E1004" t="str">
        <f>"202012030566"</f>
        <v>202012030566</v>
      </c>
      <c r="F1004" t="str">
        <f>"TRAVIS PAVING &amp; EXCAVATING INC"</f>
        <v>TRAVIS PAVING &amp; EXCAVATING INC</v>
      </c>
      <c r="G1004" s="3">
        <v>19500</v>
      </c>
      <c r="H1004" t="str">
        <f>"Crack Seal Project"</f>
        <v>Crack Seal Project</v>
      </c>
    </row>
    <row r="1005" spans="1:8" x14ac:dyDescent="0.25">
      <c r="A1005" t="s">
        <v>279</v>
      </c>
      <c r="B1005">
        <v>134040</v>
      </c>
      <c r="C1005" s="3">
        <v>18540</v>
      </c>
      <c r="D1005" s="5">
        <v>44179</v>
      </c>
      <c r="E1005" t="str">
        <f>"20577"</f>
        <v>20577</v>
      </c>
      <c r="F1005" t="str">
        <f>"Ticket Writers"</f>
        <v>Ticket Writers</v>
      </c>
      <c r="G1005" s="3">
        <v>18540</v>
      </c>
      <c r="H1005" t="str">
        <f>"Tyler Software"</f>
        <v>Tyler Software</v>
      </c>
    </row>
    <row r="1006" spans="1:8" x14ac:dyDescent="0.25">
      <c r="E1006" t="str">
        <f>""</f>
        <v/>
      </c>
      <c r="F1006" t="str">
        <f>""</f>
        <v/>
      </c>
      <c r="H1006" t="str">
        <f>"Third Party Hardware"</f>
        <v>Third Party Hardware</v>
      </c>
    </row>
    <row r="1007" spans="1:8" x14ac:dyDescent="0.25">
      <c r="A1007" t="s">
        <v>280</v>
      </c>
      <c r="B1007">
        <v>134041</v>
      </c>
      <c r="C1007" s="3">
        <v>133.59</v>
      </c>
      <c r="D1007" s="5">
        <v>44179</v>
      </c>
      <c r="E1007" t="str">
        <f>"2012300"</f>
        <v>2012300</v>
      </c>
      <c r="F1007" t="str">
        <f>"ACCT#17460002268 003/REMOTE BA"</f>
        <v>ACCT#17460002268 003/REMOTE BA</v>
      </c>
      <c r="G1007" s="3">
        <v>133.59</v>
      </c>
      <c r="H1007" t="str">
        <f>"ACCT#17460002268 003/REMOTE BA"</f>
        <v>ACCT#17460002268 003/REMOTE BA</v>
      </c>
    </row>
    <row r="1008" spans="1:8" x14ac:dyDescent="0.25">
      <c r="A1008" t="s">
        <v>281</v>
      </c>
      <c r="B1008">
        <v>134042</v>
      </c>
      <c r="C1008" s="3">
        <v>90</v>
      </c>
      <c r="D1008" s="5">
        <v>44179</v>
      </c>
      <c r="E1008" t="str">
        <f>"10370729"</f>
        <v>10370729</v>
      </c>
      <c r="F1008" t="str">
        <f>"ACCT#00010699-4/PCT#3"</f>
        <v>ACCT#00010699-4/PCT#3</v>
      </c>
      <c r="G1008" s="3">
        <v>90</v>
      </c>
      <c r="H1008" t="str">
        <f>"ACCT#00010699-4/PCT#3"</f>
        <v>ACCT#00010699-4/PCT#3</v>
      </c>
    </row>
    <row r="1009" spans="1:8" x14ac:dyDescent="0.25">
      <c r="A1009" t="s">
        <v>282</v>
      </c>
      <c r="B1009">
        <v>134043</v>
      </c>
      <c r="C1009" s="3">
        <v>250</v>
      </c>
      <c r="D1009" s="5">
        <v>44179</v>
      </c>
      <c r="E1009" t="str">
        <f>"1020-DR14926"</f>
        <v>1020-DR14926</v>
      </c>
      <c r="F1009" t="str">
        <f>"CLIENT ID: CXD 14926"</f>
        <v>CLIENT ID: CXD 14926</v>
      </c>
      <c r="G1009" s="3">
        <v>166.55</v>
      </c>
      <c r="H1009" t="str">
        <f>"CLIENT ID: CXD 14926"</f>
        <v>CLIENT ID: CXD 14926</v>
      </c>
    </row>
    <row r="1010" spans="1:8" x14ac:dyDescent="0.25">
      <c r="E1010" t="str">
        <f>"1120-DR14926"</f>
        <v>1120-DR14926</v>
      </c>
      <c r="F1010" t="str">
        <f>"CLIENT ID:CXD 14926/NOVEMBER"</f>
        <v>CLIENT ID:CXD 14926/NOVEMBER</v>
      </c>
      <c r="G1010" s="3">
        <v>83.45</v>
      </c>
      <c r="H1010" t="str">
        <f>"CLIENT ID:CXD 14926/NOVEMBER"</f>
        <v>CLIENT ID:CXD 14926/NOVEMBER</v>
      </c>
    </row>
    <row r="1011" spans="1:8" x14ac:dyDescent="0.25">
      <c r="A1011" t="s">
        <v>283</v>
      </c>
      <c r="B1011">
        <v>134044</v>
      </c>
      <c r="C1011" s="3">
        <v>6879.98</v>
      </c>
      <c r="D1011" s="5">
        <v>44179</v>
      </c>
      <c r="E1011" t="str">
        <f>"0029853-2161-7"</f>
        <v>0029853-2161-7</v>
      </c>
      <c r="F1011" t="str">
        <f>"CUST ID:2-57060-55062/PCT#4"</f>
        <v>CUST ID:2-57060-55062/PCT#4</v>
      </c>
      <c r="G1011" s="3">
        <v>5426.33</v>
      </c>
      <c r="H1011" t="str">
        <f>"CUST ID:2-57060-55062/PCT#4"</f>
        <v>CUST ID:2-57060-55062/PCT#4</v>
      </c>
    </row>
    <row r="1012" spans="1:8" x14ac:dyDescent="0.25">
      <c r="E1012" t="str">
        <f>"0101740-2161-7"</f>
        <v>0101740-2161-7</v>
      </c>
      <c r="F1012" t="str">
        <f>"CUST ID:2-56581-95066/ANIMAL C"</f>
        <v>CUST ID:2-56581-95066/ANIMAL C</v>
      </c>
      <c r="G1012" s="3">
        <v>435.99</v>
      </c>
      <c r="H1012" t="str">
        <f>"CUST ID:2-56581-95066/ANIMAL C"</f>
        <v>CUST ID:2-56581-95066/ANIMAL C</v>
      </c>
    </row>
    <row r="1013" spans="1:8" x14ac:dyDescent="0.25">
      <c r="E1013" t="str">
        <f>"6707394-2161-8"</f>
        <v>6707394-2161-8</v>
      </c>
      <c r="F1013" t="str">
        <f>"CUST ID:23-90244-23005/PCT#4"</f>
        <v>CUST ID:23-90244-23005/PCT#4</v>
      </c>
      <c r="G1013" s="3">
        <v>1017.66</v>
      </c>
      <c r="H1013" t="str">
        <f>"CUST ID:23-90244-23005/PCT#4"</f>
        <v>CUST ID:23-90244-23005/PCT#4</v>
      </c>
    </row>
    <row r="1014" spans="1:8" x14ac:dyDescent="0.25">
      <c r="A1014" t="s">
        <v>284</v>
      </c>
      <c r="B1014">
        <v>134045</v>
      </c>
      <c r="C1014" s="3">
        <v>30283.5</v>
      </c>
      <c r="D1014" s="5">
        <v>44179</v>
      </c>
      <c r="E1014" t="str">
        <f>"202012030561"</f>
        <v>202012030561</v>
      </c>
      <c r="F1014" t="str">
        <f>"WATCH GUARD VIDEO"</f>
        <v>WATCH GUARD VIDEO</v>
      </c>
      <c r="G1014" s="3">
        <v>30283.5</v>
      </c>
      <c r="H1014" t="str">
        <f>"WAR-4RE-CAR-4th"</f>
        <v>WAR-4RE-CAR-4th</v>
      </c>
    </row>
    <row r="1015" spans="1:8" x14ac:dyDescent="0.25">
      <c r="E1015" t="str">
        <f>""</f>
        <v/>
      </c>
      <c r="F1015" t="str">
        <f>""</f>
        <v/>
      </c>
      <c r="H1015" t="str">
        <f>"WAR-VIS-CAM-4TH"</f>
        <v>WAR-VIS-CAM-4TH</v>
      </c>
    </row>
    <row r="1016" spans="1:8" x14ac:dyDescent="0.25">
      <c r="E1016" t="str">
        <f>""</f>
        <v/>
      </c>
      <c r="F1016" t="str">
        <f>""</f>
        <v/>
      </c>
      <c r="H1016" t="str">
        <f>"WAR-VIS-CAM-2ND"</f>
        <v>WAR-VIS-CAM-2ND</v>
      </c>
    </row>
    <row r="1017" spans="1:8" x14ac:dyDescent="0.25">
      <c r="E1017" t="str">
        <f>""</f>
        <v/>
      </c>
      <c r="F1017" t="str">
        <f>""</f>
        <v/>
      </c>
      <c r="H1017" t="str">
        <f>"WAR-VIS-CAM-3RD"</f>
        <v>WAR-VIS-CAM-3RD</v>
      </c>
    </row>
    <row r="1018" spans="1:8" x14ac:dyDescent="0.25">
      <c r="E1018" t="str">
        <f>""</f>
        <v/>
      </c>
      <c r="F1018" t="str">
        <f>""</f>
        <v/>
      </c>
      <c r="H1018" t="str">
        <f>"WAR-4RE-CAR-3RD"</f>
        <v>WAR-4RE-CAR-3RD</v>
      </c>
    </row>
    <row r="1019" spans="1:8" x14ac:dyDescent="0.25">
      <c r="E1019" t="str">
        <f>""</f>
        <v/>
      </c>
      <c r="F1019" t="str">
        <f>""</f>
        <v/>
      </c>
      <c r="H1019" t="str">
        <f>"WAR-4RE-CAR-2ND"</f>
        <v>WAR-4RE-CAR-2ND</v>
      </c>
    </row>
    <row r="1020" spans="1:8" x14ac:dyDescent="0.25">
      <c r="A1020" t="s">
        <v>285</v>
      </c>
      <c r="B1020">
        <v>134046</v>
      </c>
      <c r="C1020" s="3">
        <v>59.48</v>
      </c>
      <c r="D1020" s="5">
        <v>44179</v>
      </c>
      <c r="E1020" t="str">
        <f>"202012010367"</f>
        <v>202012010367</v>
      </c>
      <c r="F1020" t="str">
        <f>"REIMBURSE AMMUNITION"</f>
        <v>REIMBURSE AMMUNITION</v>
      </c>
      <c r="G1020" s="3">
        <v>59.48</v>
      </c>
      <c r="H1020" t="str">
        <f>"REIMBURSE AMMUNITION"</f>
        <v>REIMBURSE AMMUNITION</v>
      </c>
    </row>
    <row r="1021" spans="1:8" x14ac:dyDescent="0.25">
      <c r="A1021" t="s">
        <v>286</v>
      </c>
      <c r="B1021">
        <v>134047</v>
      </c>
      <c r="C1021" s="3">
        <v>66.33</v>
      </c>
      <c r="D1021" s="5">
        <v>44179</v>
      </c>
      <c r="E1021" t="str">
        <f>"202012080667"</f>
        <v>202012080667</v>
      </c>
      <c r="F1021" t="str">
        <f>"REIMBURSEMENT"</f>
        <v>REIMBURSEMENT</v>
      </c>
      <c r="G1021" s="3">
        <v>66.33</v>
      </c>
      <c r="H1021" t="str">
        <f>"REIMBURSEMENT"</f>
        <v>REIMBURSEMENT</v>
      </c>
    </row>
    <row r="1022" spans="1:8" x14ac:dyDescent="0.25">
      <c r="E1022" t="str">
        <f>""</f>
        <v/>
      </c>
      <c r="F1022" t="str">
        <f>""</f>
        <v/>
      </c>
      <c r="H1022" t="str">
        <f>"REIMBURSEMENT"</f>
        <v>REIMBURSEMENT</v>
      </c>
    </row>
    <row r="1023" spans="1:8" x14ac:dyDescent="0.25">
      <c r="E1023" t="str">
        <f>""</f>
        <v/>
      </c>
      <c r="F1023" t="str">
        <f>""</f>
        <v/>
      </c>
      <c r="H1023" t="str">
        <f>"REIMBURSEMENT"</f>
        <v>REIMBURSEMENT</v>
      </c>
    </row>
    <row r="1024" spans="1:8" x14ac:dyDescent="0.25">
      <c r="A1024" t="s">
        <v>287</v>
      </c>
      <c r="B1024">
        <v>134048</v>
      </c>
      <c r="C1024" s="3">
        <v>200</v>
      </c>
      <c r="D1024" s="5">
        <v>44179</v>
      </c>
      <c r="E1024" t="str">
        <f>"20106"</f>
        <v>20106</v>
      </c>
      <c r="F1024" t="str">
        <f>"INTERPRETATION SVCS"</f>
        <v>INTERPRETATION SVCS</v>
      </c>
      <c r="G1024" s="3">
        <v>200</v>
      </c>
      <c r="H1024" t="str">
        <f>"INTERPRETATION SVCS"</f>
        <v>INTERPRETATION SVCS</v>
      </c>
    </row>
    <row r="1025" spans="1:8" x14ac:dyDescent="0.25">
      <c r="A1025" t="s">
        <v>288</v>
      </c>
      <c r="B1025">
        <v>134049</v>
      </c>
      <c r="C1025" s="3">
        <v>227.66</v>
      </c>
      <c r="D1025" s="5">
        <v>44179</v>
      </c>
      <c r="E1025" t="str">
        <f>"6740717"</f>
        <v>6740717</v>
      </c>
      <c r="F1025" t="str">
        <f>"CUST#339435/ORD#64787/00/P3"</f>
        <v>CUST#339435/ORD#64787/00/P3</v>
      </c>
      <c r="G1025" s="3">
        <v>227.66</v>
      </c>
      <c r="H1025" t="str">
        <f>"CUST#339435/ORD#64787/00/P3"</f>
        <v>CUST#339435/ORD#64787/00/P3</v>
      </c>
    </row>
    <row r="1026" spans="1:8" x14ac:dyDescent="0.25">
      <c r="A1026" t="s">
        <v>289</v>
      </c>
      <c r="B1026">
        <v>134050</v>
      </c>
      <c r="C1026" s="3">
        <v>1658.16</v>
      </c>
      <c r="D1026" s="5">
        <v>44179</v>
      </c>
      <c r="E1026" t="str">
        <f>"SM200053"</f>
        <v>SM200053</v>
      </c>
      <c r="F1026" t="str">
        <f>"WORKPLACE RESOURCE"</f>
        <v>WORKPLACE RESOURCE</v>
      </c>
      <c r="G1026" s="3">
        <v>1658.16</v>
      </c>
      <c r="H1026" t="str">
        <f>"AER1833DW Work Chair"</f>
        <v>AER1833DW Work Chair</v>
      </c>
    </row>
    <row r="1027" spans="1:8" x14ac:dyDescent="0.25">
      <c r="A1027" t="s">
        <v>290</v>
      </c>
      <c r="B1027">
        <v>134051</v>
      </c>
      <c r="C1027" s="3">
        <v>17.5</v>
      </c>
      <c r="D1027" s="5">
        <v>44179</v>
      </c>
      <c r="E1027" t="s">
        <v>183</v>
      </c>
      <c r="F1027" s="3" t="str">
        <f>"RESTITUTION - M. MANZANARES"</f>
        <v>RESTITUTION - M. MANZANARES</v>
      </c>
      <c r="G1027" s="3">
        <v>17.5</v>
      </c>
      <c r="H1027" s="3" t="str">
        <f>"RESTITUTION - M. MANZANARES"</f>
        <v>RESTITUTION - M. MANZANARES</v>
      </c>
    </row>
    <row r="1028" spans="1:8" x14ac:dyDescent="0.25">
      <c r="A1028" t="s">
        <v>291</v>
      </c>
      <c r="B1028">
        <v>134052</v>
      </c>
      <c r="C1028" s="3">
        <v>373.62</v>
      </c>
      <c r="D1028" s="5">
        <v>44179</v>
      </c>
      <c r="E1028" t="str">
        <f>"512607"</f>
        <v>512607</v>
      </c>
      <c r="F1028" t="str">
        <f>"INV 512607"</f>
        <v>INV 512607</v>
      </c>
      <c r="G1028" s="3">
        <v>373.62</v>
      </c>
      <c r="H1028" t="str">
        <f>"INV 512607"</f>
        <v>INV 512607</v>
      </c>
    </row>
    <row r="1029" spans="1:8" x14ac:dyDescent="0.25">
      <c r="A1029" t="s">
        <v>292</v>
      </c>
      <c r="B1029">
        <v>134053</v>
      </c>
      <c r="C1029" s="3">
        <v>5018.95</v>
      </c>
      <c r="D1029" s="5">
        <v>44179</v>
      </c>
      <c r="E1029" t="str">
        <f>"9011912576"</f>
        <v>9011912576</v>
      </c>
      <c r="F1029" t="str">
        <f>"CUST#1000113183/ANIMAL SVCS"</f>
        <v>CUST#1000113183/ANIMAL SVCS</v>
      </c>
      <c r="G1029" s="3">
        <v>1698.4</v>
      </c>
      <c r="H1029" t="str">
        <f>"CUST#1000113183/ANIMAL SVCS"</f>
        <v>CUST#1000113183/ANIMAL SVCS</v>
      </c>
    </row>
    <row r="1030" spans="1:8" x14ac:dyDescent="0.25">
      <c r="E1030" t="str">
        <f>"9011931636"</f>
        <v>9011931636</v>
      </c>
      <c r="F1030" t="str">
        <f>"CUST#1000113183/ANIMAL SVCS"</f>
        <v>CUST#1000113183/ANIMAL SVCS</v>
      </c>
      <c r="G1030" s="3">
        <v>308.14999999999998</v>
      </c>
      <c r="H1030" t="str">
        <f>"CUST#1000113183/ANIMAL SVCS"</f>
        <v>CUST#1000113183/ANIMAL SVCS</v>
      </c>
    </row>
    <row r="1031" spans="1:8" x14ac:dyDescent="0.25">
      <c r="E1031" t="str">
        <f>"9011931665"</f>
        <v>9011931665</v>
      </c>
      <c r="F1031" t="str">
        <f>"CUST#1000113183/ANIMAL SVCS"</f>
        <v>CUST#1000113183/ANIMAL SVCS</v>
      </c>
      <c r="G1031" s="3">
        <v>1276.8</v>
      </c>
      <c r="H1031" t="str">
        <f>"CUST#1000113183/ANIMAL SVCS"</f>
        <v>CUST#1000113183/ANIMAL SVCS</v>
      </c>
    </row>
    <row r="1032" spans="1:8" x14ac:dyDescent="0.25">
      <c r="E1032" t="str">
        <f>"9011962212"</f>
        <v>9011962212</v>
      </c>
      <c r="F1032" t="str">
        <f>"CUST#1000113183/ANIMAL SVCS"</f>
        <v>CUST#1000113183/ANIMAL SVCS</v>
      </c>
      <c r="G1032" s="3">
        <v>507.2</v>
      </c>
      <c r="H1032" t="str">
        <f>"CUST#1000113183/ANIMAL SVCS"</f>
        <v>CUST#1000113183/ANIMAL SVCS</v>
      </c>
    </row>
    <row r="1033" spans="1:8" x14ac:dyDescent="0.25">
      <c r="E1033" t="str">
        <f>"9012044324"</f>
        <v>9012044324</v>
      </c>
      <c r="F1033" t="str">
        <f>"CUST#1000113183/ANIMAL SVCS"</f>
        <v>CUST#1000113183/ANIMAL SVCS</v>
      </c>
      <c r="G1033" s="3">
        <v>1228.4000000000001</v>
      </c>
      <c r="H1033" t="str">
        <f>"CUST#1000113183/ANIMAL SVCS"</f>
        <v>CUST#1000113183/ANIMAL SVCS</v>
      </c>
    </row>
    <row r="1034" spans="1:8" x14ac:dyDescent="0.25">
      <c r="A1034" t="s">
        <v>293</v>
      </c>
      <c r="B1034">
        <v>134054</v>
      </c>
      <c r="C1034" s="3">
        <v>146.52000000000001</v>
      </c>
      <c r="D1034" s="5">
        <v>44179</v>
      </c>
      <c r="E1034" t="str">
        <f>"INV8653942"</f>
        <v>INV8653942</v>
      </c>
      <c r="F1034" t="str">
        <f>"Toilet Parts"</f>
        <v>Toilet Parts</v>
      </c>
      <c r="G1034" s="3">
        <v>146.52000000000001</v>
      </c>
      <c r="H1034" t="str">
        <f>"Control Stop Kit"</f>
        <v>Control Stop Kit</v>
      </c>
    </row>
    <row r="1035" spans="1:8" x14ac:dyDescent="0.25">
      <c r="E1035" t="str">
        <f>""</f>
        <v/>
      </c>
      <c r="F1035" t="str">
        <f>""</f>
        <v/>
      </c>
      <c r="H1035" t="str">
        <f>"Repair Kit  Urinal"</f>
        <v>Repair Kit  Urinal</v>
      </c>
    </row>
    <row r="1036" spans="1:8" x14ac:dyDescent="0.25">
      <c r="A1036" t="s">
        <v>294</v>
      </c>
      <c r="B1036">
        <v>134083</v>
      </c>
      <c r="C1036" s="3">
        <v>75</v>
      </c>
      <c r="D1036" s="5">
        <v>44180</v>
      </c>
      <c r="E1036" t="str">
        <f>"202012150699"</f>
        <v>202012150699</v>
      </c>
      <c r="F1036" t="str">
        <f>"PERSONAL SVC  CITATION G-338"</f>
        <v>PERSONAL SVC  CITATION G-338</v>
      </c>
      <c r="G1036" s="3">
        <v>75</v>
      </c>
      <c r="H1036" t="str">
        <f>"PERSONAL SVC  CITATION G-338"</f>
        <v>PERSONAL SVC  CITATION G-338</v>
      </c>
    </row>
    <row r="1037" spans="1:8" x14ac:dyDescent="0.25">
      <c r="A1037" t="s">
        <v>143</v>
      </c>
      <c r="B1037">
        <v>134084</v>
      </c>
      <c r="C1037" s="3">
        <v>66.290000000000006</v>
      </c>
      <c r="D1037" s="5">
        <v>44181</v>
      </c>
      <c r="E1037" t="str">
        <f>"202012160701"</f>
        <v>202012160701</v>
      </c>
      <c r="F1037" t="str">
        <f>"ACCT#0102120801 / 12052020"</f>
        <v>ACCT#0102120801 / 12052020</v>
      </c>
      <c r="G1037" s="3">
        <v>38.479999999999997</v>
      </c>
      <c r="H1037" t="str">
        <f>"ACCT#0102120801 / 12052020"</f>
        <v>ACCT#0102120801 / 12052020</v>
      </c>
    </row>
    <row r="1038" spans="1:8" x14ac:dyDescent="0.25">
      <c r="E1038" t="str">
        <f>"202012160702"</f>
        <v>202012160702</v>
      </c>
      <c r="F1038" t="str">
        <f>"ACCT#0201891401 / 12052020"</f>
        <v>ACCT#0201891401 / 12052020</v>
      </c>
      <c r="G1038" s="3">
        <v>27.81</v>
      </c>
      <c r="H1038" t="str">
        <f>"ACCT#0201891401 / 12052020"</f>
        <v>ACCT#0201891401 / 12052020</v>
      </c>
    </row>
    <row r="1039" spans="1:8" x14ac:dyDescent="0.25">
      <c r="A1039" t="s">
        <v>295</v>
      </c>
      <c r="B1039">
        <v>134085</v>
      </c>
      <c r="C1039" s="3">
        <v>3654.07</v>
      </c>
      <c r="D1039" s="5">
        <v>44181</v>
      </c>
      <c r="E1039" t="str">
        <f>"202012160707"</f>
        <v>202012160707</v>
      </c>
      <c r="F1039" t="str">
        <f>"ACCT# 5500090397 / 12012020"</f>
        <v>ACCT# 5500090397 / 12012020</v>
      </c>
      <c r="G1039" s="3">
        <v>93.56</v>
      </c>
      <c r="H1039" t="str">
        <f>"BLUEBONNET ELECTRIC COOPERATIV"</f>
        <v>BLUEBONNET ELECTRIC COOPERATIV</v>
      </c>
    </row>
    <row r="1040" spans="1:8" x14ac:dyDescent="0.25">
      <c r="E1040" t="str">
        <f>"202012160708"</f>
        <v>202012160708</v>
      </c>
      <c r="F1040" t="str">
        <f>"ACCT#5000057374 / 12032020"</f>
        <v>ACCT#5000057374 / 12032020</v>
      </c>
      <c r="G1040" s="3">
        <v>3560.51</v>
      </c>
      <c r="H1040" t="str">
        <f>"ACCT#5000057374 / 12032020"</f>
        <v>ACCT#5000057374 / 12032020</v>
      </c>
    </row>
    <row r="1041" spans="1:8" x14ac:dyDescent="0.25">
      <c r="E1041" t="str">
        <f>""</f>
        <v/>
      </c>
      <c r="F1041" t="str">
        <f>""</f>
        <v/>
      </c>
      <c r="H1041" t="str">
        <f>"ACCT#5000057374 / 12032020"</f>
        <v>ACCT#5000057374 / 12032020</v>
      </c>
    </row>
    <row r="1042" spans="1:8" x14ac:dyDescent="0.25">
      <c r="E1042" t="str">
        <f>""</f>
        <v/>
      </c>
      <c r="F1042" t="str">
        <f>""</f>
        <v/>
      </c>
      <c r="H1042" t="str">
        <f>"ACCT#5000057374 / 12032020"</f>
        <v>ACCT#5000057374 / 12032020</v>
      </c>
    </row>
    <row r="1043" spans="1:8" x14ac:dyDescent="0.25">
      <c r="E1043" t="str">
        <f>""</f>
        <v/>
      </c>
      <c r="F1043" t="str">
        <f>""</f>
        <v/>
      </c>
      <c r="H1043" t="str">
        <f>"ACCT#5000057374 / 12032020"</f>
        <v>ACCT#5000057374 / 12032020</v>
      </c>
    </row>
    <row r="1044" spans="1:8" x14ac:dyDescent="0.25">
      <c r="A1044" t="s">
        <v>296</v>
      </c>
      <c r="B1044">
        <v>134086</v>
      </c>
      <c r="C1044" s="3">
        <v>39978.76</v>
      </c>
      <c r="D1044" s="5">
        <v>44181</v>
      </c>
      <c r="E1044" t="str">
        <f>"202012160703"</f>
        <v>202012160703</v>
      </c>
      <c r="F1044" t="str">
        <f>"ACCT#02-2083-04 / 11292020"</f>
        <v>ACCT#02-2083-04 / 11292020</v>
      </c>
      <c r="G1044" s="3">
        <v>5437.03</v>
      </c>
      <c r="H1044" t="str">
        <f>"ACCT#02-2083-04 / 11292020"</f>
        <v>ACCT#02-2083-04 / 11292020</v>
      </c>
    </row>
    <row r="1045" spans="1:8" x14ac:dyDescent="0.25">
      <c r="E1045" t="str">
        <f>"202012160704"</f>
        <v>202012160704</v>
      </c>
      <c r="F1045" t="str">
        <f>"COUNTY DEV CTR / 11292020"</f>
        <v>COUNTY DEV CTR / 11292020</v>
      </c>
      <c r="G1045" s="3">
        <v>1523.91</v>
      </c>
      <c r="H1045" t="str">
        <f>"CITY OF BASTROP"</f>
        <v>CITY OF BASTROP</v>
      </c>
    </row>
    <row r="1046" spans="1:8" x14ac:dyDescent="0.25">
      <c r="E1046" t="str">
        <f>"202012160705"</f>
        <v>202012160705</v>
      </c>
      <c r="F1046" t="str">
        <f>"COUNTY LAW CTR / 11292020"</f>
        <v>COUNTY LAW CTR / 11292020</v>
      </c>
      <c r="G1046" s="3">
        <v>21467.1</v>
      </c>
      <c r="H1046" t="str">
        <f>"CITY OF BASTROP"</f>
        <v>CITY OF BASTROP</v>
      </c>
    </row>
    <row r="1047" spans="1:8" x14ac:dyDescent="0.25">
      <c r="E1047" t="str">
        <f>"202012160706"</f>
        <v>202012160706</v>
      </c>
      <c r="F1047" t="str">
        <f>"BASTROP COURTHOUSE / 11292020"</f>
        <v>BASTROP COURTHOUSE / 11292020</v>
      </c>
      <c r="G1047" s="3">
        <v>11550.72</v>
      </c>
      <c r="H1047" t="str">
        <f>"CITY OF BASTROP"</f>
        <v>CITY OF BASTROP</v>
      </c>
    </row>
    <row r="1048" spans="1:8" x14ac:dyDescent="0.25">
      <c r="A1048" t="s">
        <v>130</v>
      </c>
      <c r="B1048">
        <v>134088</v>
      </c>
      <c r="C1048" s="3">
        <v>40</v>
      </c>
      <c r="D1048" s="5">
        <v>44186</v>
      </c>
      <c r="E1048" t="str">
        <f>"202012210814"</f>
        <v>202012210814</v>
      </c>
      <c r="F1048" t="str">
        <f>"Misc"</f>
        <v>Misc</v>
      </c>
      <c r="G1048" s="3">
        <v>40</v>
      </c>
      <c r="H1048" t="str">
        <f>"CHARITTY NOEL ALEXANDER"</f>
        <v>CHARITTY NOEL ALEXANDER</v>
      </c>
    </row>
    <row r="1049" spans="1:8" x14ac:dyDescent="0.25">
      <c r="A1049" t="s">
        <v>131</v>
      </c>
      <c r="B1049">
        <v>134089</v>
      </c>
      <c r="C1049" s="3">
        <v>40</v>
      </c>
      <c r="D1049" s="5">
        <v>44186</v>
      </c>
      <c r="E1049" t="str">
        <f>"202012210815"</f>
        <v>202012210815</v>
      </c>
      <c r="F1049" t="str">
        <f>"Miscel"</f>
        <v>Miscel</v>
      </c>
      <c r="G1049" s="3">
        <v>40</v>
      </c>
      <c r="H1049" t="str">
        <f>"JESSICA LEON-CIPRIANO"</f>
        <v>JESSICA LEON-CIPRIANO</v>
      </c>
    </row>
    <row r="1050" spans="1:8" x14ac:dyDescent="0.25">
      <c r="A1050" t="s">
        <v>132</v>
      </c>
      <c r="B1050">
        <v>134090</v>
      </c>
      <c r="C1050" s="3">
        <v>40</v>
      </c>
      <c r="D1050" s="5">
        <v>44186</v>
      </c>
      <c r="E1050" t="str">
        <f>"202012210816"</f>
        <v>202012210816</v>
      </c>
      <c r="F1050" t="str">
        <f>"Miscell"</f>
        <v>Miscell</v>
      </c>
      <c r="G1050" s="3">
        <v>40</v>
      </c>
      <c r="H1050" t="str">
        <f>"ERICK RENE RODRIGUEZ"</f>
        <v>ERICK RENE RODRIGUEZ</v>
      </c>
    </row>
    <row r="1051" spans="1:8" x14ac:dyDescent="0.25">
      <c r="A1051" t="s">
        <v>133</v>
      </c>
      <c r="B1051">
        <v>134091</v>
      </c>
      <c r="C1051" s="3">
        <v>40</v>
      </c>
      <c r="D1051" s="5">
        <v>44186</v>
      </c>
      <c r="E1051" t="str">
        <f>"202012210817"</f>
        <v>202012210817</v>
      </c>
      <c r="F1051" t="str">
        <f>"Miscell"</f>
        <v>Miscell</v>
      </c>
      <c r="G1051" s="3">
        <v>40</v>
      </c>
      <c r="H1051" t="str">
        <f>"BEATRICE MARY FLIPPO"</f>
        <v>BEATRICE MARY FLIPPO</v>
      </c>
    </row>
    <row r="1052" spans="1:8" x14ac:dyDescent="0.25">
      <c r="A1052" t="s">
        <v>134</v>
      </c>
      <c r="B1052">
        <v>134092</v>
      </c>
      <c r="C1052" s="3">
        <v>40</v>
      </c>
      <c r="D1052" s="5">
        <v>44186</v>
      </c>
      <c r="E1052" t="str">
        <f>"202012210818"</f>
        <v>202012210818</v>
      </c>
      <c r="F1052" t="str">
        <f>"Miscellan"</f>
        <v>Miscellan</v>
      </c>
      <c r="G1052" s="3">
        <v>40</v>
      </c>
      <c r="H1052" t="str">
        <f>"JEFFREY NEIL EWING"</f>
        <v>JEFFREY NEIL EWING</v>
      </c>
    </row>
    <row r="1053" spans="1:8" x14ac:dyDescent="0.25">
      <c r="A1053" t="s">
        <v>135</v>
      </c>
      <c r="B1053">
        <v>134093</v>
      </c>
      <c r="C1053" s="3">
        <v>40</v>
      </c>
      <c r="D1053" s="5">
        <v>44186</v>
      </c>
      <c r="E1053" t="str">
        <f>"202012210819"</f>
        <v>202012210819</v>
      </c>
      <c r="F1053" t="str">
        <f>"Miscel"</f>
        <v>Miscel</v>
      </c>
      <c r="G1053" s="3">
        <v>40</v>
      </c>
      <c r="H1053" t="str">
        <f>"JEFFREY SCOTT KUBICEK"</f>
        <v>JEFFREY SCOTT KUBICEK</v>
      </c>
    </row>
    <row r="1054" spans="1:8" x14ac:dyDescent="0.25">
      <c r="A1054" t="s">
        <v>137</v>
      </c>
      <c r="B1054">
        <v>134094</v>
      </c>
      <c r="C1054" s="3">
        <v>40</v>
      </c>
      <c r="D1054" s="5">
        <v>44186</v>
      </c>
      <c r="E1054" t="str">
        <f>"202012210820"</f>
        <v>202012210820</v>
      </c>
      <c r="F1054" t="str">
        <f>"Miscellaneo"</f>
        <v>Miscellaneo</v>
      </c>
      <c r="G1054" s="3">
        <v>40</v>
      </c>
      <c r="H1054" t="str">
        <f>"MARTIN DAVID RAZ"</f>
        <v>MARTIN DAVID RAZ</v>
      </c>
    </row>
    <row r="1055" spans="1:8" x14ac:dyDescent="0.25">
      <c r="A1055" t="s">
        <v>139</v>
      </c>
      <c r="B1055">
        <v>134095</v>
      </c>
      <c r="C1055" s="3">
        <v>40</v>
      </c>
      <c r="D1055" s="5">
        <v>44186</v>
      </c>
      <c r="E1055" t="str">
        <f>"202012210821"</f>
        <v>202012210821</v>
      </c>
      <c r="F1055" t="str">
        <f>"Miscel"</f>
        <v>Miscel</v>
      </c>
      <c r="G1055" s="3">
        <v>40</v>
      </c>
      <c r="H1055" t="str">
        <f>"THERESA PSENCIK ZETKA"</f>
        <v>THERESA PSENCIK ZETKA</v>
      </c>
    </row>
    <row r="1056" spans="1:8" x14ac:dyDescent="0.25">
      <c r="A1056" t="s">
        <v>140</v>
      </c>
      <c r="B1056">
        <v>134096</v>
      </c>
      <c r="C1056" s="3">
        <v>40</v>
      </c>
      <c r="D1056" s="5">
        <v>44186</v>
      </c>
      <c r="E1056" t="str">
        <f>"202012210822"</f>
        <v>202012210822</v>
      </c>
      <c r="F1056" t="str">
        <f>"Miscellan"</f>
        <v>Miscellan</v>
      </c>
      <c r="G1056" s="3">
        <v>40</v>
      </c>
      <c r="H1056" t="str">
        <f>"CAROL ANN JOHNSTON"</f>
        <v>CAROL ANN JOHNSTON</v>
      </c>
    </row>
    <row r="1057" spans="1:8" x14ac:dyDescent="0.25">
      <c r="A1057" t="s">
        <v>143</v>
      </c>
      <c r="B1057">
        <v>134097</v>
      </c>
      <c r="C1057" s="3">
        <v>1509.44</v>
      </c>
      <c r="D1057" s="5">
        <v>44187</v>
      </c>
      <c r="E1057" t="str">
        <f>"202012220900"</f>
        <v>202012220900</v>
      </c>
      <c r="F1057" t="str">
        <f>"ACCT#0102120801 / 12202020"</f>
        <v>ACCT#0102120801 / 12202020</v>
      </c>
      <c r="G1057" s="3">
        <v>598.45000000000005</v>
      </c>
      <c r="H1057" t="str">
        <f>"ACCT#0102120801 / 12032020"</f>
        <v>ACCT#0102120801 / 12032020</v>
      </c>
    </row>
    <row r="1058" spans="1:8" x14ac:dyDescent="0.25">
      <c r="E1058" t="str">
        <f>"202012220901"</f>
        <v>202012220901</v>
      </c>
      <c r="F1058" t="str">
        <f>"ACCT#0400785803 / 12202020"</f>
        <v>ACCT#0400785803 / 12202020</v>
      </c>
      <c r="G1058" s="3">
        <v>200.92</v>
      </c>
      <c r="H1058" t="str">
        <f>"ACCT#0400785803 / 11032020"</f>
        <v>ACCT#0400785803 / 11032020</v>
      </c>
    </row>
    <row r="1059" spans="1:8" x14ac:dyDescent="0.25">
      <c r="E1059" t="str">
        <f>"202012220902"</f>
        <v>202012220902</v>
      </c>
      <c r="F1059" t="str">
        <f>"ACCT#0401408501 / 12202020"</f>
        <v>ACCT#0401408501 / 12202020</v>
      </c>
      <c r="G1059" s="3">
        <v>631.82000000000005</v>
      </c>
      <c r="H1059" t="str">
        <f>"ACCT#0401408501 / 11032020"</f>
        <v>ACCT#0401408501 / 11032020</v>
      </c>
    </row>
    <row r="1060" spans="1:8" x14ac:dyDescent="0.25">
      <c r="E1060" t="str">
        <f>"202012220903"</f>
        <v>202012220903</v>
      </c>
      <c r="F1060" t="str">
        <f>"ACCT#4530969 / 12202020"</f>
        <v>ACCT#4530969 / 12202020</v>
      </c>
      <c r="G1060" s="3">
        <v>49.52</v>
      </c>
      <c r="H1060" t="str">
        <f>"ACCT#4530969 / 122020"</f>
        <v>ACCT#4530969 / 122020</v>
      </c>
    </row>
    <row r="1061" spans="1:8" x14ac:dyDescent="0.25">
      <c r="E1061" t="str">
        <f>"202012220904"</f>
        <v>202012220904</v>
      </c>
      <c r="F1061" t="str">
        <f>"ACCT#0802361501 / 12202020"</f>
        <v>ACCT#0802361501 / 12202020</v>
      </c>
      <c r="G1061" s="3">
        <v>28.73</v>
      </c>
      <c r="H1061" t="str">
        <f>"ACCT#0802361501 / 12202020"</f>
        <v>ACCT#0802361501 / 12202020</v>
      </c>
    </row>
    <row r="1062" spans="1:8" x14ac:dyDescent="0.25">
      <c r="A1062" t="s">
        <v>146</v>
      </c>
      <c r="B1062">
        <v>134098</v>
      </c>
      <c r="C1062" s="3">
        <v>749.4</v>
      </c>
      <c r="D1062" s="5">
        <v>44187</v>
      </c>
      <c r="E1062" t="str">
        <f>"202012220905"</f>
        <v>202012220905</v>
      </c>
      <c r="F1062" t="str">
        <f>"ACCT#405900029213 / 01012021"</f>
        <v>ACCT#405900029213 / 01012021</v>
      </c>
      <c r="G1062" s="3">
        <v>374.7</v>
      </c>
      <c r="H1062" t="str">
        <f>"ACCT#405900029213 / 01012021"</f>
        <v>ACCT#405900029213 / 01012021</v>
      </c>
    </row>
    <row r="1063" spans="1:8" x14ac:dyDescent="0.25">
      <c r="E1063" t="str">
        <f>"202012220906"</f>
        <v>202012220906</v>
      </c>
      <c r="F1063" t="str">
        <f>"ACCT#405900029225 / 01012021"</f>
        <v>ACCT#405900029225 / 01012021</v>
      </c>
      <c r="G1063" s="3">
        <v>187.35</v>
      </c>
      <c r="H1063" t="str">
        <f>"ACCT#405900029225 / 01012021"</f>
        <v>ACCT#405900029225 / 01012021</v>
      </c>
    </row>
    <row r="1064" spans="1:8" x14ac:dyDescent="0.25">
      <c r="E1064" t="str">
        <f>"202012220907"</f>
        <v>202012220907</v>
      </c>
      <c r="F1064" t="str">
        <f>"ACCT#405900028789 / 01012021"</f>
        <v>ACCT#405900028789 / 01012021</v>
      </c>
      <c r="G1064" s="3">
        <v>187.35</v>
      </c>
      <c r="H1064" t="str">
        <f>"ACCT#405900028789 / 01012021"</f>
        <v>ACCT#405900028789 / 01012021</v>
      </c>
    </row>
    <row r="1065" spans="1:8" x14ac:dyDescent="0.25">
      <c r="A1065" t="s">
        <v>268</v>
      </c>
      <c r="B1065">
        <v>134099</v>
      </c>
      <c r="C1065" s="3">
        <v>91527.43</v>
      </c>
      <c r="D1065" s="5">
        <v>44187</v>
      </c>
      <c r="E1065" t="str">
        <f>"NRCN-30604-WC1"</f>
        <v>NRCN-30604-WC1</v>
      </c>
      <c r="F1065" t="str">
        <f>"1ST QTR 2021 WRKRS COMP/#0110"</f>
        <v>1ST QTR 2021 WRKRS COMP/#0110</v>
      </c>
      <c r="G1065" s="3">
        <v>91527.43</v>
      </c>
      <c r="H1065" t="str">
        <f t="shared" ref="H1065:H1111" si="10">"1ST QTR 2021 WRKRS COMP/#0110"</f>
        <v>1ST QTR 2021 WRKRS COMP/#0110</v>
      </c>
    </row>
    <row r="1066" spans="1:8" x14ac:dyDescent="0.25">
      <c r="E1066" t="str">
        <f>""</f>
        <v/>
      </c>
      <c r="F1066" t="str">
        <f>""</f>
        <v/>
      </c>
      <c r="H1066" t="str">
        <f t="shared" si="10"/>
        <v>1ST QTR 2021 WRKRS COMP/#0110</v>
      </c>
    </row>
    <row r="1067" spans="1:8" x14ac:dyDescent="0.25">
      <c r="E1067" t="str">
        <f>""</f>
        <v/>
      </c>
      <c r="F1067" t="str">
        <f>""</f>
        <v/>
      </c>
      <c r="H1067" t="str">
        <f t="shared" si="10"/>
        <v>1ST QTR 2021 WRKRS COMP/#0110</v>
      </c>
    </row>
    <row r="1068" spans="1:8" x14ac:dyDescent="0.25">
      <c r="E1068" t="str">
        <f>""</f>
        <v/>
      </c>
      <c r="F1068" t="str">
        <f>""</f>
        <v/>
      </c>
      <c r="H1068" t="str">
        <f t="shared" si="10"/>
        <v>1ST QTR 2021 WRKRS COMP/#0110</v>
      </c>
    </row>
    <row r="1069" spans="1:8" x14ac:dyDescent="0.25">
      <c r="E1069" t="str">
        <f>""</f>
        <v/>
      </c>
      <c r="F1069" t="str">
        <f>""</f>
        <v/>
      </c>
      <c r="H1069" t="str">
        <f t="shared" si="10"/>
        <v>1ST QTR 2021 WRKRS COMP/#0110</v>
      </c>
    </row>
    <row r="1070" spans="1:8" x14ac:dyDescent="0.25">
      <c r="E1070" t="str">
        <f>""</f>
        <v/>
      </c>
      <c r="F1070" t="str">
        <f>""</f>
        <v/>
      </c>
      <c r="H1070" t="str">
        <f t="shared" si="10"/>
        <v>1ST QTR 2021 WRKRS COMP/#0110</v>
      </c>
    </row>
    <row r="1071" spans="1:8" x14ac:dyDescent="0.25">
      <c r="E1071" t="str">
        <f>""</f>
        <v/>
      </c>
      <c r="F1071" t="str">
        <f>""</f>
        <v/>
      </c>
      <c r="H1071" t="str">
        <f t="shared" si="10"/>
        <v>1ST QTR 2021 WRKRS COMP/#0110</v>
      </c>
    </row>
    <row r="1072" spans="1:8" x14ac:dyDescent="0.25">
      <c r="E1072" t="str">
        <f>""</f>
        <v/>
      </c>
      <c r="F1072" t="str">
        <f>""</f>
        <v/>
      </c>
      <c r="H1072" t="str">
        <f t="shared" si="10"/>
        <v>1ST QTR 2021 WRKRS COMP/#0110</v>
      </c>
    </row>
    <row r="1073" spans="5:8" x14ac:dyDescent="0.25">
      <c r="E1073" t="str">
        <f>""</f>
        <v/>
      </c>
      <c r="F1073" t="str">
        <f>""</f>
        <v/>
      </c>
      <c r="H1073" t="str">
        <f t="shared" si="10"/>
        <v>1ST QTR 2021 WRKRS COMP/#0110</v>
      </c>
    </row>
    <row r="1074" spans="5:8" x14ac:dyDescent="0.25">
      <c r="E1074" t="str">
        <f>""</f>
        <v/>
      </c>
      <c r="F1074" t="str">
        <f>""</f>
        <v/>
      </c>
      <c r="H1074" t="str">
        <f t="shared" si="10"/>
        <v>1ST QTR 2021 WRKRS COMP/#0110</v>
      </c>
    </row>
    <row r="1075" spans="5:8" x14ac:dyDescent="0.25">
      <c r="E1075" t="str">
        <f>""</f>
        <v/>
      </c>
      <c r="F1075" t="str">
        <f>""</f>
        <v/>
      </c>
      <c r="H1075" t="str">
        <f t="shared" si="10"/>
        <v>1ST QTR 2021 WRKRS COMP/#0110</v>
      </c>
    </row>
    <row r="1076" spans="5:8" x14ac:dyDescent="0.25">
      <c r="E1076" t="str">
        <f>""</f>
        <v/>
      </c>
      <c r="F1076" t="str">
        <f>""</f>
        <v/>
      </c>
      <c r="H1076" t="str">
        <f t="shared" si="10"/>
        <v>1ST QTR 2021 WRKRS COMP/#0110</v>
      </c>
    </row>
    <row r="1077" spans="5:8" x14ac:dyDescent="0.25">
      <c r="E1077" t="str">
        <f>""</f>
        <v/>
      </c>
      <c r="F1077" t="str">
        <f>""</f>
        <v/>
      </c>
      <c r="H1077" t="str">
        <f t="shared" si="10"/>
        <v>1ST QTR 2021 WRKRS COMP/#0110</v>
      </c>
    </row>
    <row r="1078" spans="5:8" x14ac:dyDescent="0.25">
      <c r="E1078" t="str">
        <f>""</f>
        <v/>
      </c>
      <c r="F1078" t="str">
        <f>""</f>
        <v/>
      </c>
      <c r="H1078" t="str">
        <f t="shared" si="10"/>
        <v>1ST QTR 2021 WRKRS COMP/#0110</v>
      </c>
    </row>
    <row r="1079" spans="5:8" x14ac:dyDescent="0.25">
      <c r="E1079" t="str">
        <f>""</f>
        <v/>
      </c>
      <c r="F1079" t="str">
        <f>""</f>
        <v/>
      </c>
      <c r="H1079" t="str">
        <f t="shared" si="10"/>
        <v>1ST QTR 2021 WRKRS COMP/#0110</v>
      </c>
    </row>
    <row r="1080" spans="5:8" x14ac:dyDescent="0.25">
      <c r="E1080" t="str">
        <f>""</f>
        <v/>
      </c>
      <c r="F1080" t="str">
        <f>""</f>
        <v/>
      </c>
      <c r="H1080" t="str">
        <f t="shared" si="10"/>
        <v>1ST QTR 2021 WRKRS COMP/#0110</v>
      </c>
    </row>
    <row r="1081" spans="5:8" x14ac:dyDescent="0.25">
      <c r="E1081" t="str">
        <f>""</f>
        <v/>
      </c>
      <c r="F1081" t="str">
        <f>""</f>
        <v/>
      </c>
      <c r="H1081" t="str">
        <f t="shared" si="10"/>
        <v>1ST QTR 2021 WRKRS COMP/#0110</v>
      </c>
    </row>
    <row r="1082" spans="5:8" x14ac:dyDescent="0.25">
      <c r="E1082" t="str">
        <f>""</f>
        <v/>
      </c>
      <c r="F1082" t="str">
        <f>""</f>
        <v/>
      </c>
      <c r="H1082" t="str">
        <f t="shared" si="10"/>
        <v>1ST QTR 2021 WRKRS COMP/#0110</v>
      </c>
    </row>
    <row r="1083" spans="5:8" x14ac:dyDescent="0.25">
      <c r="E1083" t="str">
        <f>""</f>
        <v/>
      </c>
      <c r="F1083" t="str">
        <f>""</f>
        <v/>
      </c>
      <c r="H1083" t="str">
        <f t="shared" si="10"/>
        <v>1ST QTR 2021 WRKRS COMP/#0110</v>
      </c>
    </row>
    <row r="1084" spans="5:8" x14ac:dyDescent="0.25">
      <c r="E1084" t="str">
        <f>""</f>
        <v/>
      </c>
      <c r="F1084" t="str">
        <f>""</f>
        <v/>
      </c>
      <c r="H1084" t="str">
        <f t="shared" si="10"/>
        <v>1ST QTR 2021 WRKRS COMP/#0110</v>
      </c>
    </row>
    <row r="1085" spans="5:8" x14ac:dyDescent="0.25">
      <c r="E1085" t="str">
        <f>""</f>
        <v/>
      </c>
      <c r="F1085" t="str">
        <f>""</f>
        <v/>
      </c>
      <c r="H1085" t="str">
        <f t="shared" si="10"/>
        <v>1ST QTR 2021 WRKRS COMP/#0110</v>
      </c>
    </row>
    <row r="1086" spans="5:8" x14ac:dyDescent="0.25">
      <c r="E1086" t="str">
        <f>""</f>
        <v/>
      </c>
      <c r="F1086" t="str">
        <f>""</f>
        <v/>
      </c>
      <c r="H1086" t="str">
        <f t="shared" si="10"/>
        <v>1ST QTR 2021 WRKRS COMP/#0110</v>
      </c>
    </row>
    <row r="1087" spans="5:8" x14ac:dyDescent="0.25">
      <c r="E1087" t="str">
        <f>""</f>
        <v/>
      </c>
      <c r="F1087" t="str">
        <f>""</f>
        <v/>
      </c>
      <c r="H1087" t="str">
        <f t="shared" si="10"/>
        <v>1ST QTR 2021 WRKRS COMP/#0110</v>
      </c>
    </row>
    <row r="1088" spans="5:8" x14ac:dyDescent="0.25">
      <c r="E1088" t="str">
        <f>""</f>
        <v/>
      </c>
      <c r="F1088" t="str">
        <f>""</f>
        <v/>
      </c>
      <c r="H1088" t="str">
        <f t="shared" si="10"/>
        <v>1ST QTR 2021 WRKRS COMP/#0110</v>
      </c>
    </row>
    <row r="1089" spans="5:8" x14ac:dyDescent="0.25">
      <c r="E1089" t="str">
        <f>""</f>
        <v/>
      </c>
      <c r="F1089" t="str">
        <f>""</f>
        <v/>
      </c>
      <c r="H1089" t="str">
        <f t="shared" si="10"/>
        <v>1ST QTR 2021 WRKRS COMP/#0110</v>
      </c>
    </row>
    <row r="1090" spans="5:8" x14ac:dyDescent="0.25">
      <c r="E1090" t="str">
        <f>""</f>
        <v/>
      </c>
      <c r="F1090" t="str">
        <f>""</f>
        <v/>
      </c>
      <c r="H1090" t="str">
        <f t="shared" si="10"/>
        <v>1ST QTR 2021 WRKRS COMP/#0110</v>
      </c>
    </row>
    <row r="1091" spans="5:8" x14ac:dyDescent="0.25">
      <c r="E1091" t="str">
        <f>""</f>
        <v/>
      </c>
      <c r="F1091" t="str">
        <f>""</f>
        <v/>
      </c>
      <c r="H1091" t="str">
        <f t="shared" si="10"/>
        <v>1ST QTR 2021 WRKRS COMP/#0110</v>
      </c>
    </row>
    <row r="1092" spans="5:8" x14ac:dyDescent="0.25">
      <c r="E1092" t="str">
        <f>""</f>
        <v/>
      </c>
      <c r="F1092" t="str">
        <f>""</f>
        <v/>
      </c>
      <c r="H1092" t="str">
        <f t="shared" si="10"/>
        <v>1ST QTR 2021 WRKRS COMP/#0110</v>
      </c>
    </row>
    <row r="1093" spans="5:8" x14ac:dyDescent="0.25">
      <c r="E1093" t="str">
        <f>""</f>
        <v/>
      </c>
      <c r="F1093" t="str">
        <f>""</f>
        <v/>
      </c>
      <c r="H1093" t="str">
        <f t="shared" si="10"/>
        <v>1ST QTR 2021 WRKRS COMP/#0110</v>
      </c>
    </row>
    <row r="1094" spans="5:8" x14ac:dyDescent="0.25">
      <c r="E1094" t="str">
        <f>""</f>
        <v/>
      </c>
      <c r="F1094" t="str">
        <f>""</f>
        <v/>
      </c>
      <c r="H1094" t="str">
        <f t="shared" si="10"/>
        <v>1ST QTR 2021 WRKRS COMP/#0110</v>
      </c>
    </row>
    <row r="1095" spans="5:8" x14ac:dyDescent="0.25">
      <c r="E1095" t="str">
        <f>""</f>
        <v/>
      </c>
      <c r="F1095" t="str">
        <f>""</f>
        <v/>
      </c>
      <c r="H1095" t="str">
        <f t="shared" si="10"/>
        <v>1ST QTR 2021 WRKRS COMP/#0110</v>
      </c>
    </row>
    <row r="1096" spans="5:8" x14ac:dyDescent="0.25">
      <c r="E1096" t="str">
        <f>""</f>
        <v/>
      </c>
      <c r="F1096" t="str">
        <f>""</f>
        <v/>
      </c>
      <c r="H1096" t="str">
        <f t="shared" si="10"/>
        <v>1ST QTR 2021 WRKRS COMP/#0110</v>
      </c>
    </row>
    <row r="1097" spans="5:8" x14ac:dyDescent="0.25">
      <c r="E1097" t="str">
        <f>""</f>
        <v/>
      </c>
      <c r="F1097" t="str">
        <f>""</f>
        <v/>
      </c>
      <c r="H1097" t="str">
        <f t="shared" si="10"/>
        <v>1ST QTR 2021 WRKRS COMP/#0110</v>
      </c>
    </row>
    <row r="1098" spans="5:8" x14ac:dyDescent="0.25">
      <c r="E1098" t="str">
        <f>""</f>
        <v/>
      </c>
      <c r="F1098" t="str">
        <f>""</f>
        <v/>
      </c>
      <c r="H1098" t="str">
        <f t="shared" si="10"/>
        <v>1ST QTR 2021 WRKRS COMP/#0110</v>
      </c>
    </row>
    <row r="1099" spans="5:8" x14ac:dyDescent="0.25">
      <c r="E1099" t="str">
        <f>""</f>
        <v/>
      </c>
      <c r="F1099" t="str">
        <f>""</f>
        <v/>
      </c>
      <c r="H1099" t="str">
        <f t="shared" si="10"/>
        <v>1ST QTR 2021 WRKRS COMP/#0110</v>
      </c>
    </row>
    <row r="1100" spans="5:8" x14ac:dyDescent="0.25">
      <c r="E1100" t="str">
        <f>""</f>
        <v/>
      </c>
      <c r="F1100" t="str">
        <f>""</f>
        <v/>
      </c>
      <c r="H1100" t="str">
        <f t="shared" si="10"/>
        <v>1ST QTR 2021 WRKRS COMP/#0110</v>
      </c>
    </row>
    <row r="1101" spans="5:8" x14ac:dyDescent="0.25">
      <c r="E1101" t="str">
        <f>""</f>
        <v/>
      </c>
      <c r="F1101" t="str">
        <f>""</f>
        <v/>
      </c>
      <c r="H1101" t="str">
        <f t="shared" si="10"/>
        <v>1ST QTR 2021 WRKRS COMP/#0110</v>
      </c>
    </row>
    <row r="1102" spans="5:8" x14ac:dyDescent="0.25">
      <c r="E1102" t="str">
        <f>""</f>
        <v/>
      </c>
      <c r="F1102" t="str">
        <f>""</f>
        <v/>
      </c>
      <c r="H1102" t="str">
        <f t="shared" si="10"/>
        <v>1ST QTR 2021 WRKRS COMP/#0110</v>
      </c>
    </row>
    <row r="1103" spans="5:8" x14ac:dyDescent="0.25">
      <c r="E1103" t="str">
        <f>""</f>
        <v/>
      </c>
      <c r="F1103" t="str">
        <f>""</f>
        <v/>
      </c>
      <c r="H1103" t="str">
        <f t="shared" si="10"/>
        <v>1ST QTR 2021 WRKRS COMP/#0110</v>
      </c>
    </row>
    <row r="1104" spans="5:8" x14ac:dyDescent="0.25">
      <c r="E1104" t="str">
        <f>""</f>
        <v/>
      </c>
      <c r="F1104" t="str">
        <f>""</f>
        <v/>
      </c>
      <c r="H1104" t="str">
        <f t="shared" si="10"/>
        <v>1ST QTR 2021 WRKRS COMP/#0110</v>
      </c>
    </row>
    <row r="1105" spans="1:8" x14ac:dyDescent="0.25">
      <c r="E1105" t="str">
        <f>""</f>
        <v/>
      </c>
      <c r="F1105" t="str">
        <f>""</f>
        <v/>
      </c>
      <c r="H1105" t="str">
        <f t="shared" si="10"/>
        <v>1ST QTR 2021 WRKRS COMP/#0110</v>
      </c>
    </row>
    <row r="1106" spans="1:8" x14ac:dyDescent="0.25">
      <c r="E1106" t="str">
        <f>""</f>
        <v/>
      </c>
      <c r="F1106" t="str">
        <f>""</f>
        <v/>
      </c>
      <c r="H1106" t="str">
        <f t="shared" si="10"/>
        <v>1ST QTR 2021 WRKRS COMP/#0110</v>
      </c>
    </row>
    <row r="1107" spans="1:8" x14ac:dyDescent="0.25">
      <c r="E1107" t="str">
        <f>""</f>
        <v/>
      </c>
      <c r="F1107" t="str">
        <f>""</f>
        <v/>
      </c>
      <c r="H1107" t="str">
        <f t="shared" si="10"/>
        <v>1ST QTR 2021 WRKRS COMP/#0110</v>
      </c>
    </row>
    <row r="1108" spans="1:8" x14ac:dyDescent="0.25">
      <c r="E1108" t="str">
        <f>""</f>
        <v/>
      </c>
      <c r="F1108" t="str">
        <f>""</f>
        <v/>
      </c>
      <c r="H1108" t="str">
        <f t="shared" si="10"/>
        <v>1ST QTR 2021 WRKRS COMP/#0110</v>
      </c>
    </row>
    <row r="1109" spans="1:8" x14ac:dyDescent="0.25">
      <c r="E1109" t="str">
        <f>""</f>
        <v/>
      </c>
      <c r="F1109" t="str">
        <f>""</f>
        <v/>
      </c>
      <c r="H1109" t="str">
        <f t="shared" si="10"/>
        <v>1ST QTR 2021 WRKRS COMP/#0110</v>
      </c>
    </row>
    <row r="1110" spans="1:8" x14ac:dyDescent="0.25">
      <c r="E1110" t="str">
        <f>""</f>
        <v/>
      </c>
      <c r="F1110" t="str">
        <f>""</f>
        <v/>
      </c>
      <c r="H1110" t="str">
        <f t="shared" si="10"/>
        <v>1ST QTR 2021 WRKRS COMP/#0110</v>
      </c>
    </row>
    <row r="1111" spans="1:8" x14ac:dyDescent="0.25">
      <c r="E1111" t="str">
        <f>""</f>
        <v/>
      </c>
      <c r="F1111" t="str">
        <f>""</f>
        <v/>
      </c>
      <c r="H1111" t="str">
        <f t="shared" si="10"/>
        <v>1ST QTR 2021 WRKRS COMP/#0110</v>
      </c>
    </row>
    <row r="1112" spans="1:8" x14ac:dyDescent="0.25">
      <c r="A1112" t="s">
        <v>297</v>
      </c>
      <c r="B1112">
        <v>134101</v>
      </c>
      <c r="C1112" s="3">
        <v>30</v>
      </c>
      <c r="D1112" s="5">
        <v>44193</v>
      </c>
      <c r="E1112" t="str">
        <f>"202012210846"</f>
        <v>202012210846</v>
      </c>
      <c r="F1112" t="str">
        <f>"REIMBURSE BAIL BOND STICKERS"</f>
        <v>REIMBURSE BAIL BOND STICKERS</v>
      </c>
      <c r="G1112" s="3">
        <v>30</v>
      </c>
      <c r="H1112" t="str">
        <f>"REIMBURSE BAIL BOND STICKERS"</f>
        <v>REIMBURSE BAIL BOND STICKERS</v>
      </c>
    </row>
    <row r="1113" spans="1:8" x14ac:dyDescent="0.25">
      <c r="A1113" t="s">
        <v>298</v>
      </c>
      <c r="B1113">
        <v>134102</v>
      </c>
      <c r="C1113" s="3">
        <v>47346</v>
      </c>
      <c r="D1113" s="5">
        <v>44193</v>
      </c>
      <c r="E1113" t="str">
        <f>"337"</f>
        <v>337</v>
      </c>
      <c r="F1113" t="str">
        <f>"REF#RFB20BCP05A/PCT#2"</f>
        <v>REF#RFB20BCP05A/PCT#2</v>
      </c>
      <c r="G1113" s="3">
        <v>47346</v>
      </c>
      <c r="H1113" t="str">
        <f>"REF#RFB20BCP05A/PCT#2"</f>
        <v>REF#RFB20BCP05A/PCT#2</v>
      </c>
    </row>
    <row r="1114" spans="1:8" x14ac:dyDescent="0.25">
      <c r="A1114" t="s">
        <v>299</v>
      </c>
      <c r="B1114">
        <v>134103</v>
      </c>
      <c r="C1114" s="3">
        <v>30</v>
      </c>
      <c r="D1114" s="5">
        <v>44193</v>
      </c>
      <c r="E1114" t="str">
        <f>"202012210843"</f>
        <v>202012210843</v>
      </c>
      <c r="F1114" t="str">
        <f>"REIMBURSE BAIL BOND STICKERS"</f>
        <v>REIMBURSE BAIL BOND STICKERS</v>
      </c>
      <c r="G1114" s="3">
        <v>30</v>
      </c>
      <c r="H1114" t="str">
        <f>"REIMBURSE BAIL BOND STICKERS"</f>
        <v>REIMBURSE BAIL BOND STICKERS</v>
      </c>
    </row>
    <row r="1115" spans="1:8" x14ac:dyDescent="0.25">
      <c r="A1115" t="s">
        <v>300</v>
      </c>
      <c r="B1115">
        <v>134104</v>
      </c>
      <c r="C1115" s="3">
        <v>999.06</v>
      </c>
      <c r="D1115" s="5">
        <v>44193</v>
      </c>
      <c r="E1115" t="str">
        <f>"410131"</f>
        <v>410131</v>
      </c>
      <c r="F1115" t="str">
        <f>"CUST#16500/PCT#4"</f>
        <v>CUST#16500/PCT#4</v>
      </c>
      <c r="G1115" s="3">
        <v>999.06</v>
      </c>
      <c r="H1115" t="str">
        <f>"CUST#16500/PCT#4"</f>
        <v>CUST#16500/PCT#4</v>
      </c>
    </row>
    <row r="1116" spans="1:8" x14ac:dyDescent="0.25">
      <c r="A1116" t="s">
        <v>301</v>
      </c>
      <c r="B1116">
        <v>134105</v>
      </c>
      <c r="C1116" s="3">
        <v>50</v>
      </c>
      <c r="D1116" s="5">
        <v>44193</v>
      </c>
      <c r="E1116" t="str">
        <f>"202012220869"</f>
        <v>202012220869</v>
      </c>
      <c r="F1116" t="str">
        <f>"REIMBURSE 2021 TFMA MEMBERSHIP"</f>
        <v>REIMBURSE 2021 TFMA MEMBERSHIP</v>
      </c>
      <c r="G1116" s="3">
        <v>50</v>
      </c>
      <c r="H1116" t="str">
        <f>"REIMBURSE 2021 TFMA MEMBERSHIP"</f>
        <v>REIMBURSE 2021 TFMA MEMBERSHIP</v>
      </c>
    </row>
    <row r="1117" spans="1:8" x14ac:dyDescent="0.25">
      <c r="A1117" t="s">
        <v>302</v>
      </c>
      <c r="B1117">
        <v>134106</v>
      </c>
      <c r="C1117" s="3">
        <v>470.86</v>
      </c>
      <c r="D1117" s="5">
        <v>44193</v>
      </c>
      <c r="E1117" t="str">
        <f>"7328331"</f>
        <v>7328331</v>
      </c>
      <c r="F1117" t="str">
        <f>"CUST#17295/PCT#2"</f>
        <v>CUST#17295/PCT#2</v>
      </c>
      <c r="G1117" s="3">
        <v>470.86</v>
      </c>
      <c r="H1117" t="str">
        <f>"CUST#17295/PCT#2"</f>
        <v>CUST#17295/PCT#2</v>
      </c>
    </row>
    <row r="1118" spans="1:8" x14ac:dyDescent="0.25">
      <c r="A1118" t="s">
        <v>303</v>
      </c>
      <c r="B1118">
        <v>134107</v>
      </c>
      <c r="C1118" s="3">
        <v>10000</v>
      </c>
      <c r="D1118" s="5">
        <v>44193</v>
      </c>
      <c r="E1118" t="str">
        <f>"4782"</f>
        <v>4782</v>
      </c>
      <c r="F1118" t="str">
        <f>"2020 REDISTRICTING 1ST INSTALL"</f>
        <v>2020 REDISTRICTING 1ST INSTALL</v>
      </c>
      <c r="G1118" s="3">
        <v>10000</v>
      </c>
      <c r="H1118" t="str">
        <f>"2020 REDISTRICTING 1ST INSTALL"</f>
        <v>2020 REDISTRICTING 1ST INSTALL</v>
      </c>
    </row>
    <row r="1119" spans="1:8" x14ac:dyDescent="0.25">
      <c r="A1119" t="s">
        <v>153</v>
      </c>
      <c r="B1119">
        <v>134108</v>
      </c>
      <c r="C1119" s="3">
        <v>96.9</v>
      </c>
      <c r="D1119" s="5">
        <v>44193</v>
      </c>
      <c r="E1119" t="str">
        <f>"202012210826"</f>
        <v>202012210826</v>
      </c>
      <c r="F1119" t="str">
        <f>"NOTARY APP-KELLIE SMITH"</f>
        <v>NOTARY APP-KELLIE SMITH</v>
      </c>
      <c r="G1119" s="3">
        <v>96.9</v>
      </c>
      <c r="H1119" t="str">
        <f>"NOTARY APP-KELLIE SMITH"</f>
        <v>NOTARY APP-KELLIE SMITH</v>
      </c>
    </row>
    <row r="1120" spans="1:8" x14ac:dyDescent="0.25">
      <c r="A1120" t="s">
        <v>154</v>
      </c>
      <c r="B1120">
        <v>134109</v>
      </c>
      <c r="C1120" s="3">
        <v>76.94</v>
      </c>
      <c r="D1120" s="5">
        <v>44193</v>
      </c>
      <c r="E1120" t="str">
        <f>"983396858"</f>
        <v>983396858</v>
      </c>
      <c r="F1120" t="str">
        <f>"INV 983396858"</f>
        <v>INV 983396858</v>
      </c>
      <c r="G1120" s="3">
        <v>76.94</v>
      </c>
      <c r="H1120" t="str">
        <f>"INV 983396858"</f>
        <v>INV 983396858</v>
      </c>
    </row>
    <row r="1121" spans="1:8" x14ac:dyDescent="0.25">
      <c r="A1121" t="s">
        <v>158</v>
      </c>
      <c r="B1121">
        <v>134110</v>
      </c>
      <c r="C1121" s="3">
        <v>70.489999999999995</v>
      </c>
      <c r="D1121" s="5">
        <v>44193</v>
      </c>
      <c r="E1121" t="str">
        <f>"202012170736"</f>
        <v>202012170736</v>
      </c>
      <c r="F1121" t="str">
        <f>"ACCT#010149/AGRI LIVE EXT"</f>
        <v>ACCT#010149/AGRI LIVE EXT</v>
      </c>
      <c r="G1121" s="3">
        <v>70.489999999999995</v>
      </c>
      <c r="H1121" t="str">
        <f>"ACCT#010149/AGRI LIVE EXT"</f>
        <v>ACCT#010149/AGRI LIVE EXT</v>
      </c>
    </row>
    <row r="1122" spans="1:8" x14ac:dyDescent="0.25">
      <c r="A1122" t="s">
        <v>143</v>
      </c>
      <c r="B1122">
        <v>134111</v>
      </c>
      <c r="C1122" s="3">
        <v>666.25</v>
      </c>
      <c r="D1122" s="5">
        <v>44193</v>
      </c>
      <c r="E1122" t="str">
        <f>"202012170724"</f>
        <v>202012170724</v>
      </c>
      <c r="F1122" t="str">
        <f>"ACCT#7700010027/65 LDS WTR/P4"</f>
        <v>ACCT#7700010027/65 LDS WTR/P4</v>
      </c>
      <c r="G1122" s="3">
        <v>666.25</v>
      </c>
      <c r="H1122" t="str">
        <f>"ACCT#7700010027/65 LDS WTR/P4"</f>
        <v>ACCT#7700010027/65 LDS WTR/P4</v>
      </c>
    </row>
    <row r="1123" spans="1:8" x14ac:dyDescent="0.25">
      <c r="A1123" t="s">
        <v>304</v>
      </c>
      <c r="B1123">
        <v>134112</v>
      </c>
      <c r="C1123" s="3">
        <v>65</v>
      </c>
      <c r="D1123" s="5">
        <v>44193</v>
      </c>
      <c r="E1123" t="str">
        <f>"202012220875"</f>
        <v>202012220875</v>
      </c>
      <c r="F1123" t="str">
        <f>"INDIGENT HEALTH"</f>
        <v>INDIGENT HEALTH</v>
      </c>
      <c r="G1123" s="3">
        <v>65</v>
      </c>
      <c r="H1123" t="str">
        <f>"INDIGENT HEALTH"</f>
        <v>INDIGENT HEALTH</v>
      </c>
    </row>
    <row r="1124" spans="1:8" x14ac:dyDescent="0.25">
      <c r="A1124" t="s">
        <v>305</v>
      </c>
      <c r="B1124">
        <v>134113</v>
      </c>
      <c r="C1124" s="3">
        <v>7169.78</v>
      </c>
      <c r="D1124" s="5">
        <v>44193</v>
      </c>
      <c r="E1124" t="str">
        <f>"202012220876"</f>
        <v>202012220876</v>
      </c>
      <c r="F1124" t="str">
        <f>"INDIGENT HEALTH"</f>
        <v>INDIGENT HEALTH</v>
      </c>
      <c r="G1124" s="3">
        <v>7169.78</v>
      </c>
      <c r="H1124" t="str">
        <f>"INDIGENT HEALTH"</f>
        <v>INDIGENT HEALTH</v>
      </c>
    </row>
    <row r="1125" spans="1:8" x14ac:dyDescent="0.25">
      <c r="A1125" t="s">
        <v>161</v>
      </c>
      <c r="B1125">
        <v>134114</v>
      </c>
      <c r="C1125" s="3">
        <v>107.36</v>
      </c>
      <c r="D1125" s="5">
        <v>44193</v>
      </c>
      <c r="E1125" t="str">
        <f>"202012220874"</f>
        <v>202012220874</v>
      </c>
      <c r="F1125" t="str">
        <f>"REIMBURSE OFFICE SUPPLIES"</f>
        <v>REIMBURSE OFFICE SUPPLIES</v>
      </c>
      <c r="G1125" s="3">
        <v>107.36</v>
      </c>
      <c r="H1125" t="str">
        <f>"REIMBURSE OFFICE SUPPLIES"</f>
        <v>REIMBURSE OFFICE SUPPLIES</v>
      </c>
    </row>
    <row r="1126" spans="1:8" x14ac:dyDescent="0.25">
      <c r="A1126" t="s">
        <v>306</v>
      </c>
      <c r="B1126">
        <v>134115</v>
      </c>
      <c r="C1126" s="3">
        <v>130.06</v>
      </c>
      <c r="D1126" s="5">
        <v>44193</v>
      </c>
      <c r="E1126" t="str">
        <f>"202012220878"</f>
        <v>202012220878</v>
      </c>
      <c r="F1126" t="str">
        <f>"INDIGENT HEALTH"</f>
        <v>INDIGENT HEALTH</v>
      </c>
      <c r="G1126" s="3">
        <v>130.06</v>
      </c>
      <c r="H1126" t="str">
        <f>"INDIGENT HEALTH"</f>
        <v>INDIGENT HEALTH</v>
      </c>
    </row>
    <row r="1127" spans="1:8" x14ac:dyDescent="0.25">
      <c r="A1127" t="s">
        <v>163</v>
      </c>
      <c r="B1127">
        <v>134116</v>
      </c>
      <c r="C1127" s="3">
        <v>265.05</v>
      </c>
      <c r="D1127" s="5">
        <v>44193</v>
      </c>
      <c r="E1127" t="str">
        <f>"202012210830"</f>
        <v>202012210830</v>
      </c>
      <c r="F1127" t="str">
        <f>"INV 287280903541X12202020"</f>
        <v>INV 287280903541X12202020</v>
      </c>
      <c r="G1127" s="3">
        <v>265.05</v>
      </c>
      <c r="H1127" t="str">
        <f>"INV 287280903541X12202020"</f>
        <v>INV 287280903541X12202020</v>
      </c>
    </row>
    <row r="1128" spans="1:8" x14ac:dyDescent="0.25">
      <c r="A1128" t="s">
        <v>307</v>
      </c>
      <c r="B1128">
        <v>134117</v>
      </c>
      <c r="C1128" s="3">
        <v>247.55</v>
      </c>
      <c r="D1128" s="5">
        <v>44193</v>
      </c>
      <c r="E1128" t="str">
        <f>"4738*98039*1"</f>
        <v>4738*98039*1</v>
      </c>
      <c r="F1128" t="str">
        <f>"JAIL MEDICAL"</f>
        <v>JAIL MEDICAL</v>
      </c>
      <c r="G1128" s="3">
        <v>247.55</v>
      </c>
      <c r="H1128" t="str">
        <f>"JAIL MEDICAL"</f>
        <v>JAIL MEDICAL</v>
      </c>
    </row>
    <row r="1129" spans="1:8" x14ac:dyDescent="0.25">
      <c r="A1129" t="s">
        <v>16</v>
      </c>
      <c r="B1129">
        <v>134118</v>
      </c>
      <c r="C1129" s="3">
        <v>7.49</v>
      </c>
      <c r="D1129" s="5">
        <v>44193</v>
      </c>
      <c r="E1129" t="str">
        <f>"140617"</f>
        <v>140617</v>
      </c>
      <c r="F1129" t="str">
        <f>"INV 140617"</f>
        <v>INV 140617</v>
      </c>
      <c r="G1129" s="3">
        <v>7.49</v>
      </c>
      <c r="H1129" t="str">
        <f>"INV 140617"</f>
        <v>INV 140617</v>
      </c>
    </row>
    <row r="1130" spans="1:8" x14ac:dyDescent="0.25">
      <c r="A1130" t="s">
        <v>308</v>
      </c>
      <c r="B1130">
        <v>134119</v>
      </c>
      <c r="C1130" s="3">
        <v>120</v>
      </c>
      <c r="D1130" s="5">
        <v>44193</v>
      </c>
      <c r="E1130" t="str">
        <f>"202012210844"</f>
        <v>202012210844</v>
      </c>
      <c r="F1130" t="str">
        <f>"REIMBURSE BAIL BOND STICKERS"</f>
        <v>REIMBURSE BAIL BOND STICKERS</v>
      </c>
      <c r="G1130" s="3">
        <v>120</v>
      </c>
      <c r="H1130" t="str">
        <f>"REIMBURSE BAIL BOND STICKERS"</f>
        <v>REIMBURSE BAIL BOND STICKERS</v>
      </c>
    </row>
    <row r="1131" spans="1:8" x14ac:dyDescent="0.25">
      <c r="A1131" t="s">
        <v>309</v>
      </c>
      <c r="B1131">
        <v>134120</v>
      </c>
      <c r="C1131" s="3">
        <v>109339</v>
      </c>
      <c r="D1131" s="5">
        <v>44193</v>
      </c>
      <c r="E1131" t="str">
        <f>"BC121720"</f>
        <v>BC121720</v>
      </c>
      <c r="F1131" t="str">
        <f>"BASTROP COUNTY BOOTCAMP 19-20"</f>
        <v>BASTROP COUNTY BOOTCAMP 19-20</v>
      </c>
      <c r="G1131" s="3">
        <v>109339</v>
      </c>
      <c r="H1131" t="str">
        <f>"BASTROP COUNTY BOOTCAMP 19-20"</f>
        <v>BASTROP COUNTY BOOTCAMP 19-20</v>
      </c>
    </row>
    <row r="1132" spans="1:8" x14ac:dyDescent="0.25">
      <c r="A1132" t="s">
        <v>170</v>
      </c>
      <c r="B1132">
        <v>134121</v>
      </c>
      <c r="C1132" s="3">
        <v>1675.24</v>
      </c>
      <c r="D1132" s="5">
        <v>44193</v>
      </c>
      <c r="E1132" t="str">
        <f>"75765631 75756318"</f>
        <v>75765631 75756318</v>
      </c>
      <c r="F1132" t="str">
        <f>"INV 75756318"</f>
        <v>INV 75756318</v>
      </c>
      <c r="G1132" s="3">
        <v>1675.24</v>
      </c>
      <c r="H1132" t="str">
        <f>"INV 75756318"</f>
        <v>INV 75756318</v>
      </c>
    </row>
    <row r="1133" spans="1:8" x14ac:dyDescent="0.25">
      <c r="E1133" t="str">
        <f>""</f>
        <v/>
      </c>
      <c r="F1133" t="str">
        <f>""</f>
        <v/>
      </c>
      <c r="H1133" t="str">
        <f>"INV 75765631"</f>
        <v>INV 75765631</v>
      </c>
    </row>
    <row r="1134" spans="1:8" x14ac:dyDescent="0.25">
      <c r="A1134" t="s">
        <v>310</v>
      </c>
      <c r="B1134">
        <v>134122</v>
      </c>
      <c r="C1134" s="3">
        <v>2195</v>
      </c>
      <c r="D1134" s="5">
        <v>44193</v>
      </c>
      <c r="E1134" t="str">
        <f>"65553"</f>
        <v>65553</v>
      </c>
      <c r="F1134" t="str">
        <f>"Renewal"</f>
        <v>Renewal</v>
      </c>
      <c r="G1134" s="3">
        <v>2195</v>
      </c>
      <c r="H1134" t="str">
        <f>"Renewal"</f>
        <v>Renewal</v>
      </c>
    </row>
    <row r="1135" spans="1:8" x14ac:dyDescent="0.25">
      <c r="A1135" t="s">
        <v>171</v>
      </c>
      <c r="B1135">
        <v>134123</v>
      </c>
      <c r="C1135" s="3">
        <v>356.16</v>
      </c>
      <c r="D1135" s="5">
        <v>44193</v>
      </c>
      <c r="E1135" t="str">
        <f>"84078907428 840789"</f>
        <v>84078907428 840789</v>
      </c>
      <c r="F1135" t="str">
        <f>"INV 84078907428"</f>
        <v>INV 84078907428</v>
      </c>
      <c r="G1135" s="3">
        <v>356.16</v>
      </c>
      <c r="H1135" t="str">
        <f>"INV 84078907428"</f>
        <v>INV 84078907428</v>
      </c>
    </row>
    <row r="1136" spans="1:8" x14ac:dyDescent="0.25">
      <c r="E1136" t="str">
        <f>""</f>
        <v/>
      </c>
      <c r="F1136" t="str">
        <f>""</f>
        <v/>
      </c>
      <c r="H1136" t="str">
        <f>"INV 84078907499"</f>
        <v>INV 84078907499</v>
      </c>
    </row>
    <row r="1137" spans="1:8" x14ac:dyDescent="0.25">
      <c r="A1137" t="s">
        <v>311</v>
      </c>
      <c r="B1137">
        <v>134124</v>
      </c>
      <c r="C1137" s="3">
        <v>71.680000000000007</v>
      </c>
      <c r="D1137" s="5">
        <v>44193</v>
      </c>
      <c r="E1137" t="str">
        <f>"202012170741"</f>
        <v>202012170741</v>
      </c>
      <c r="F1137" t="str">
        <f>"CRIMESTOPPER FEES-NOV 2020"</f>
        <v>CRIMESTOPPER FEES-NOV 2020</v>
      </c>
      <c r="G1137" s="3">
        <v>71.680000000000007</v>
      </c>
      <c r="H1137" t="str">
        <f>"CRIMESTOPPER FEES-NOV 2020"</f>
        <v>CRIMESTOPPER FEES-NOV 2020</v>
      </c>
    </row>
    <row r="1138" spans="1:8" x14ac:dyDescent="0.25">
      <c r="A1138" t="s">
        <v>174</v>
      </c>
      <c r="B1138">
        <v>134125</v>
      </c>
      <c r="C1138" s="3">
        <v>2191.2399999999998</v>
      </c>
      <c r="D1138" s="5">
        <v>44193</v>
      </c>
      <c r="E1138" t="str">
        <f>"116877"</f>
        <v>116877</v>
      </c>
      <c r="F1138" t="str">
        <f>"ACCT#1268/PCT#3"</f>
        <v>ACCT#1268/PCT#3</v>
      </c>
      <c r="G1138" s="3">
        <v>2191.2399999999998</v>
      </c>
      <c r="H1138" t="str">
        <f>"ACCT#1268/PCT#3"</f>
        <v>ACCT#1268/PCT#3</v>
      </c>
    </row>
    <row r="1139" spans="1:8" x14ac:dyDescent="0.25">
      <c r="A1139" t="s">
        <v>312</v>
      </c>
      <c r="B1139">
        <v>134126</v>
      </c>
      <c r="C1139" s="3">
        <v>90</v>
      </c>
      <c r="D1139" s="5">
        <v>44193</v>
      </c>
      <c r="E1139" t="str">
        <f>"202012210829"</f>
        <v>202012210829</v>
      </c>
      <c r="F1139" t="str">
        <f>"PER DIEM"</f>
        <v>PER DIEM</v>
      </c>
      <c r="G1139" s="3">
        <v>90</v>
      </c>
      <c r="H1139" t="str">
        <f>"PER DIEM"</f>
        <v>PER DIEM</v>
      </c>
    </row>
    <row r="1140" spans="1:8" x14ac:dyDescent="0.25">
      <c r="A1140" t="s">
        <v>178</v>
      </c>
      <c r="B1140">
        <v>134127</v>
      </c>
      <c r="C1140" s="3">
        <v>3483.26</v>
      </c>
      <c r="D1140" s="5">
        <v>44193</v>
      </c>
      <c r="E1140" t="str">
        <f>"202012170719"</f>
        <v>202012170719</v>
      </c>
      <c r="F1140" t="str">
        <f>"PAYER#14108431/PCT#1"</f>
        <v>PAYER#14108431/PCT#1</v>
      </c>
      <c r="G1140" s="3">
        <v>1160.72</v>
      </c>
      <c r="H1140" t="str">
        <f>"PAYER#14108431/PCT#1"</f>
        <v>PAYER#14108431/PCT#1</v>
      </c>
    </row>
    <row r="1141" spans="1:8" x14ac:dyDescent="0.25">
      <c r="E1141" t="str">
        <f>"202012170720"</f>
        <v>202012170720</v>
      </c>
      <c r="F1141" t="str">
        <f>"PAYER#14108431"</f>
        <v>PAYER#14108431</v>
      </c>
      <c r="G1141" s="3">
        <v>69.05</v>
      </c>
      <c r="H1141" t="str">
        <f>"PAYER#14108431"</f>
        <v>PAYER#14108431</v>
      </c>
    </row>
    <row r="1142" spans="1:8" x14ac:dyDescent="0.25">
      <c r="E1142" t="str">
        <f>"202012170721"</f>
        <v>202012170721</v>
      </c>
      <c r="F1142" t="str">
        <f>"PAYER#14108367/PCT#2"</f>
        <v>PAYER#14108367/PCT#2</v>
      </c>
      <c r="G1142" s="3">
        <v>741.44</v>
      </c>
      <c r="H1142" t="str">
        <f>"PAYER#14108367/PCT#2"</f>
        <v>PAYER#14108367/PCT#2</v>
      </c>
    </row>
    <row r="1143" spans="1:8" x14ac:dyDescent="0.25">
      <c r="E1143" t="str">
        <f>"202012170722"</f>
        <v>202012170722</v>
      </c>
      <c r="F1143" t="str">
        <f>"PAYER#14108430/PCT#4"</f>
        <v>PAYER#14108430/PCT#4</v>
      </c>
      <c r="G1143" s="3">
        <v>1512.05</v>
      </c>
      <c r="H1143" t="str">
        <f>"PAYER#14108430/PCT#4"</f>
        <v>PAYER#14108430/PCT#4</v>
      </c>
    </row>
    <row r="1144" spans="1:8" x14ac:dyDescent="0.25">
      <c r="A1144" t="s">
        <v>296</v>
      </c>
      <c r="B1144">
        <v>134128</v>
      </c>
      <c r="C1144" s="3">
        <v>750</v>
      </c>
      <c r="D1144" s="5">
        <v>44193</v>
      </c>
      <c r="E1144" t="str">
        <f>"202012170734"</f>
        <v>202012170734</v>
      </c>
      <c r="F1144" t="str">
        <f>"RENTAL-PARKING LOT"</f>
        <v>RENTAL-PARKING LOT</v>
      </c>
      <c r="G1144" s="3">
        <v>750</v>
      </c>
      <c r="H1144" t="str">
        <f>"RENTAL-PARKING LOT"</f>
        <v>RENTAL-PARKING LOT</v>
      </c>
    </row>
    <row r="1145" spans="1:8" x14ac:dyDescent="0.25">
      <c r="A1145" t="s">
        <v>179</v>
      </c>
      <c r="B1145">
        <v>134129</v>
      </c>
      <c r="C1145" s="3">
        <v>242.5</v>
      </c>
      <c r="D1145" s="5">
        <v>44193</v>
      </c>
      <c r="E1145" t="str">
        <f>"202012210841"</f>
        <v>202012210841</v>
      </c>
      <c r="F1145" t="str">
        <f>"BOND#64481610 - DONNA SNOWDEN"</f>
        <v>BOND#64481610 - DONNA SNOWDEN</v>
      </c>
      <c r="G1145" s="3">
        <v>92.5</v>
      </c>
      <c r="H1145" t="str">
        <f>"BOND#64481610 - DONNA SNOWDEN"</f>
        <v>BOND#64481610 - DONNA SNOWDEN</v>
      </c>
    </row>
    <row r="1146" spans="1:8" x14ac:dyDescent="0.25">
      <c r="E1146" t="str">
        <f>"202012210842"</f>
        <v>202012210842</v>
      </c>
      <c r="F1146" t="str">
        <f>"BOND#01841496TX-OVER GROSS WT"</f>
        <v>BOND#01841496TX-OVER GROSS WT</v>
      </c>
      <c r="G1146" s="3">
        <v>150</v>
      </c>
      <c r="H1146" t="str">
        <f>"BOND#01841496TX-OVER GROSS WT"</f>
        <v>BOND#01841496TX-OVER GROSS WT</v>
      </c>
    </row>
    <row r="1147" spans="1:8" x14ac:dyDescent="0.25">
      <c r="E1147" t="str">
        <f>""</f>
        <v/>
      </c>
      <c r="F1147" t="str">
        <f>""</f>
        <v/>
      </c>
      <c r="H1147" t="str">
        <f>"BOND#01841496TX-OVER GROSS WT"</f>
        <v>BOND#01841496TX-OVER GROSS WT</v>
      </c>
    </row>
    <row r="1148" spans="1:8" x14ac:dyDescent="0.25">
      <c r="E1148" t="str">
        <f>""</f>
        <v/>
      </c>
      <c r="F1148" t="str">
        <f>""</f>
        <v/>
      </c>
      <c r="H1148" t="str">
        <f>"BOND#01841496TX-OVER GROSS WT"</f>
        <v>BOND#01841496TX-OVER GROSS WT</v>
      </c>
    </row>
    <row r="1149" spans="1:8" x14ac:dyDescent="0.25">
      <c r="E1149" t="str">
        <f>""</f>
        <v/>
      </c>
      <c r="F1149" t="str">
        <f>""</f>
        <v/>
      </c>
      <c r="H1149" t="str">
        <f>"BOND#01841496TX-OVER GROSS WT"</f>
        <v>BOND#01841496TX-OVER GROSS WT</v>
      </c>
    </row>
    <row r="1150" spans="1:8" x14ac:dyDescent="0.25">
      <c r="A1150" t="s">
        <v>313</v>
      </c>
      <c r="B1150">
        <v>134130</v>
      </c>
      <c r="C1150" s="3">
        <v>118.95</v>
      </c>
      <c r="D1150" s="5">
        <v>44193</v>
      </c>
      <c r="E1150" t="str">
        <f>"4745*02198*1"</f>
        <v>4745*02198*1</v>
      </c>
      <c r="F1150" t="str">
        <f>"JAIL MEDICAL"</f>
        <v>JAIL MEDICAL</v>
      </c>
      <c r="G1150" s="3">
        <v>118.95</v>
      </c>
      <c r="H1150" t="str">
        <f>"JAIL MEDICAL"</f>
        <v>JAIL MEDICAL</v>
      </c>
    </row>
    <row r="1151" spans="1:8" x14ac:dyDescent="0.25">
      <c r="A1151" t="s">
        <v>314</v>
      </c>
      <c r="B1151">
        <v>134131</v>
      </c>
      <c r="C1151" s="3">
        <v>302.3</v>
      </c>
      <c r="D1151" s="5">
        <v>44193</v>
      </c>
      <c r="E1151" t="str">
        <f>"N669346"</f>
        <v>N669346</v>
      </c>
      <c r="F1151" t="str">
        <f>"INV N669346"</f>
        <v>INV N669346</v>
      </c>
      <c r="G1151" s="3">
        <v>302.3</v>
      </c>
      <c r="H1151" t="str">
        <f>"INV N669346"</f>
        <v>INV N669346</v>
      </c>
    </row>
    <row r="1152" spans="1:8" x14ac:dyDescent="0.25">
      <c r="A1152" t="s">
        <v>181</v>
      </c>
      <c r="B1152">
        <v>134132</v>
      </c>
      <c r="C1152" s="3">
        <v>716.02</v>
      </c>
      <c r="D1152" s="5">
        <v>44193</v>
      </c>
      <c r="E1152" t="str">
        <f>"TV89185"</f>
        <v>TV89185</v>
      </c>
      <c r="F1152" t="str">
        <f>"ACCT#68930/ANIMAL SERVICES"</f>
        <v>ACCT#68930/ANIMAL SERVICES</v>
      </c>
      <c r="G1152" s="3">
        <v>378.65</v>
      </c>
      <c r="H1152" t="str">
        <f>"ACCT#68930/ANIMAL SERVICES"</f>
        <v>ACCT#68930/ANIMAL SERVICES</v>
      </c>
    </row>
    <row r="1153" spans="1:8" x14ac:dyDescent="0.25">
      <c r="E1153" t="str">
        <f>""</f>
        <v/>
      </c>
      <c r="F1153" t="str">
        <f>""</f>
        <v/>
      </c>
      <c r="H1153" t="str">
        <f>"ACCT#68930/ANIMAL SERVICES"</f>
        <v>ACCT#68930/ANIMAL SERVICES</v>
      </c>
    </row>
    <row r="1154" spans="1:8" x14ac:dyDescent="0.25">
      <c r="E1154" t="str">
        <f>"TW10696"</f>
        <v>TW10696</v>
      </c>
      <c r="F1154" t="str">
        <f>"ACCT#68930/ANIMAL SERVICES"</f>
        <v>ACCT#68930/ANIMAL SERVICES</v>
      </c>
      <c r="G1154" s="3">
        <v>202.41</v>
      </c>
      <c r="H1154" t="str">
        <f>"ACCT#68930/ANIMAL SERVICES"</f>
        <v>ACCT#68930/ANIMAL SERVICES</v>
      </c>
    </row>
    <row r="1155" spans="1:8" x14ac:dyDescent="0.25">
      <c r="E1155" t="str">
        <f>"TW61331"</f>
        <v>TW61331</v>
      </c>
      <c r="F1155" t="str">
        <f>"ACCT#68930/ANIMAL SERVICES"</f>
        <v>ACCT#68930/ANIMAL SERVICES</v>
      </c>
      <c r="G1155" s="3">
        <v>134.96</v>
      </c>
      <c r="H1155" t="str">
        <f>"ACCT#68930/ANIMAL SERVICES"</f>
        <v>ACCT#68930/ANIMAL SERVICES</v>
      </c>
    </row>
    <row r="1156" spans="1:8" x14ac:dyDescent="0.25">
      <c r="A1156" t="s">
        <v>315</v>
      </c>
      <c r="B1156">
        <v>134133</v>
      </c>
      <c r="C1156" s="3">
        <v>80.23</v>
      </c>
      <c r="D1156" s="5">
        <v>44193</v>
      </c>
      <c r="E1156" t="str">
        <f>"202012220882"</f>
        <v>202012220882</v>
      </c>
      <c r="F1156" t="str">
        <f>"INDIGENT HEALTH"</f>
        <v>INDIGENT HEALTH</v>
      </c>
      <c r="G1156" s="3">
        <v>80.23</v>
      </c>
      <c r="H1156" t="str">
        <f>"INDIGENT HEALTH"</f>
        <v>INDIGENT HEALTH</v>
      </c>
    </row>
    <row r="1157" spans="1:8" x14ac:dyDescent="0.25">
      <c r="A1157" t="s">
        <v>187</v>
      </c>
      <c r="B1157">
        <v>134134</v>
      </c>
      <c r="C1157" s="3">
        <v>791.7</v>
      </c>
      <c r="D1157" s="5">
        <v>44193</v>
      </c>
      <c r="E1157" t="str">
        <f>"2099846 2105350"</f>
        <v>2099846 2105350</v>
      </c>
      <c r="F1157" t="str">
        <f>"INV 2099846"</f>
        <v>INV 2099846</v>
      </c>
      <c r="G1157" s="3">
        <v>791.7</v>
      </c>
      <c r="H1157" t="str">
        <f>"INV 2099846"</f>
        <v>INV 2099846</v>
      </c>
    </row>
    <row r="1158" spans="1:8" x14ac:dyDescent="0.25">
      <c r="E1158" t="str">
        <f>""</f>
        <v/>
      </c>
      <c r="F1158" t="str">
        <f>""</f>
        <v/>
      </c>
      <c r="H1158" t="str">
        <f>"INV 2105350"</f>
        <v>INV 2105350</v>
      </c>
    </row>
    <row r="1159" spans="1:8" x14ac:dyDescent="0.25">
      <c r="A1159" t="s">
        <v>188</v>
      </c>
      <c r="B1159">
        <v>134135</v>
      </c>
      <c r="C1159" s="3">
        <v>4319.18</v>
      </c>
      <c r="D1159" s="5">
        <v>44193</v>
      </c>
      <c r="E1159" t="str">
        <f>"10444791704"</f>
        <v>10444791704</v>
      </c>
      <c r="F1159" t="str">
        <f>"DELL"</f>
        <v>DELL</v>
      </c>
      <c r="G1159" s="3">
        <v>482.84</v>
      </c>
      <c r="H1159" t="str">
        <f>"Dell Docking Station"</f>
        <v>Dell Docking Station</v>
      </c>
    </row>
    <row r="1160" spans="1:8" x14ac:dyDescent="0.25">
      <c r="E1160" t="str">
        <f>""</f>
        <v/>
      </c>
      <c r="F1160" t="str">
        <f>""</f>
        <v/>
      </c>
      <c r="H1160" t="str">
        <f>"Discount"</f>
        <v>Discount</v>
      </c>
    </row>
    <row r="1161" spans="1:8" x14ac:dyDescent="0.25">
      <c r="E1161" t="str">
        <f>""</f>
        <v/>
      </c>
      <c r="F1161" t="str">
        <f>""</f>
        <v/>
      </c>
      <c r="H1161" t="str">
        <f>"Dell 23 Monitor"</f>
        <v>Dell 23 Monitor</v>
      </c>
    </row>
    <row r="1162" spans="1:8" x14ac:dyDescent="0.25">
      <c r="E1162" t="str">
        <f>""</f>
        <v/>
      </c>
      <c r="F1162" t="str">
        <f>""</f>
        <v/>
      </c>
      <c r="H1162" t="str">
        <f>"Discount"</f>
        <v>Discount</v>
      </c>
    </row>
    <row r="1163" spans="1:8" x14ac:dyDescent="0.25">
      <c r="E1163" t="str">
        <f>"10448047196"</f>
        <v>10448047196</v>
      </c>
      <c r="F1163" t="str">
        <f>"Solid State Drive"</f>
        <v>Solid State Drive</v>
      </c>
      <c r="G1163" s="3">
        <v>351.9</v>
      </c>
      <c r="H1163" t="str">
        <f>"Solid State Drive"</f>
        <v>Solid State Drive</v>
      </c>
    </row>
    <row r="1164" spans="1:8" x14ac:dyDescent="0.25">
      <c r="E1164" t="str">
        <f>""</f>
        <v/>
      </c>
      <c r="F1164" t="str">
        <f>""</f>
        <v/>
      </c>
      <c r="H1164" t="str">
        <f>"Premier Discount"</f>
        <v>Premier Discount</v>
      </c>
    </row>
    <row r="1165" spans="1:8" x14ac:dyDescent="0.25">
      <c r="E1165" t="str">
        <f>"10448103390"</f>
        <v>10448103390</v>
      </c>
      <c r="F1165" t="str">
        <f>"SOLID STATE DRIVES"</f>
        <v>SOLID STATE DRIVES</v>
      </c>
      <c r="G1165" s="3">
        <v>211.14</v>
      </c>
      <c r="H1165" t="str">
        <f>"SOLID STATE DRIVES"</f>
        <v>SOLID STATE DRIVES</v>
      </c>
    </row>
    <row r="1166" spans="1:8" x14ac:dyDescent="0.25">
      <c r="E1166" t="str">
        <f>"10449825129"</f>
        <v>10449825129</v>
      </c>
      <c r="F1166" t="str">
        <f>"Monitors and Docks JP1"</f>
        <v>Monitors and Docks JP1</v>
      </c>
      <c r="G1166" s="3">
        <v>1053.24</v>
      </c>
      <c r="H1166" t="str">
        <f>"P2419H"</f>
        <v>P2419H</v>
      </c>
    </row>
    <row r="1167" spans="1:8" x14ac:dyDescent="0.25">
      <c r="E1167" t="str">
        <f>""</f>
        <v/>
      </c>
      <c r="F1167" t="str">
        <f>""</f>
        <v/>
      </c>
      <c r="H1167" t="str">
        <f>"Premier Discount"</f>
        <v>Premier Discount</v>
      </c>
    </row>
    <row r="1168" spans="1:8" x14ac:dyDescent="0.25">
      <c r="E1168" t="str">
        <f>""</f>
        <v/>
      </c>
      <c r="F1168" t="str">
        <f>""</f>
        <v/>
      </c>
      <c r="H1168" t="str">
        <f>"Docking Station"</f>
        <v>Docking Station</v>
      </c>
    </row>
    <row r="1169" spans="1:8" x14ac:dyDescent="0.25">
      <c r="E1169" t="str">
        <f>""</f>
        <v/>
      </c>
      <c r="F1169" t="str">
        <f>""</f>
        <v/>
      </c>
      <c r="H1169" t="str">
        <f>"Premier Discount"</f>
        <v>Premier Discount</v>
      </c>
    </row>
    <row r="1170" spans="1:8" x14ac:dyDescent="0.25">
      <c r="E1170" t="str">
        <f>"10449941303"</f>
        <v>10449941303</v>
      </c>
      <c r="F1170" t="str">
        <f>"DELL"</f>
        <v>DELL</v>
      </c>
      <c r="G1170" s="3">
        <v>513.54</v>
      </c>
      <c r="H1170" t="str">
        <f>"Docking Stations"</f>
        <v>Docking Stations</v>
      </c>
    </row>
    <row r="1171" spans="1:8" x14ac:dyDescent="0.25">
      <c r="E1171" t="str">
        <f>"202012210860"</f>
        <v>202012210860</v>
      </c>
      <c r="F1171" t="str">
        <f>"Monitors &amp; Docks"</f>
        <v>Monitors &amp; Docks</v>
      </c>
      <c r="G1171" s="3">
        <v>1706.52</v>
      </c>
      <c r="H1171" t="str">
        <f>"P2419H"</f>
        <v>P2419H</v>
      </c>
    </row>
    <row r="1172" spans="1:8" x14ac:dyDescent="0.25">
      <c r="E1172" t="str">
        <f>""</f>
        <v/>
      </c>
      <c r="F1172" t="str">
        <f>""</f>
        <v/>
      </c>
      <c r="H1172" t="str">
        <f>"Premier Discount"</f>
        <v>Premier Discount</v>
      </c>
    </row>
    <row r="1173" spans="1:8" x14ac:dyDescent="0.25">
      <c r="E1173" t="str">
        <f>""</f>
        <v/>
      </c>
      <c r="F1173" t="str">
        <f>""</f>
        <v/>
      </c>
      <c r="H1173" t="str">
        <f>"Docking Station"</f>
        <v>Docking Station</v>
      </c>
    </row>
    <row r="1174" spans="1:8" x14ac:dyDescent="0.25">
      <c r="E1174" t="str">
        <f>""</f>
        <v/>
      </c>
      <c r="F1174" t="str">
        <f>""</f>
        <v/>
      </c>
      <c r="H1174" t="str">
        <f>"Premier Discount"</f>
        <v>Premier Discount</v>
      </c>
    </row>
    <row r="1175" spans="1:8" x14ac:dyDescent="0.25">
      <c r="A1175" t="s">
        <v>189</v>
      </c>
      <c r="B1175">
        <v>134136</v>
      </c>
      <c r="C1175" s="3">
        <v>27.5</v>
      </c>
      <c r="D1175" s="5">
        <v>44193</v>
      </c>
      <c r="E1175" t="str">
        <f>"27247"</f>
        <v>27247</v>
      </c>
      <c r="F1175" t="str">
        <f>"DUPLICATE KEY/GEN SVCS"</f>
        <v>DUPLICATE KEY/GEN SVCS</v>
      </c>
      <c r="G1175" s="3">
        <v>5</v>
      </c>
      <c r="H1175" t="str">
        <f>"DUPLICATE KEY/GEN SVCS"</f>
        <v>DUPLICATE KEY/GEN SVCS</v>
      </c>
    </row>
    <row r="1176" spans="1:8" x14ac:dyDescent="0.25">
      <c r="E1176" t="str">
        <f>"27312"</f>
        <v>27312</v>
      </c>
      <c r="F1176" t="str">
        <f>"INV 27312"</f>
        <v>INV 27312</v>
      </c>
      <c r="G1176" s="3">
        <v>22.5</v>
      </c>
      <c r="H1176" t="str">
        <f>"INV 27312"</f>
        <v>INV 27312</v>
      </c>
    </row>
    <row r="1177" spans="1:8" x14ac:dyDescent="0.25">
      <c r="A1177" t="s">
        <v>9</v>
      </c>
      <c r="B1177">
        <v>134137</v>
      </c>
      <c r="C1177" s="3">
        <v>1700.25</v>
      </c>
      <c r="D1177" s="5">
        <v>44193</v>
      </c>
      <c r="E1177" t="str">
        <f>"23606"</f>
        <v>23606</v>
      </c>
      <c r="F1177" t="str">
        <f>"LASHING RING/PLATE/PCT#1"</f>
        <v>LASHING RING/PLATE/PCT#1</v>
      </c>
      <c r="G1177" s="3">
        <v>1700.25</v>
      </c>
      <c r="H1177" t="str">
        <f>"LASHING RING/PLATE/PCT#1"</f>
        <v>LASHING RING/PLATE/PCT#1</v>
      </c>
    </row>
    <row r="1178" spans="1:8" x14ac:dyDescent="0.25">
      <c r="A1178" t="s">
        <v>191</v>
      </c>
      <c r="B1178">
        <v>134138</v>
      </c>
      <c r="C1178" s="3">
        <v>35.5</v>
      </c>
      <c r="D1178" s="5">
        <v>44193</v>
      </c>
      <c r="E1178" t="str">
        <f>"2883487"</f>
        <v>2883487</v>
      </c>
      <c r="F1178" t="str">
        <f>"ACCT#27917/PCT#4"</f>
        <v>ACCT#27917/PCT#4</v>
      </c>
      <c r="G1178" s="3">
        <v>35.5</v>
      </c>
      <c r="H1178" t="str">
        <f>"ACCT#27917/PCT#4"</f>
        <v>ACCT#27917/PCT#4</v>
      </c>
    </row>
    <row r="1179" spans="1:8" x14ac:dyDescent="0.25">
      <c r="A1179" t="s">
        <v>316</v>
      </c>
      <c r="B1179">
        <v>134139</v>
      </c>
      <c r="C1179" s="3">
        <v>899.99</v>
      </c>
      <c r="D1179" s="5">
        <v>44193</v>
      </c>
      <c r="E1179" t="str">
        <f>"40070"</f>
        <v>40070</v>
      </c>
      <c r="F1179" t="str">
        <f>"MOTOR/RELAY/TARP/PCT#2"</f>
        <v>MOTOR/RELAY/TARP/PCT#2</v>
      </c>
      <c r="G1179" s="3">
        <v>687.8</v>
      </c>
      <c r="H1179" t="str">
        <f>"MOTOR/RELAY/TARP/PCT#2"</f>
        <v>MOTOR/RELAY/TARP/PCT#2</v>
      </c>
    </row>
    <row r="1180" spans="1:8" x14ac:dyDescent="0.25">
      <c r="E1180" t="str">
        <f>"40079"</f>
        <v>40079</v>
      </c>
      <c r="F1180" t="str">
        <f>"PASSENGER REAR/REAR BRACKET/P4"</f>
        <v>PASSENGER REAR/REAR BRACKET/P4</v>
      </c>
      <c r="G1180" s="3">
        <v>212.19</v>
      </c>
      <c r="H1180" t="str">
        <f>"PASSENGER REAR/REAR BRACKET/P4"</f>
        <v>PASSENGER REAR/REAR BRACKET/P4</v>
      </c>
    </row>
    <row r="1181" spans="1:8" x14ac:dyDescent="0.25">
      <c r="A1181" t="s">
        <v>194</v>
      </c>
      <c r="B1181">
        <v>134140</v>
      </c>
      <c r="C1181" s="3">
        <v>1070</v>
      </c>
      <c r="D1181" s="5">
        <v>44193</v>
      </c>
      <c r="E1181" t="str">
        <f>"009"</f>
        <v>009</v>
      </c>
      <c r="F1181" t="str">
        <f>"INTERPRETER SVC"</f>
        <v>INTERPRETER SVC</v>
      </c>
      <c r="G1181" s="3">
        <v>420</v>
      </c>
      <c r="H1181" t="str">
        <f>"INTERPRETER SVC"</f>
        <v>INTERPRETER SVC</v>
      </c>
    </row>
    <row r="1182" spans="1:8" x14ac:dyDescent="0.25">
      <c r="E1182" t="str">
        <f>"202012170731"</f>
        <v>202012170731</v>
      </c>
      <c r="F1182" t="str">
        <f>"INTERPRETER SVCS"</f>
        <v>INTERPRETER SVCS</v>
      </c>
      <c r="G1182" s="3">
        <v>650</v>
      </c>
      <c r="H1182" t="str">
        <f>"INTERPRETER SVCS"</f>
        <v>INTERPRETER SVCS</v>
      </c>
    </row>
    <row r="1183" spans="1:8" x14ac:dyDescent="0.25">
      <c r="A1183" t="s">
        <v>317</v>
      </c>
      <c r="B1183">
        <v>134141</v>
      </c>
      <c r="C1183" s="3">
        <v>1188</v>
      </c>
      <c r="D1183" s="5">
        <v>44193</v>
      </c>
      <c r="E1183" t="str">
        <f>"INV-2918"</f>
        <v>INV-2918</v>
      </c>
      <c r="F1183" t="str">
        <f>"DRONESENSE  INC."</f>
        <v>DRONESENSE  INC.</v>
      </c>
      <c r="G1183" s="3">
        <v>1188</v>
      </c>
      <c r="H1183" t="str">
        <f>"Drone License"</f>
        <v>Drone License</v>
      </c>
    </row>
    <row r="1184" spans="1:8" x14ac:dyDescent="0.25">
      <c r="A1184" t="s">
        <v>195</v>
      </c>
      <c r="B1184">
        <v>134142</v>
      </c>
      <c r="C1184" s="3">
        <v>1980</v>
      </c>
      <c r="D1184" s="5">
        <v>44193</v>
      </c>
      <c r="E1184" t="str">
        <f>"023"</f>
        <v>023</v>
      </c>
      <c r="F1184" t="str">
        <f>"9 LDS COMMERCIAL RD BASE/PCT#3"</f>
        <v>9 LDS COMMERCIAL RD BASE/PCT#3</v>
      </c>
      <c r="G1184" s="3">
        <v>1980</v>
      </c>
      <c r="H1184" t="str">
        <f>"9 LDS COMMERCIAL RD BASE/PCT#3"</f>
        <v>9 LDS COMMERCIAL RD BASE/PCT#3</v>
      </c>
    </row>
    <row r="1185" spans="1:8" x14ac:dyDescent="0.25">
      <c r="A1185" t="s">
        <v>318</v>
      </c>
      <c r="B1185">
        <v>134143</v>
      </c>
      <c r="C1185" s="3">
        <v>111</v>
      </c>
      <c r="D1185" s="5">
        <v>44193</v>
      </c>
      <c r="E1185" t="str">
        <f>"202012210850"</f>
        <v>202012210850</v>
      </c>
      <c r="F1185" t="str">
        <f>"REIMBURSE LICENSE RENEWAL"</f>
        <v>REIMBURSE LICENSE RENEWAL</v>
      </c>
      <c r="G1185" s="3">
        <v>111</v>
      </c>
      <c r="H1185" t="str">
        <f>"REIMBURSE LICENSE RENEWAL"</f>
        <v>REIMBURSE LICENSE RENEWAL</v>
      </c>
    </row>
    <row r="1186" spans="1:8" x14ac:dyDescent="0.25">
      <c r="A1186" t="s">
        <v>196</v>
      </c>
      <c r="B1186">
        <v>134144</v>
      </c>
      <c r="C1186" s="3">
        <v>353.12</v>
      </c>
      <c r="D1186" s="5">
        <v>44193</v>
      </c>
      <c r="E1186" t="str">
        <f>"6000192016"</f>
        <v>6000192016</v>
      </c>
      <c r="F1186" t="str">
        <f>"ACCT#3422853/FLEA MEDICATION"</f>
        <v>ACCT#3422853/FLEA MEDICATION</v>
      </c>
      <c r="G1186" s="3">
        <v>353.12</v>
      </c>
      <c r="H1186" t="str">
        <f>"ACCT#3422853/FLEA MEDICATION"</f>
        <v>ACCT#3422853/FLEA MEDICATION</v>
      </c>
    </row>
    <row r="1187" spans="1:8" x14ac:dyDescent="0.25">
      <c r="A1187" t="s">
        <v>319</v>
      </c>
      <c r="B1187">
        <v>134145</v>
      </c>
      <c r="C1187" s="3">
        <v>400</v>
      </c>
      <c r="D1187" s="5">
        <v>44193</v>
      </c>
      <c r="E1187" t="str">
        <f>"202012170735"</f>
        <v>202012170735</v>
      </c>
      <c r="F1187" t="str">
        <f>"JP TRANSPORT-A. GUZMAN"</f>
        <v>JP TRANSPORT-A. GUZMAN</v>
      </c>
      <c r="G1187" s="3">
        <v>400</v>
      </c>
      <c r="H1187" t="str">
        <f>"JP TRANSPORT-A. GUZMAN"</f>
        <v>JP TRANSPORT-A. GUZMAN</v>
      </c>
    </row>
    <row r="1188" spans="1:8" x14ac:dyDescent="0.25">
      <c r="A1188" t="s">
        <v>198</v>
      </c>
      <c r="B1188">
        <v>134146</v>
      </c>
      <c r="C1188" s="3">
        <v>16205.49</v>
      </c>
      <c r="D1188" s="5">
        <v>44193</v>
      </c>
      <c r="E1188" t="str">
        <f>"9402389152"</f>
        <v>9402389152</v>
      </c>
      <c r="F1188" t="str">
        <f>"ACCT#912897/BOL#27725/PCT#3"</f>
        <v>ACCT#912897/BOL#27725/PCT#3</v>
      </c>
      <c r="G1188" s="3">
        <v>-15300.75</v>
      </c>
      <c r="H1188" t="str">
        <f>"ACCT#912897/BOL#27725/PCT#3"</f>
        <v>ACCT#912897/BOL#27725/PCT#3</v>
      </c>
    </row>
    <row r="1189" spans="1:8" x14ac:dyDescent="0.25">
      <c r="E1189" t="str">
        <f>"9402377190"</f>
        <v>9402377190</v>
      </c>
      <c r="F1189" t="str">
        <f>"ACCT#912897/BOL#27725/PCT#3"</f>
        <v>ACCT#912897/BOL#27725/PCT#3</v>
      </c>
      <c r="G1189" s="3">
        <v>15300.75</v>
      </c>
      <c r="H1189" t="str">
        <f>"ACCT#912897/BOL#27725/PCT#3"</f>
        <v>ACCT#912897/BOL#27725/PCT#3</v>
      </c>
    </row>
    <row r="1190" spans="1:8" x14ac:dyDescent="0.25">
      <c r="E1190" t="str">
        <f>"9402389450"</f>
        <v>9402389450</v>
      </c>
      <c r="F1190" t="str">
        <f>"ACCT#912897/BOL#27725/PCT#3"</f>
        <v>ACCT#912897/BOL#27725/PCT#3</v>
      </c>
      <c r="G1190" s="3">
        <v>16205.49</v>
      </c>
      <c r="H1190" t="str">
        <f>"ACCT#912897/BOL#27725/PCT#3"</f>
        <v>ACCT#912897/BOL#27725/PCT#3</v>
      </c>
    </row>
    <row r="1191" spans="1:8" x14ac:dyDescent="0.25">
      <c r="A1191" t="s">
        <v>320</v>
      </c>
      <c r="B1191">
        <v>134147</v>
      </c>
      <c r="C1191" s="3">
        <v>35</v>
      </c>
      <c r="D1191" s="5">
        <v>44193</v>
      </c>
      <c r="E1191" t="str">
        <f>"202012210848"</f>
        <v>202012210848</v>
      </c>
      <c r="F1191" t="str">
        <f>"ACCT#9290502/ADMIN FEE TX SS P"</f>
        <v>ACCT#9290502/ADMIN FEE TX SS P</v>
      </c>
      <c r="G1191" s="3">
        <v>35</v>
      </c>
      <c r="H1191" t="str">
        <f>"ACCT#9290502/ADMIN FEE TX SS P"</f>
        <v>ACCT#9290502/ADMIN FEE TX SS P</v>
      </c>
    </row>
    <row r="1192" spans="1:8" x14ac:dyDescent="0.25">
      <c r="A1192" t="s">
        <v>321</v>
      </c>
      <c r="B1192">
        <v>134148</v>
      </c>
      <c r="C1192" s="3">
        <v>65.22</v>
      </c>
      <c r="D1192" s="5">
        <v>44193</v>
      </c>
      <c r="E1192" t="str">
        <f>"4733*153*1"</f>
        <v>4733*153*1</v>
      </c>
      <c r="F1192" t="str">
        <f>"JAIL MEDICAL"</f>
        <v>JAIL MEDICAL</v>
      </c>
      <c r="G1192" s="3">
        <v>65.22</v>
      </c>
      <c r="H1192" t="str">
        <f>"JAIL MEDICAL"</f>
        <v>JAIL MEDICAL</v>
      </c>
    </row>
    <row r="1193" spans="1:8" x14ac:dyDescent="0.25">
      <c r="A1193" t="s">
        <v>199</v>
      </c>
      <c r="B1193">
        <v>134149</v>
      </c>
      <c r="C1193" s="3">
        <v>41.62</v>
      </c>
      <c r="D1193" s="5">
        <v>44193</v>
      </c>
      <c r="E1193" t="str">
        <f>"7-194-05777"</f>
        <v>7-194-05777</v>
      </c>
      <c r="F1193" t="str">
        <f>"ACCT#4702-9210-5/AUDITOR"</f>
        <v>ACCT#4702-9210-5/AUDITOR</v>
      </c>
      <c r="G1193" s="3">
        <v>41.62</v>
      </c>
      <c r="H1193" t="str">
        <f>"ACCT#4702-9210-5/AUDITOR"</f>
        <v>ACCT#4702-9210-5/AUDITOR</v>
      </c>
    </row>
    <row r="1194" spans="1:8" x14ac:dyDescent="0.25">
      <c r="A1194" t="s">
        <v>322</v>
      </c>
      <c r="B1194">
        <v>134150</v>
      </c>
      <c r="C1194" s="3">
        <v>500</v>
      </c>
      <c r="D1194" s="5">
        <v>44193</v>
      </c>
      <c r="E1194" t="str">
        <f>"425"</f>
        <v>425</v>
      </c>
      <c r="F1194" t="str">
        <f>"MARKETING SVCS"</f>
        <v>MARKETING SVCS</v>
      </c>
      <c r="G1194" s="3">
        <v>500</v>
      </c>
      <c r="H1194" t="str">
        <f>"MARKETING SVCS"</f>
        <v>MARKETING SVCS</v>
      </c>
    </row>
    <row r="1195" spans="1:8" x14ac:dyDescent="0.25">
      <c r="A1195" t="s">
        <v>323</v>
      </c>
      <c r="B1195">
        <v>134151</v>
      </c>
      <c r="C1195" s="3">
        <v>150.03</v>
      </c>
      <c r="D1195" s="5">
        <v>44193</v>
      </c>
      <c r="E1195" t="str">
        <f>"65041094"</f>
        <v>65041094</v>
      </c>
      <c r="F1195" t="str">
        <f>"ACCT#80975-001/PCT#3"</f>
        <v>ACCT#80975-001/PCT#3</v>
      </c>
      <c r="G1195" s="3">
        <v>150.03</v>
      </c>
      <c r="H1195" t="str">
        <f>"ACCT#80975-001/PCT#3"</f>
        <v>ACCT#80975-001/PCT#3</v>
      </c>
    </row>
    <row r="1196" spans="1:8" x14ac:dyDescent="0.25">
      <c r="A1196" t="s">
        <v>324</v>
      </c>
      <c r="B1196">
        <v>134152</v>
      </c>
      <c r="C1196" s="3">
        <v>90</v>
      </c>
      <c r="D1196" s="5">
        <v>44193</v>
      </c>
      <c r="E1196" t="str">
        <f>"202012210828"</f>
        <v>202012210828</v>
      </c>
      <c r="F1196" t="str">
        <f>"PER DIEM"</f>
        <v>PER DIEM</v>
      </c>
      <c r="G1196" s="3">
        <v>90</v>
      </c>
      <c r="H1196" t="str">
        <f>"PER DIEM"</f>
        <v>PER DIEM</v>
      </c>
    </row>
    <row r="1197" spans="1:8" x14ac:dyDescent="0.25">
      <c r="A1197" t="s">
        <v>203</v>
      </c>
      <c r="B1197">
        <v>134153</v>
      </c>
      <c r="C1197" s="3">
        <v>3363.58</v>
      </c>
      <c r="D1197" s="5">
        <v>44193</v>
      </c>
      <c r="E1197" t="str">
        <f>"016843360 01715730"</f>
        <v>016843360 01715730</v>
      </c>
      <c r="F1197" t="str">
        <f>"INV 016843360/017157302"</f>
        <v>INV 016843360/017157302</v>
      </c>
      <c r="G1197" s="3">
        <v>332</v>
      </c>
      <c r="H1197" t="str">
        <f>"INV 016843360"</f>
        <v>INV 016843360</v>
      </c>
    </row>
    <row r="1198" spans="1:8" x14ac:dyDescent="0.25">
      <c r="E1198" t="str">
        <f>""</f>
        <v/>
      </c>
      <c r="F1198" t="str">
        <f>""</f>
        <v/>
      </c>
      <c r="H1198" t="str">
        <f>"INV 017157302"</f>
        <v>INV 017157302</v>
      </c>
    </row>
    <row r="1199" spans="1:8" x14ac:dyDescent="0.25">
      <c r="E1199" t="str">
        <f>"016907748 01712172"</f>
        <v>016907748 01712172</v>
      </c>
      <c r="F1199" t="str">
        <f>"INV 016907748/017121726"</f>
        <v>INV 016907748/017121726</v>
      </c>
      <c r="G1199" s="3">
        <v>332</v>
      </c>
      <c r="H1199" t="str">
        <f>"INV 016907748"</f>
        <v>INV 016907748</v>
      </c>
    </row>
    <row r="1200" spans="1:8" x14ac:dyDescent="0.25">
      <c r="E1200" t="str">
        <f>""</f>
        <v/>
      </c>
      <c r="F1200" t="str">
        <f>""</f>
        <v/>
      </c>
      <c r="H1200" t="str">
        <f>"INV 017121726"</f>
        <v>INV 017121726</v>
      </c>
    </row>
    <row r="1201" spans="5:8" x14ac:dyDescent="0.25">
      <c r="E1201" t="str">
        <f>"016907754 01696185"</f>
        <v>016907754 01696185</v>
      </c>
      <c r="F1201" t="str">
        <f>"INV 016907754/016961851"</f>
        <v>INV 016907754/016961851</v>
      </c>
      <c r="G1201" s="3">
        <v>332</v>
      </c>
      <c r="H1201" t="str">
        <f>"INV 016907754"</f>
        <v>INV 016907754</v>
      </c>
    </row>
    <row r="1202" spans="5:8" x14ac:dyDescent="0.25">
      <c r="E1202" t="str">
        <f>""</f>
        <v/>
      </c>
      <c r="F1202" t="str">
        <f>""</f>
        <v/>
      </c>
      <c r="H1202" t="str">
        <f>"INV 016961851"</f>
        <v>INV 016961851</v>
      </c>
    </row>
    <row r="1203" spans="5:8" x14ac:dyDescent="0.25">
      <c r="E1203" t="str">
        <f>"016907777 01712178"</f>
        <v>016907777 01712178</v>
      </c>
      <c r="F1203" t="str">
        <f>"INV 016907777/017121780"</f>
        <v>INV 016907777/017121780</v>
      </c>
      <c r="G1203" s="3">
        <v>332</v>
      </c>
      <c r="H1203" t="str">
        <f>"INV 016907777"</f>
        <v>INV 016907777</v>
      </c>
    </row>
    <row r="1204" spans="5:8" x14ac:dyDescent="0.25">
      <c r="E1204" t="str">
        <f>""</f>
        <v/>
      </c>
      <c r="F1204" t="str">
        <f>""</f>
        <v/>
      </c>
      <c r="H1204" t="str">
        <f>"INV 017121780"</f>
        <v>INV 017121780</v>
      </c>
    </row>
    <row r="1205" spans="5:8" x14ac:dyDescent="0.25">
      <c r="E1205" t="str">
        <f>"016907793 01712172"</f>
        <v>016907793 01712172</v>
      </c>
      <c r="F1205" t="str">
        <f>"INV016907793/017121728"</f>
        <v>INV016907793/017121728</v>
      </c>
      <c r="G1205" s="3">
        <v>332</v>
      </c>
      <c r="H1205" t="str">
        <f>"INV016907793"</f>
        <v>INV016907793</v>
      </c>
    </row>
    <row r="1206" spans="5:8" x14ac:dyDescent="0.25">
      <c r="E1206" t="str">
        <f>""</f>
        <v/>
      </c>
      <c r="F1206" t="str">
        <f>""</f>
        <v/>
      </c>
      <c r="H1206" t="str">
        <f>"INV 017121728"</f>
        <v>INV 017121728</v>
      </c>
    </row>
    <row r="1207" spans="5:8" x14ac:dyDescent="0.25">
      <c r="E1207" t="str">
        <f>"016983674 01712178"</f>
        <v>016983674 01712178</v>
      </c>
      <c r="F1207" t="str">
        <f>"INV 016983674/017121781"</f>
        <v>INV 016983674/017121781</v>
      </c>
      <c r="G1207" s="3">
        <v>332</v>
      </c>
      <c r="H1207" t="str">
        <f>"INV 016983674"</f>
        <v>INV 016983674</v>
      </c>
    </row>
    <row r="1208" spans="5:8" x14ac:dyDescent="0.25">
      <c r="E1208" t="str">
        <f>""</f>
        <v/>
      </c>
      <c r="F1208" t="str">
        <f>""</f>
        <v/>
      </c>
      <c r="H1208" t="str">
        <f>"INV 017121781"</f>
        <v>INV 017121781</v>
      </c>
    </row>
    <row r="1209" spans="5:8" x14ac:dyDescent="0.25">
      <c r="E1209" t="str">
        <f>"017121727"</f>
        <v>017121727</v>
      </c>
      <c r="F1209" t="str">
        <f>"INV 017121727"</f>
        <v>INV 017121727</v>
      </c>
      <c r="G1209" s="3">
        <v>289.5</v>
      </c>
      <c r="H1209" t="str">
        <f>"INV 017121727"</f>
        <v>INV 017121727</v>
      </c>
    </row>
    <row r="1210" spans="5:8" x14ac:dyDescent="0.25">
      <c r="E1210" t="str">
        <f>"017121736"</f>
        <v>017121736</v>
      </c>
      <c r="F1210" t="str">
        <f>"INV 017121736"</f>
        <v>INV 017121736</v>
      </c>
      <c r="G1210" s="3">
        <v>12</v>
      </c>
      <c r="H1210" t="str">
        <f>"INV 017121736"</f>
        <v>INV 017121736</v>
      </c>
    </row>
    <row r="1211" spans="5:8" x14ac:dyDescent="0.25">
      <c r="E1211" t="str">
        <f>"017121739"</f>
        <v>017121739</v>
      </c>
      <c r="F1211" t="str">
        <f>"INV 017121739"</f>
        <v>INV 017121739</v>
      </c>
      <c r="G1211" s="3">
        <v>332</v>
      </c>
      <c r="H1211" t="str">
        <f>"INV 017121739"</f>
        <v>INV 017121739</v>
      </c>
    </row>
    <row r="1212" spans="5:8" x14ac:dyDescent="0.25">
      <c r="E1212" t="str">
        <f>"017121740 01712179"</f>
        <v>017121740 01712179</v>
      </c>
      <c r="F1212" t="str">
        <f>"INV 017121740/017121796"</f>
        <v>INV 017121740/017121796</v>
      </c>
      <c r="G1212" s="3">
        <v>373.7</v>
      </c>
      <c r="H1212" t="str">
        <f>"INV 017121740"</f>
        <v>INV 017121740</v>
      </c>
    </row>
    <row r="1213" spans="5:8" x14ac:dyDescent="0.25">
      <c r="E1213" t="str">
        <f>""</f>
        <v/>
      </c>
      <c r="F1213" t="str">
        <f>""</f>
        <v/>
      </c>
      <c r="H1213" t="str">
        <f>"INV 017121796"</f>
        <v>INV 017121796</v>
      </c>
    </row>
    <row r="1214" spans="5:8" x14ac:dyDescent="0.25">
      <c r="E1214" t="str">
        <f>"017121758"</f>
        <v>017121758</v>
      </c>
      <c r="F1214" t="str">
        <f>"INV 017121758"</f>
        <v>INV 017121758</v>
      </c>
      <c r="G1214" s="3">
        <v>12</v>
      </c>
      <c r="H1214" t="str">
        <f>"INV 017121758"</f>
        <v>INV 017121758</v>
      </c>
    </row>
    <row r="1215" spans="5:8" x14ac:dyDescent="0.25">
      <c r="E1215" t="str">
        <f>"017121878 01696185"</f>
        <v>017121878 01696185</v>
      </c>
      <c r="F1215" t="str">
        <f>"INV 017121878/016961852"</f>
        <v>INV 017121878/016961852</v>
      </c>
      <c r="G1215" s="3">
        <v>20.38</v>
      </c>
      <c r="H1215" t="str">
        <f>"INV 017121878"</f>
        <v>INV 017121878</v>
      </c>
    </row>
    <row r="1216" spans="5:8" x14ac:dyDescent="0.25">
      <c r="E1216" t="str">
        <f>""</f>
        <v/>
      </c>
      <c r="F1216" t="str">
        <f>""</f>
        <v/>
      </c>
      <c r="H1216" t="str">
        <f>"INV 016961852"</f>
        <v>INV 016961852</v>
      </c>
    </row>
    <row r="1217" spans="1:8" x14ac:dyDescent="0.25">
      <c r="E1217" t="str">
        <f>"017184885"</f>
        <v>017184885</v>
      </c>
      <c r="F1217" t="str">
        <f>"INV 017184885"</f>
        <v>INV 017184885</v>
      </c>
      <c r="G1217" s="3">
        <v>332</v>
      </c>
      <c r="H1217" t="str">
        <f>"INV 017184885"</f>
        <v>INV 017184885</v>
      </c>
    </row>
    <row r="1218" spans="1:8" x14ac:dyDescent="0.25">
      <c r="A1218" t="s">
        <v>325</v>
      </c>
      <c r="B1218">
        <v>134154</v>
      </c>
      <c r="C1218" s="3">
        <v>636</v>
      </c>
      <c r="D1218" s="5">
        <v>44193</v>
      </c>
      <c r="E1218" t="str">
        <f>"378761"</f>
        <v>378761</v>
      </c>
      <c r="F1218" t="str">
        <f>"INV 378761"</f>
        <v>INV 378761</v>
      </c>
      <c r="G1218" s="3">
        <v>636</v>
      </c>
      <c r="H1218" t="str">
        <f>"INV 378761"</f>
        <v>INV 378761</v>
      </c>
    </row>
    <row r="1219" spans="1:8" x14ac:dyDescent="0.25">
      <c r="A1219" t="s">
        <v>326</v>
      </c>
      <c r="B1219">
        <v>134155</v>
      </c>
      <c r="C1219" s="3">
        <v>50</v>
      </c>
      <c r="D1219" s="5">
        <v>44193</v>
      </c>
      <c r="E1219" t="str">
        <f>"5413"</f>
        <v>5413</v>
      </c>
      <c r="F1219" t="str">
        <f>"2021 MEMBERSHIP DUES"</f>
        <v>2021 MEMBERSHIP DUES</v>
      </c>
      <c r="G1219" s="3">
        <v>50</v>
      </c>
      <c r="H1219" t="str">
        <f>"2021 MEMBERSHIP DUES"</f>
        <v>2021 MEMBERSHIP DUES</v>
      </c>
    </row>
    <row r="1220" spans="1:8" x14ac:dyDescent="0.25">
      <c r="A1220" t="s">
        <v>205</v>
      </c>
      <c r="B1220">
        <v>134156</v>
      </c>
      <c r="C1220" s="3">
        <v>266.60000000000002</v>
      </c>
      <c r="D1220" s="5">
        <v>44193</v>
      </c>
      <c r="E1220" t="str">
        <f>"202012210862"</f>
        <v>202012210862</v>
      </c>
      <c r="F1220" t="str">
        <f>"HEADSETS DIRECT INC."</f>
        <v>HEADSETS DIRECT INC.</v>
      </c>
      <c r="G1220" s="3">
        <v>266.60000000000002</v>
      </c>
      <c r="H1220" t="str">
        <f>"Poly Leather Cushion"</f>
        <v>Poly Leather Cushion</v>
      </c>
    </row>
    <row r="1221" spans="1:8" x14ac:dyDescent="0.25">
      <c r="E1221" t="str">
        <f>""</f>
        <v/>
      </c>
      <c r="F1221" t="str">
        <f>""</f>
        <v/>
      </c>
      <c r="H1221" t="str">
        <f>"Poly HW710"</f>
        <v>Poly HW710</v>
      </c>
    </row>
    <row r="1222" spans="1:8" x14ac:dyDescent="0.25">
      <c r="E1222" t="str">
        <f>""</f>
        <v/>
      </c>
      <c r="F1222" t="str">
        <f>""</f>
        <v/>
      </c>
      <c r="H1222" t="str">
        <f>"Freight"</f>
        <v>Freight</v>
      </c>
    </row>
    <row r="1223" spans="1:8" x14ac:dyDescent="0.25">
      <c r="A1223" t="s">
        <v>208</v>
      </c>
      <c r="B1223">
        <v>134157</v>
      </c>
      <c r="C1223" s="3">
        <v>775</v>
      </c>
      <c r="D1223" s="5">
        <v>44193</v>
      </c>
      <c r="E1223" t="str">
        <f>"202012180752"</f>
        <v>202012180752</v>
      </c>
      <c r="F1223" t="str">
        <f>"20-20262"</f>
        <v>20-20262</v>
      </c>
      <c r="G1223" s="3">
        <v>212.5</v>
      </c>
      <c r="H1223" t="str">
        <f>"20-20262"</f>
        <v>20-20262</v>
      </c>
    </row>
    <row r="1224" spans="1:8" x14ac:dyDescent="0.25">
      <c r="E1224" t="str">
        <f>"202012180753"</f>
        <v>202012180753</v>
      </c>
      <c r="F1224" t="str">
        <f>"20-20508"</f>
        <v>20-20508</v>
      </c>
      <c r="G1224" s="3">
        <v>250</v>
      </c>
      <c r="H1224" t="str">
        <f>"20-20508"</f>
        <v>20-20508</v>
      </c>
    </row>
    <row r="1225" spans="1:8" x14ac:dyDescent="0.25">
      <c r="E1225" t="str">
        <f>"202012180754"</f>
        <v>202012180754</v>
      </c>
      <c r="F1225" t="str">
        <f>"19-19914"</f>
        <v>19-19914</v>
      </c>
      <c r="G1225" s="3">
        <v>137.5</v>
      </c>
      <c r="H1225" t="str">
        <f>"19-19914"</f>
        <v>19-19914</v>
      </c>
    </row>
    <row r="1226" spans="1:8" x14ac:dyDescent="0.25">
      <c r="E1226" t="str">
        <f>"202012180755"</f>
        <v>202012180755</v>
      </c>
      <c r="F1226" t="str">
        <f>"20-20448"</f>
        <v>20-20448</v>
      </c>
      <c r="G1226" s="3">
        <v>175</v>
      </c>
      <c r="H1226" t="str">
        <f>"20-20448"</f>
        <v>20-20448</v>
      </c>
    </row>
    <row r="1227" spans="1:8" x14ac:dyDescent="0.25">
      <c r="A1227" t="s">
        <v>327</v>
      </c>
      <c r="B1227">
        <v>134158</v>
      </c>
      <c r="C1227" s="3">
        <v>2374</v>
      </c>
      <c r="D1227" s="5">
        <v>44193</v>
      </c>
      <c r="E1227" t="str">
        <f>"WI-5/65-R6W1"</f>
        <v>WI-5/65-R6W1</v>
      </c>
      <c r="F1227" t="str">
        <f>"HEAT TRANSFER SOLUTIONS  INC."</f>
        <v>HEAT TRANSFER SOLUTIONS  INC.</v>
      </c>
      <c r="G1227" s="3">
        <v>2374</v>
      </c>
      <c r="H1227" t="str">
        <f>"HVAC Maintenance"</f>
        <v>HVAC Maintenance</v>
      </c>
    </row>
    <row r="1228" spans="1:8" x14ac:dyDescent="0.25">
      <c r="A1228" t="s">
        <v>328</v>
      </c>
      <c r="B1228">
        <v>134159</v>
      </c>
      <c r="C1228" s="3">
        <v>250</v>
      </c>
      <c r="D1228" s="5">
        <v>44193</v>
      </c>
      <c r="E1228" t="str">
        <f>"202012180762"</f>
        <v>202012180762</v>
      </c>
      <c r="F1228" t="str">
        <f>"57 459"</f>
        <v>57 459</v>
      </c>
      <c r="G1228" s="3">
        <v>250</v>
      </c>
      <c r="H1228" t="str">
        <f>"57 459"</f>
        <v>57 459</v>
      </c>
    </row>
    <row r="1229" spans="1:8" x14ac:dyDescent="0.25">
      <c r="A1229" t="s">
        <v>213</v>
      </c>
      <c r="B1229">
        <v>134160</v>
      </c>
      <c r="C1229" s="3">
        <v>1061</v>
      </c>
      <c r="D1229" s="5">
        <v>44193</v>
      </c>
      <c r="E1229" t="str">
        <f>"1299"</f>
        <v>1299</v>
      </c>
      <c r="F1229" t="str">
        <f>"INV 1299"</f>
        <v>INV 1299</v>
      </c>
      <c r="G1229" s="3">
        <v>1061</v>
      </c>
      <c r="H1229" t="str">
        <f>"INV 1299"</f>
        <v>INV 1299</v>
      </c>
    </row>
    <row r="1230" spans="1:8" x14ac:dyDescent="0.25">
      <c r="A1230" t="s">
        <v>329</v>
      </c>
      <c r="B1230">
        <v>134162</v>
      </c>
      <c r="C1230" s="3">
        <v>9917.14</v>
      </c>
      <c r="D1230" s="5">
        <v>44193</v>
      </c>
      <c r="E1230" t="str">
        <f>"0560710689"</f>
        <v>0560710689</v>
      </c>
      <c r="F1230" t="str">
        <f>"INV 0560710689"</f>
        <v>INV 0560710689</v>
      </c>
      <c r="G1230" s="3">
        <v>9917.14</v>
      </c>
      <c r="H1230" t="str">
        <f>"INV 0560710689"</f>
        <v>INV 0560710689</v>
      </c>
    </row>
    <row r="1231" spans="1:8" x14ac:dyDescent="0.25">
      <c r="A1231" t="s">
        <v>330</v>
      </c>
      <c r="B1231">
        <v>134163</v>
      </c>
      <c r="C1231" s="3">
        <v>25</v>
      </c>
      <c r="D1231" s="5">
        <v>44193</v>
      </c>
      <c r="E1231" t="str">
        <f>"202012220870"</f>
        <v>202012220870</v>
      </c>
      <c r="F1231" t="str">
        <f>"REFUND DRIVE WAY PERMIT"</f>
        <v>REFUND DRIVE WAY PERMIT</v>
      </c>
      <c r="G1231" s="3">
        <v>25</v>
      </c>
      <c r="H1231" t="str">
        <f>"REFUND DRIVE WAY PERMIT"</f>
        <v>REFUND DRIVE WAY PERMIT</v>
      </c>
    </row>
    <row r="1232" spans="1:8" x14ac:dyDescent="0.25">
      <c r="A1232" t="s">
        <v>221</v>
      </c>
      <c r="B1232">
        <v>134164</v>
      </c>
      <c r="C1232" s="3">
        <v>159.25</v>
      </c>
      <c r="D1232" s="5">
        <v>44193</v>
      </c>
      <c r="E1232" t="str">
        <f>"1211621-20201130"</f>
        <v>1211621-20201130</v>
      </c>
      <c r="F1232" t="str">
        <f>"BILL ID:1211621/HEALTH SVCS"</f>
        <v>BILL ID:1211621/HEALTH SVCS</v>
      </c>
      <c r="G1232" s="3">
        <v>109.25</v>
      </c>
      <c r="H1232" t="str">
        <f>"BILL ID:1211621/HEALTH SVCS"</f>
        <v>BILL ID:1211621/HEALTH SVCS</v>
      </c>
    </row>
    <row r="1233" spans="1:8" x14ac:dyDescent="0.25">
      <c r="E1233" t="str">
        <f>"1394645-20201130"</f>
        <v>1394645-20201130</v>
      </c>
      <c r="F1233" t="str">
        <f>"BILL ID:1394645/COUNTY CLERK"</f>
        <v>BILL ID:1394645/COUNTY CLERK</v>
      </c>
      <c r="G1233" s="3">
        <v>50</v>
      </c>
      <c r="H1233" t="str">
        <f>"BILL ID:1394645/COUNTY CLERK"</f>
        <v>BILL ID:1394645/COUNTY CLERK</v>
      </c>
    </row>
    <row r="1234" spans="1:8" x14ac:dyDescent="0.25">
      <c r="A1234" t="s">
        <v>222</v>
      </c>
      <c r="B1234">
        <v>134165</v>
      </c>
      <c r="C1234" s="3">
        <v>741.63</v>
      </c>
      <c r="D1234" s="5">
        <v>44193</v>
      </c>
      <c r="E1234" t="str">
        <f>"1949064"</f>
        <v>1949064</v>
      </c>
      <c r="F1234" t="str">
        <f>"ACCT#15717/601 COOL WATER"</f>
        <v>ACCT#15717/601 COOL WATER</v>
      </c>
      <c r="G1234" s="3">
        <v>741.63</v>
      </c>
      <c r="H1234" t="str">
        <f>"ACCT#15717/601 COOL WATER"</f>
        <v>ACCT#15717/601 COOL WATER</v>
      </c>
    </row>
    <row r="1235" spans="1:8" x14ac:dyDescent="0.25">
      <c r="A1235" t="s">
        <v>331</v>
      </c>
      <c r="B1235">
        <v>134166</v>
      </c>
      <c r="C1235" s="3">
        <v>55.6</v>
      </c>
      <c r="D1235" s="5">
        <v>44193</v>
      </c>
      <c r="E1235" t="str">
        <f>"202012220884"</f>
        <v>202012220884</v>
      </c>
      <c r="F1235" t="str">
        <f>"INDIGENT HEALTH"</f>
        <v>INDIGENT HEALTH</v>
      </c>
      <c r="G1235" s="3">
        <v>55.6</v>
      </c>
      <c r="H1235" t="str">
        <f>"INDIGENT HEALTH"</f>
        <v>INDIGENT HEALTH</v>
      </c>
    </row>
    <row r="1236" spans="1:8" x14ac:dyDescent="0.25">
      <c r="A1236" t="s">
        <v>224</v>
      </c>
      <c r="B1236">
        <v>134167</v>
      </c>
      <c r="C1236" s="3">
        <v>525</v>
      </c>
      <c r="D1236" s="5">
        <v>44193</v>
      </c>
      <c r="E1236" t="str">
        <f>"2034"</f>
        <v>2034</v>
      </c>
      <c r="F1236" t="str">
        <f>"CARPET CLEANING-COURTHOUSE COM"</f>
        <v>CARPET CLEANING-COURTHOUSE COM</v>
      </c>
      <c r="G1236" s="3">
        <v>525</v>
      </c>
      <c r="H1236" t="str">
        <f>"CARPET CLEANING-COURTHOUSE COM"</f>
        <v>CARPET CLEANING-COURTHOUSE COM</v>
      </c>
    </row>
    <row r="1237" spans="1:8" x14ac:dyDescent="0.25">
      <c r="A1237" t="s">
        <v>332</v>
      </c>
      <c r="B1237">
        <v>134168</v>
      </c>
      <c r="C1237" s="3">
        <v>308.45</v>
      </c>
      <c r="D1237" s="5">
        <v>44193</v>
      </c>
      <c r="E1237" t="str">
        <f>"202012220886"</f>
        <v>202012220886</v>
      </c>
      <c r="F1237" t="str">
        <f>"INDIGENT HEALTH"</f>
        <v>INDIGENT HEALTH</v>
      </c>
      <c r="G1237" s="3">
        <v>308.45</v>
      </c>
      <c r="H1237" t="str">
        <f>"INDIGENT HEALTH"</f>
        <v>INDIGENT HEALTH</v>
      </c>
    </row>
    <row r="1238" spans="1:8" x14ac:dyDescent="0.25">
      <c r="E1238" t="str">
        <f>""</f>
        <v/>
      </c>
      <c r="F1238" t="str">
        <f>""</f>
        <v/>
      </c>
      <c r="H1238" t="str">
        <f>"INDIGENT HEALTH"</f>
        <v>INDIGENT HEALTH</v>
      </c>
    </row>
    <row r="1239" spans="1:8" x14ac:dyDescent="0.25">
      <c r="A1239" t="s">
        <v>226</v>
      </c>
      <c r="B1239">
        <v>134169</v>
      </c>
      <c r="C1239" s="3">
        <v>231.91</v>
      </c>
      <c r="D1239" s="5">
        <v>44193</v>
      </c>
      <c r="E1239" t="str">
        <f>"INV001916380"</f>
        <v>INV001916380</v>
      </c>
      <c r="F1239" t="str">
        <f>"INV001916380"</f>
        <v>INV001916380</v>
      </c>
      <c r="G1239" s="3">
        <v>231.91</v>
      </c>
      <c r="H1239" t="str">
        <f>"INV001916380"</f>
        <v>INV001916380</v>
      </c>
    </row>
    <row r="1240" spans="1:8" x14ac:dyDescent="0.25">
      <c r="A1240" t="s">
        <v>22</v>
      </c>
      <c r="B1240">
        <v>134170</v>
      </c>
      <c r="C1240" s="3">
        <v>62.64</v>
      </c>
      <c r="D1240" s="5">
        <v>44193</v>
      </c>
      <c r="E1240" t="str">
        <f>"22685231"</f>
        <v>22685231</v>
      </c>
      <c r="F1240" t="str">
        <f>"INV 22685231"</f>
        <v>INV 22685231</v>
      </c>
      <c r="G1240" s="3">
        <v>62.64</v>
      </c>
      <c r="H1240" t="str">
        <f>"INV 22685231"</f>
        <v>INV 22685231</v>
      </c>
    </row>
    <row r="1241" spans="1:8" x14ac:dyDescent="0.25">
      <c r="A1241" t="s">
        <v>227</v>
      </c>
      <c r="B1241">
        <v>134171</v>
      </c>
      <c r="C1241" s="3">
        <v>4800</v>
      </c>
      <c r="D1241" s="5">
        <v>44193</v>
      </c>
      <c r="E1241" t="str">
        <f>"202012170712"</f>
        <v>202012170712</v>
      </c>
      <c r="F1241" t="str">
        <f>"16 063"</f>
        <v>16 063</v>
      </c>
      <c r="G1241" s="3">
        <v>4800</v>
      </c>
      <c r="H1241" t="str">
        <f>"16 063"</f>
        <v>16 063</v>
      </c>
    </row>
    <row r="1242" spans="1:8" x14ac:dyDescent="0.25">
      <c r="A1242" t="s">
        <v>333</v>
      </c>
      <c r="B1242">
        <v>134172</v>
      </c>
      <c r="C1242" s="3">
        <v>15</v>
      </c>
      <c r="D1242" s="5">
        <v>44193</v>
      </c>
      <c r="E1242" t="str">
        <f>"202012210831"</f>
        <v>202012210831</v>
      </c>
      <c r="F1242" t="str">
        <f>"MAVRICK J EVANS"</f>
        <v>MAVRICK J EVANS</v>
      </c>
      <c r="G1242" s="3">
        <v>15</v>
      </c>
      <c r="H1242" t="str">
        <f>""</f>
        <v/>
      </c>
    </row>
    <row r="1243" spans="1:8" x14ac:dyDescent="0.25">
      <c r="A1243" t="s">
        <v>334</v>
      </c>
      <c r="B1243">
        <v>134173</v>
      </c>
      <c r="C1243" s="3">
        <v>3466.43</v>
      </c>
      <c r="D1243" s="5">
        <v>44193</v>
      </c>
      <c r="E1243" t="str">
        <f>"202012220899"</f>
        <v>202012220899</v>
      </c>
      <c r="F1243" t="str">
        <f>"INDIGENT HEALTH"</f>
        <v>INDIGENT HEALTH</v>
      </c>
      <c r="G1243" s="3">
        <v>3466.43</v>
      </c>
      <c r="H1243" t="str">
        <f>"INDIGENT HEALTH"</f>
        <v>INDIGENT HEALTH</v>
      </c>
    </row>
    <row r="1244" spans="1:8" x14ac:dyDescent="0.25">
      <c r="A1244" t="s">
        <v>232</v>
      </c>
      <c r="B1244">
        <v>134175</v>
      </c>
      <c r="C1244" s="3">
        <v>20769.310000000001</v>
      </c>
      <c r="D1244" s="5">
        <v>44193</v>
      </c>
      <c r="E1244" t="str">
        <f>"8230298514"</f>
        <v>8230298514</v>
      </c>
      <c r="F1244" t="str">
        <f>"ACCT#1036215277/RADIO SVC AGMT"</f>
        <v>ACCT#1036215277/RADIO SVC AGMT</v>
      </c>
      <c r="G1244" s="3">
        <v>20769.310000000001</v>
      </c>
      <c r="H1244" t="str">
        <f>"ACCT#1036215277/RADIO SVC AGMT"</f>
        <v>ACCT#1036215277/RADIO SVC AGMT</v>
      </c>
    </row>
    <row r="1245" spans="1:8" x14ac:dyDescent="0.25">
      <c r="A1245" t="s">
        <v>335</v>
      </c>
      <c r="B1245">
        <v>134176</v>
      </c>
      <c r="C1245" s="3">
        <v>46.73</v>
      </c>
      <c r="D1245" s="5">
        <v>44193</v>
      </c>
      <c r="E1245" t="str">
        <f>"202012220887"</f>
        <v>202012220887</v>
      </c>
      <c r="F1245" t="str">
        <f>"INDIGENT HEALTH"</f>
        <v>INDIGENT HEALTH</v>
      </c>
      <c r="G1245" s="3">
        <v>46.73</v>
      </c>
      <c r="H1245" t="str">
        <f>"INDIGENT HEALTH"</f>
        <v>INDIGENT HEALTH</v>
      </c>
    </row>
    <row r="1246" spans="1:8" x14ac:dyDescent="0.25">
      <c r="A1246" t="s">
        <v>235</v>
      </c>
      <c r="B1246">
        <v>134177</v>
      </c>
      <c r="C1246" s="3">
        <v>892.5</v>
      </c>
      <c r="D1246" s="5">
        <v>44193</v>
      </c>
      <c r="E1246" t="str">
        <f>"202012210834"</f>
        <v>202012210834</v>
      </c>
      <c r="F1246" t="str">
        <f>"JOB 12-9-20-1"</f>
        <v>JOB 12-9-20-1</v>
      </c>
      <c r="G1246" s="3">
        <v>595</v>
      </c>
      <c r="H1246" t="str">
        <f>"JOB 12-9-20-1"</f>
        <v>JOB 12-9-20-1</v>
      </c>
    </row>
    <row r="1247" spans="1:8" x14ac:dyDescent="0.25">
      <c r="E1247" t="str">
        <f>"202012210835"</f>
        <v>202012210835</v>
      </c>
      <c r="F1247" t="str">
        <f>"JOB 12-8-20-1"</f>
        <v>JOB 12-8-20-1</v>
      </c>
      <c r="G1247" s="3">
        <v>297.5</v>
      </c>
      <c r="H1247" t="str">
        <f>"JOB 12-8-20-1"</f>
        <v>JOB 12-8-20-1</v>
      </c>
    </row>
    <row r="1248" spans="1:8" x14ac:dyDescent="0.25">
      <c r="A1248" t="s">
        <v>336</v>
      </c>
      <c r="B1248">
        <v>134178</v>
      </c>
      <c r="C1248" s="3">
        <v>6681.66</v>
      </c>
      <c r="D1248" s="5">
        <v>44193</v>
      </c>
      <c r="E1248" t="str">
        <f>"2023110684"</f>
        <v>2023110684</v>
      </c>
      <c r="F1248" t="str">
        <f>"Cube"</f>
        <v>Cube</v>
      </c>
      <c r="G1248" s="3">
        <v>6681.66</v>
      </c>
      <c r="H1248" t="str">
        <f>"Inv 2023110684"</f>
        <v>Inv 2023110684</v>
      </c>
    </row>
    <row r="1249" spans="1:8" x14ac:dyDescent="0.25">
      <c r="A1249" t="s">
        <v>238</v>
      </c>
      <c r="B1249">
        <v>134179</v>
      </c>
      <c r="C1249" s="3">
        <v>1964.57</v>
      </c>
      <c r="D1249" s="5">
        <v>44193</v>
      </c>
      <c r="E1249" t="str">
        <f>"16738098"</f>
        <v>16738098</v>
      </c>
      <c r="F1249" t="str">
        <f>"Bill"</f>
        <v>Bill</v>
      </c>
      <c r="G1249" s="3">
        <v>640.39</v>
      </c>
      <c r="H1249" t="str">
        <f>"139412202001"</f>
        <v>139412202001</v>
      </c>
    </row>
    <row r="1250" spans="1:8" x14ac:dyDescent="0.25">
      <c r="E1250" t="str">
        <f>""</f>
        <v/>
      </c>
      <c r="F1250" t="str">
        <f>""</f>
        <v/>
      </c>
      <c r="H1250" t="str">
        <f>"138005505001"</f>
        <v>138005505001</v>
      </c>
    </row>
    <row r="1251" spans="1:8" x14ac:dyDescent="0.25">
      <c r="E1251" t="str">
        <f>""</f>
        <v/>
      </c>
      <c r="F1251" t="str">
        <f>""</f>
        <v/>
      </c>
      <c r="H1251" t="str">
        <f>"138016430001"</f>
        <v>138016430001</v>
      </c>
    </row>
    <row r="1252" spans="1:8" x14ac:dyDescent="0.25">
      <c r="E1252" t="str">
        <f>""</f>
        <v/>
      </c>
      <c r="F1252" t="str">
        <f>""</f>
        <v/>
      </c>
      <c r="H1252" t="str">
        <f>"137254017001"</f>
        <v>137254017001</v>
      </c>
    </row>
    <row r="1253" spans="1:8" x14ac:dyDescent="0.25">
      <c r="E1253" t="str">
        <f>""</f>
        <v/>
      </c>
      <c r="F1253" t="str">
        <f>""</f>
        <v/>
      </c>
      <c r="H1253" t="str">
        <f>"137955449001"</f>
        <v>137955449001</v>
      </c>
    </row>
    <row r="1254" spans="1:8" x14ac:dyDescent="0.25">
      <c r="E1254" t="str">
        <f>""</f>
        <v/>
      </c>
      <c r="F1254" t="str">
        <f>""</f>
        <v/>
      </c>
      <c r="H1254" t="str">
        <f>"140701370001"</f>
        <v>140701370001</v>
      </c>
    </row>
    <row r="1255" spans="1:8" x14ac:dyDescent="0.25">
      <c r="E1255" t="str">
        <f>""</f>
        <v/>
      </c>
      <c r="F1255" t="str">
        <f>""</f>
        <v/>
      </c>
      <c r="H1255" t="str">
        <f>"515440638002"</f>
        <v>515440638002</v>
      </c>
    </row>
    <row r="1256" spans="1:8" x14ac:dyDescent="0.25">
      <c r="E1256" t="str">
        <f>""</f>
        <v/>
      </c>
      <c r="F1256" t="str">
        <f>""</f>
        <v/>
      </c>
      <c r="H1256" t="str">
        <f>"139070335001"</f>
        <v>139070335001</v>
      </c>
    </row>
    <row r="1257" spans="1:8" x14ac:dyDescent="0.25">
      <c r="E1257" t="str">
        <f>""</f>
        <v/>
      </c>
      <c r="F1257" t="str">
        <f>""</f>
        <v/>
      </c>
      <c r="H1257" t="str">
        <f>"139072922001"</f>
        <v>139072922001</v>
      </c>
    </row>
    <row r="1258" spans="1:8" x14ac:dyDescent="0.25">
      <c r="E1258" t="str">
        <f>""</f>
        <v/>
      </c>
      <c r="F1258" t="str">
        <f>""</f>
        <v/>
      </c>
      <c r="H1258" t="str">
        <f>"136419944001"</f>
        <v>136419944001</v>
      </c>
    </row>
    <row r="1259" spans="1:8" x14ac:dyDescent="0.25">
      <c r="E1259" t="str">
        <f>""</f>
        <v/>
      </c>
      <c r="F1259" t="str">
        <f>""</f>
        <v/>
      </c>
      <c r="H1259" t="str">
        <f>"138337515001"</f>
        <v>138337515001</v>
      </c>
    </row>
    <row r="1260" spans="1:8" x14ac:dyDescent="0.25">
      <c r="E1260" t="str">
        <f>"202012220909"</f>
        <v>202012220909</v>
      </c>
      <c r="F1260" t="str">
        <f>"BIll"</f>
        <v>BIll</v>
      </c>
      <c r="G1260" s="3">
        <v>1324.18</v>
      </c>
      <c r="H1260" t="str">
        <f>"141120759001"</f>
        <v>141120759001</v>
      </c>
    </row>
    <row r="1261" spans="1:8" x14ac:dyDescent="0.25">
      <c r="E1261" t="str">
        <f>""</f>
        <v/>
      </c>
      <c r="F1261" t="str">
        <f>""</f>
        <v/>
      </c>
      <c r="H1261" t="str">
        <f>"143930210001"</f>
        <v>143930210001</v>
      </c>
    </row>
    <row r="1262" spans="1:8" x14ac:dyDescent="0.25">
      <c r="E1262" t="str">
        <f>""</f>
        <v/>
      </c>
      <c r="F1262" t="str">
        <f>""</f>
        <v/>
      </c>
      <c r="H1262" t="str">
        <f>"143930210001"</f>
        <v>143930210001</v>
      </c>
    </row>
    <row r="1263" spans="1:8" x14ac:dyDescent="0.25">
      <c r="E1263" t="str">
        <f>""</f>
        <v/>
      </c>
      <c r="F1263" t="str">
        <f>""</f>
        <v/>
      </c>
      <c r="H1263" t="str">
        <f>"144557211001"</f>
        <v>144557211001</v>
      </c>
    </row>
    <row r="1264" spans="1:8" x14ac:dyDescent="0.25">
      <c r="E1264" t="str">
        <f>""</f>
        <v/>
      </c>
      <c r="F1264" t="str">
        <f>""</f>
        <v/>
      </c>
      <c r="H1264" t="str">
        <f>"144781731001"</f>
        <v>144781731001</v>
      </c>
    </row>
    <row r="1265" spans="1:8" x14ac:dyDescent="0.25">
      <c r="E1265" t="str">
        <f>""</f>
        <v/>
      </c>
      <c r="F1265" t="str">
        <f>""</f>
        <v/>
      </c>
      <c r="H1265" t="str">
        <f>"142855087001"</f>
        <v>142855087001</v>
      </c>
    </row>
    <row r="1266" spans="1:8" x14ac:dyDescent="0.25">
      <c r="E1266" t="str">
        <f>""</f>
        <v/>
      </c>
      <c r="F1266" t="str">
        <f>""</f>
        <v/>
      </c>
      <c r="H1266" t="str">
        <f>"142856398001"</f>
        <v>142856398001</v>
      </c>
    </row>
    <row r="1267" spans="1:8" x14ac:dyDescent="0.25">
      <c r="E1267" t="str">
        <f>""</f>
        <v/>
      </c>
      <c r="F1267" t="str">
        <f>""</f>
        <v/>
      </c>
      <c r="H1267" t="str">
        <f>"142856399001"</f>
        <v>142856399001</v>
      </c>
    </row>
    <row r="1268" spans="1:8" x14ac:dyDescent="0.25">
      <c r="E1268" t="str">
        <f>""</f>
        <v/>
      </c>
      <c r="F1268" t="str">
        <f>""</f>
        <v/>
      </c>
      <c r="H1268" t="str">
        <f>"142340411001"</f>
        <v>142340411001</v>
      </c>
    </row>
    <row r="1269" spans="1:8" x14ac:dyDescent="0.25">
      <c r="E1269" t="str">
        <f>""</f>
        <v/>
      </c>
      <c r="F1269" t="str">
        <f>""</f>
        <v/>
      </c>
      <c r="H1269" t="str">
        <f>"142340875001"</f>
        <v>142340875001</v>
      </c>
    </row>
    <row r="1270" spans="1:8" x14ac:dyDescent="0.25">
      <c r="E1270" t="str">
        <f>""</f>
        <v/>
      </c>
      <c r="F1270" t="str">
        <f>""</f>
        <v/>
      </c>
      <c r="H1270" t="str">
        <f>"142340879001"</f>
        <v>142340879001</v>
      </c>
    </row>
    <row r="1271" spans="1:8" x14ac:dyDescent="0.25">
      <c r="E1271" t="str">
        <f>""</f>
        <v/>
      </c>
      <c r="F1271" t="str">
        <f>""</f>
        <v/>
      </c>
      <c r="H1271" t="str">
        <f>"142387300001"</f>
        <v>142387300001</v>
      </c>
    </row>
    <row r="1272" spans="1:8" x14ac:dyDescent="0.25">
      <c r="E1272" t="str">
        <f>""</f>
        <v/>
      </c>
      <c r="F1272" t="str">
        <f>""</f>
        <v/>
      </c>
      <c r="H1272" t="str">
        <f>"140161313001"</f>
        <v>140161313001</v>
      </c>
    </row>
    <row r="1273" spans="1:8" x14ac:dyDescent="0.25">
      <c r="E1273" t="str">
        <f>""</f>
        <v/>
      </c>
      <c r="F1273" t="str">
        <f>""</f>
        <v/>
      </c>
      <c r="H1273" t="str">
        <f>"140161313002"</f>
        <v>140161313002</v>
      </c>
    </row>
    <row r="1274" spans="1:8" x14ac:dyDescent="0.25">
      <c r="E1274" t="str">
        <f>""</f>
        <v/>
      </c>
      <c r="F1274" t="str">
        <f>""</f>
        <v/>
      </c>
      <c r="H1274" t="str">
        <f>"142769456001"</f>
        <v>142769456001</v>
      </c>
    </row>
    <row r="1275" spans="1:8" x14ac:dyDescent="0.25">
      <c r="E1275" t="str">
        <f>""</f>
        <v/>
      </c>
      <c r="F1275" t="str">
        <f>""</f>
        <v/>
      </c>
      <c r="H1275" t="str">
        <f>"141054107001"</f>
        <v>141054107001</v>
      </c>
    </row>
    <row r="1276" spans="1:8" x14ac:dyDescent="0.25">
      <c r="A1276" t="s">
        <v>337</v>
      </c>
      <c r="B1276">
        <v>134180</v>
      </c>
      <c r="C1276" s="3">
        <v>23.6</v>
      </c>
      <c r="D1276" s="5">
        <v>44193</v>
      </c>
      <c r="E1276" t="str">
        <f>"279540"</f>
        <v>279540</v>
      </c>
      <c r="F1276" t="str">
        <f>"Sign Shop Material"</f>
        <v>Sign Shop Material</v>
      </c>
      <c r="G1276" s="3">
        <v>23.6</v>
      </c>
      <c r="H1276" t="str">
        <f>"Inv. #279540"</f>
        <v>Inv. #279540</v>
      </c>
    </row>
    <row r="1277" spans="1:8" x14ac:dyDescent="0.25">
      <c r="E1277" t="str">
        <f>""</f>
        <v/>
      </c>
      <c r="F1277" t="str">
        <f>""</f>
        <v/>
      </c>
      <c r="H1277" t="str">
        <f>"CREDIT #279279"</f>
        <v>CREDIT #279279</v>
      </c>
    </row>
    <row r="1278" spans="1:8" x14ac:dyDescent="0.25">
      <c r="A1278" t="s">
        <v>338</v>
      </c>
      <c r="B1278">
        <v>134181</v>
      </c>
      <c r="C1278" s="3">
        <v>521.76</v>
      </c>
      <c r="D1278" s="5">
        <v>44193</v>
      </c>
      <c r="E1278" t="str">
        <f>"202012210836"</f>
        <v>202012210836</v>
      </c>
      <c r="F1278" t="str">
        <f>"ACCT#8850283308/PCT#2"</f>
        <v>ACCT#8850283308/PCT#2</v>
      </c>
      <c r="G1278" s="3">
        <v>521.76</v>
      </c>
      <c r="H1278" t="str">
        <f>"ACCT#8850283308/PCT#2"</f>
        <v>ACCT#8850283308/PCT#2</v>
      </c>
    </row>
    <row r="1279" spans="1:8" x14ac:dyDescent="0.25">
      <c r="A1279" t="s">
        <v>339</v>
      </c>
      <c r="B1279">
        <v>134182</v>
      </c>
      <c r="C1279" s="3">
        <v>3100</v>
      </c>
      <c r="D1279" s="5">
        <v>44193</v>
      </c>
      <c r="E1279" t="str">
        <f>"22323-A"</f>
        <v>22323-A</v>
      </c>
      <c r="F1279" t="str">
        <f>"Renewal"</f>
        <v>Renewal</v>
      </c>
      <c r="G1279" s="3">
        <v>3100</v>
      </c>
      <c r="H1279" t="str">
        <f>"Service Plans"</f>
        <v>Service Plans</v>
      </c>
    </row>
    <row r="1280" spans="1:8" x14ac:dyDescent="0.25">
      <c r="A1280" t="s">
        <v>340</v>
      </c>
      <c r="B1280">
        <v>134184</v>
      </c>
      <c r="C1280" s="3">
        <v>696</v>
      </c>
      <c r="D1280" s="5">
        <v>44193</v>
      </c>
      <c r="E1280" t="str">
        <f>"133772"</f>
        <v>133772</v>
      </c>
      <c r="F1280" t="str">
        <f>"NITRO LUX LED BULB KIT/PCT#1"</f>
        <v>NITRO LUX LED BULB KIT/PCT#1</v>
      </c>
      <c r="G1280" s="3">
        <v>696</v>
      </c>
      <c r="H1280" t="str">
        <f>"NITRO LUX LED BULB KIT/PCT#1"</f>
        <v>NITRO LUX LED BULB KIT/PCT#1</v>
      </c>
    </row>
    <row r="1281" spans="1:8" x14ac:dyDescent="0.25">
      <c r="A1281" t="s">
        <v>341</v>
      </c>
      <c r="B1281">
        <v>134185</v>
      </c>
      <c r="C1281" s="3">
        <v>393.18</v>
      </c>
      <c r="D1281" s="5">
        <v>44193</v>
      </c>
      <c r="E1281" t="str">
        <f>"202012220889"</f>
        <v>202012220889</v>
      </c>
      <c r="F1281" t="str">
        <f>"INDIGENT HEALTH"</f>
        <v>INDIGENT HEALTH</v>
      </c>
      <c r="G1281" s="3">
        <v>393.18</v>
      </c>
      <c r="H1281" t="str">
        <f>"INDIGENT HEALTH"</f>
        <v>INDIGENT HEALTH</v>
      </c>
    </row>
    <row r="1282" spans="1:8" x14ac:dyDescent="0.25">
      <c r="A1282" t="s">
        <v>342</v>
      </c>
      <c r="B1282">
        <v>134186</v>
      </c>
      <c r="C1282" s="3">
        <v>142</v>
      </c>
      <c r="D1282" s="5">
        <v>44193</v>
      </c>
      <c r="E1282" t="str">
        <f>"9650"</f>
        <v>9650</v>
      </c>
      <c r="F1282" t="str">
        <f>"FLAT/PCT#2"</f>
        <v>FLAT/PCT#2</v>
      </c>
      <c r="G1282" s="3">
        <v>22</v>
      </c>
      <c r="H1282" t="str">
        <f>"FLAT/PCT#2"</f>
        <v>FLAT/PCT#2</v>
      </c>
    </row>
    <row r="1283" spans="1:8" x14ac:dyDescent="0.25">
      <c r="E1283" t="str">
        <f>"9717"</f>
        <v>9717</v>
      </c>
      <c r="F1283" t="str">
        <f>"4 MOUNT/PCT#2"</f>
        <v>4 MOUNT/PCT#2</v>
      </c>
      <c r="G1283" s="3">
        <v>80</v>
      </c>
      <c r="H1283" t="str">
        <f>"4 MOUNT/PCT#2"</f>
        <v>4 MOUNT/PCT#2</v>
      </c>
    </row>
    <row r="1284" spans="1:8" x14ac:dyDescent="0.25">
      <c r="E1284" t="str">
        <f>"9746"</f>
        <v>9746</v>
      </c>
      <c r="F1284" t="str">
        <f>"VEHICLE SVCS/PCT#2"</f>
        <v>VEHICLE SVCS/PCT#2</v>
      </c>
      <c r="G1284" s="3">
        <v>40</v>
      </c>
      <c r="H1284" t="str">
        <f>"VEHICLE SVCS/PCT#2"</f>
        <v>VEHICLE SVCS/PCT#2</v>
      </c>
    </row>
    <row r="1285" spans="1:8" x14ac:dyDescent="0.25">
      <c r="A1285" t="s">
        <v>17</v>
      </c>
      <c r="B1285">
        <v>134187</v>
      </c>
      <c r="C1285" s="3">
        <v>1551.79</v>
      </c>
      <c r="D1285" s="5">
        <v>44193</v>
      </c>
      <c r="E1285" t="str">
        <f>"5115985 5118988 51"</f>
        <v>5115985 5118988 51</v>
      </c>
      <c r="F1285" t="str">
        <f>"INV 5115985"</f>
        <v>INV 5115985</v>
      </c>
      <c r="G1285" s="3">
        <v>1551.79</v>
      </c>
      <c r="H1285" t="str">
        <f>"INV 5115985"</f>
        <v>INV 5115985</v>
      </c>
    </row>
    <row r="1286" spans="1:8" x14ac:dyDescent="0.25">
      <c r="E1286" t="str">
        <f>""</f>
        <v/>
      </c>
      <c r="F1286" t="str">
        <f>""</f>
        <v/>
      </c>
      <c r="H1286" t="str">
        <f>"INV 5118988"</f>
        <v>INV 5118988</v>
      </c>
    </row>
    <row r="1287" spans="1:8" x14ac:dyDescent="0.25">
      <c r="E1287" t="str">
        <f>""</f>
        <v/>
      </c>
      <c r="F1287" t="str">
        <f>""</f>
        <v/>
      </c>
      <c r="H1287" t="str">
        <f>"CM 5121886"</f>
        <v>CM 5121886</v>
      </c>
    </row>
    <row r="1288" spans="1:8" x14ac:dyDescent="0.25">
      <c r="E1288" t="str">
        <f>""</f>
        <v/>
      </c>
      <c r="F1288" t="str">
        <f>""</f>
        <v/>
      </c>
      <c r="H1288" t="str">
        <f>"INV 5122245"</f>
        <v>INV 5122245</v>
      </c>
    </row>
    <row r="1289" spans="1:8" x14ac:dyDescent="0.25">
      <c r="A1289" t="s">
        <v>343</v>
      </c>
      <c r="B1289">
        <v>134188</v>
      </c>
      <c r="C1289" s="3">
        <v>25</v>
      </c>
      <c r="D1289" s="5">
        <v>44193</v>
      </c>
      <c r="E1289" t="str">
        <f>"202012170723"</f>
        <v>202012170723</v>
      </c>
      <c r="F1289" t="str">
        <f>"REFUND DRIVEWAY PERMIT"</f>
        <v>REFUND DRIVEWAY PERMIT</v>
      </c>
      <c r="G1289" s="3">
        <v>25</v>
      </c>
      <c r="H1289" t="str">
        <f>"REFUND DRIVEWAY PERMIT"</f>
        <v>REFUND DRIVEWAY PERMIT</v>
      </c>
    </row>
    <row r="1290" spans="1:8" x14ac:dyDescent="0.25">
      <c r="A1290" t="s">
        <v>344</v>
      </c>
      <c r="B1290">
        <v>134189</v>
      </c>
      <c r="C1290" s="3">
        <v>88.6</v>
      </c>
      <c r="D1290" s="5">
        <v>44193</v>
      </c>
      <c r="E1290" t="str">
        <f>"7453CVW"</f>
        <v>7453CVW</v>
      </c>
      <c r="F1290" t="str">
        <f>"CUST#9486/PCT#4"</f>
        <v>CUST#9486/PCT#4</v>
      </c>
      <c r="G1290" s="3">
        <v>88.6</v>
      </c>
      <c r="H1290" t="str">
        <f>"CUST#9486/PCT#4"</f>
        <v>CUST#9486/PCT#4</v>
      </c>
    </row>
    <row r="1291" spans="1:8" x14ac:dyDescent="0.25">
      <c r="A1291" t="s">
        <v>254</v>
      </c>
      <c r="B1291">
        <v>134190</v>
      </c>
      <c r="C1291" s="3">
        <v>25</v>
      </c>
      <c r="D1291" s="5">
        <v>44193</v>
      </c>
      <c r="E1291" t="str">
        <f>"202012220871"</f>
        <v>202012220871</v>
      </c>
      <c r="F1291" t="str">
        <f>"REFUND DRIVEWAY PERMIT"</f>
        <v>REFUND DRIVEWAY PERMIT</v>
      </c>
      <c r="G1291" s="3">
        <v>25</v>
      </c>
      <c r="H1291" t="str">
        <f>"REFUND DRIVEWAY PERMIT"</f>
        <v>REFUND DRIVEWAY PERMIT</v>
      </c>
    </row>
    <row r="1292" spans="1:8" x14ac:dyDescent="0.25">
      <c r="A1292" t="s">
        <v>345</v>
      </c>
      <c r="B1292">
        <v>134192</v>
      </c>
      <c r="C1292" s="3">
        <v>991.58</v>
      </c>
      <c r="D1292" s="5">
        <v>44193</v>
      </c>
      <c r="E1292" t="str">
        <f>"4744*06024*1"</f>
        <v>4744*06024*1</v>
      </c>
      <c r="F1292" t="str">
        <f>"JAIL MEDICAL"</f>
        <v>JAIL MEDICAL</v>
      </c>
      <c r="G1292" s="3">
        <v>991.58</v>
      </c>
      <c r="H1292" t="str">
        <f>"JAIL MEDICAL"</f>
        <v>JAIL MEDICAL</v>
      </c>
    </row>
    <row r="1293" spans="1:8" x14ac:dyDescent="0.25">
      <c r="A1293" t="s">
        <v>346</v>
      </c>
      <c r="B1293">
        <v>134193</v>
      </c>
      <c r="C1293" s="3">
        <v>6337.68</v>
      </c>
      <c r="D1293" s="5">
        <v>44193</v>
      </c>
      <c r="E1293" t="str">
        <f>"202012210852"</f>
        <v>202012210852</v>
      </c>
      <c r="F1293" t="str">
        <f>"PRESCRIPTION ASSISTANCE PROGR"</f>
        <v>PRESCRIPTION ASSISTANCE PROGR</v>
      </c>
      <c r="G1293" s="3">
        <v>3400</v>
      </c>
      <c r="H1293" t="str">
        <f>"PRESCRIPTION ASSISTANCE PROGR"</f>
        <v>PRESCRIPTION ASSISTANCE PROGR</v>
      </c>
    </row>
    <row r="1294" spans="1:8" x14ac:dyDescent="0.25">
      <c r="E1294" t="str">
        <f>"202012220877"</f>
        <v>202012220877</v>
      </c>
      <c r="F1294" t="str">
        <f>"INDIGENT HEALTH"</f>
        <v>INDIGENT HEALTH</v>
      </c>
      <c r="G1294" s="3">
        <v>2937.68</v>
      </c>
      <c r="H1294" t="str">
        <f>"INDIGENT HEALTH"</f>
        <v>INDIGENT HEALTH</v>
      </c>
    </row>
    <row r="1295" spans="1:8" x14ac:dyDescent="0.25">
      <c r="A1295" t="s">
        <v>259</v>
      </c>
      <c r="B1295">
        <v>134194</v>
      </c>
      <c r="C1295" s="3">
        <v>47067.58</v>
      </c>
      <c r="D1295" s="5">
        <v>44193</v>
      </c>
      <c r="E1295" t="str">
        <f>"202012210861"</f>
        <v>202012210861</v>
      </c>
      <c r="F1295" t="str">
        <f>"Microsoft Software VAR"</f>
        <v>Microsoft Software VAR</v>
      </c>
      <c r="G1295" s="3">
        <v>11198.4</v>
      </c>
      <c r="H1295" t="str">
        <f>"Microsoft Software VAR"</f>
        <v>Microsoft Software VAR</v>
      </c>
    </row>
    <row r="1296" spans="1:8" x14ac:dyDescent="0.25">
      <c r="E1296" t="str">
        <f>"GB00393467"</f>
        <v>GB00393467</v>
      </c>
      <c r="F1296" t="str">
        <f>"SHI GOVERNMENT SOLUTIONS INC."</f>
        <v>SHI GOVERNMENT SOLUTIONS INC.</v>
      </c>
      <c r="G1296" s="3">
        <v>47.88</v>
      </c>
      <c r="H1296" t="str">
        <f>"Quicken Deluxe"</f>
        <v>Quicken Deluxe</v>
      </c>
    </row>
    <row r="1297" spans="1:8" x14ac:dyDescent="0.25">
      <c r="E1297" t="str">
        <f>"GB00394080"</f>
        <v>GB00394080</v>
      </c>
      <c r="F1297" t="str">
        <f>"SHI GOVERNMENT SOLUTIONS INC."</f>
        <v>SHI GOVERNMENT SOLUTIONS INC.</v>
      </c>
      <c r="G1297" s="3">
        <v>140</v>
      </c>
      <c r="H1297" t="str">
        <f>"Intel Solid State"</f>
        <v>Intel Solid State</v>
      </c>
    </row>
    <row r="1298" spans="1:8" x14ac:dyDescent="0.25">
      <c r="E1298" t="str">
        <f>"GB00394348"</f>
        <v>GB00394348</v>
      </c>
      <c r="F1298" t="str">
        <f>"SHI GOVERNMENT SOLUTIONS INC."</f>
        <v>SHI GOVERNMENT SOLUTIONS INC.</v>
      </c>
      <c r="G1298" s="3">
        <v>1182.05</v>
      </c>
      <c r="H1298" t="str">
        <f>"Cisco Phones"</f>
        <v>Cisco Phones</v>
      </c>
    </row>
    <row r="1299" spans="1:8" x14ac:dyDescent="0.25">
      <c r="E1299" t="str">
        <f>"GB00394464"</f>
        <v>GB00394464</v>
      </c>
      <c r="F1299" t="str">
        <f>"SHI GOVERNMENT SOLUTIONS INC."</f>
        <v>SHI GOVERNMENT SOLUTIONS INC.</v>
      </c>
      <c r="G1299" s="3">
        <v>127.5</v>
      </c>
      <c r="H1299" t="str">
        <f>"8GB"</f>
        <v>8GB</v>
      </c>
    </row>
    <row r="1300" spans="1:8" x14ac:dyDescent="0.25">
      <c r="E1300" t="str">
        <f>""</f>
        <v/>
      </c>
      <c r="F1300" t="str">
        <f>""</f>
        <v/>
      </c>
      <c r="H1300" t="str">
        <f>"4GB"</f>
        <v>4GB</v>
      </c>
    </row>
    <row r="1301" spans="1:8" x14ac:dyDescent="0.25">
      <c r="E1301" t="str">
        <f>"GB00394465"</f>
        <v>GB00394465</v>
      </c>
      <c r="F1301" t="str">
        <f>"SHI GOVERNMENT SOLUTIONS INC."</f>
        <v>SHI GOVERNMENT SOLUTIONS INC.</v>
      </c>
      <c r="G1301" s="3">
        <v>12512.75</v>
      </c>
      <c r="H1301" t="str">
        <f>"Forcepoint Web"</f>
        <v>Forcepoint Web</v>
      </c>
    </row>
    <row r="1302" spans="1:8" x14ac:dyDescent="0.25">
      <c r="E1302" t="str">
        <f>""</f>
        <v/>
      </c>
      <c r="F1302" t="str">
        <f>""</f>
        <v/>
      </c>
      <c r="H1302" t="str">
        <f>"12MO Ess Sup"</f>
        <v>12MO Ess Sup</v>
      </c>
    </row>
    <row r="1303" spans="1:8" x14ac:dyDescent="0.25">
      <c r="E1303" t="str">
        <f>"GB00394494"</f>
        <v>GB00394494</v>
      </c>
      <c r="F1303" t="str">
        <f>"SHI GOVERNMENT SOLUTIONS INC."</f>
        <v>SHI GOVERNMENT SOLUTIONS INC.</v>
      </c>
      <c r="G1303" s="3">
        <v>21859</v>
      </c>
      <c r="H1303" t="str">
        <f>"Premier Renewal"</f>
        <v>Premier Renewal</v>
      </c>
    </row>
    <row r="1304" spans="1:8" x14ac:dyDescent="0.25">
      <c r="A1304" t="s">
        <v>347</v>
      </c>
      <c r="B1304">
        <v>134195</v>
      </c>
      <c r="C1304" s="3">
        <v>1080.53</v>
      </c>
      <c r="D1304" s="5">
        <v>44193</v>
      </c>
      <c r="E1304" t="str">
        <f>"202012220891"</f>
        <v>202012220891</v>
      </c>
      <c r="F1304" t="str">
        <f>"INDIGENT HEALTH"</f>
        <v>INDIGENT HEALTH</v>
      </c>
      <c r="G1304" s="3">
        <v>1080.53</v>
      </c>
      <c r="H1304" t="str">
        <f>"INDIGENT HEALTH"</f>
        <v>INDIGENT HEALTH</v>
      </c>
    </row>
    <row r="1305" spans="1:8" x14ac:dyDescent="0.25">
      <c r="A1305" t="s">
        <v>348</v>
      </c>
      <c r="B1305">
        <v>134196</v>
      </c>
      <c r="C1305" s="3">
        <v>227.31</v>
      </c>
      <c r="D1305" s="5">
        <v>44193</v>
      </c>
      <c r="E1305" t="str">
        <f>"202012170727"</f>
        <v>202012170727</v>
      </c>
      <c r="F1305" t="str">
        <f>"UNIFORM BOOTS/PCT#3"</f>
        <v>UNIFORM BOOTS/PCT#3</v>
      </c>
      <c r="G1305" s="3">
        <v>227.31</v>
      </c>
      <c r="H1305" t="str">
        <f>"UNIFORM BOOTS/PCT#3"</f>
        <v>UNIFORM BOOTS/PCT#3</v>
      </c>
    </row>
    <row r="1306" spans="1:8" x14ac:dyDescent="0.25">
      <c r="A1306" t="s">
        <v>349</v>
      </c>
      <c r="B1306">
        <v>134197</v>
      </c>
      <c r="C1306" s="3">
        <v>761</v>
      </c>
      <c r="D1306" s="5">
        <v>44193</v>
      </c>
      <c r="E1306" t="str">
        <f>"IN505667"</f>
        <v>IN505667</v>
      </c>
      <c r="F1306" t="str">
        <f>"SOLARWINDS"</f>
        <v>SOLARWINDS</v>
      </c>
      <c r="G1306" s="3">
        <v>761</v>
      </c>
      <c r="H1306" t="str">
        <f>"SolarWinds Server"</f>
        <v>SolarWinds Server</v>
      </c>
    </row>
    <row r="1307" spans="1:8" x14ac:dyDescent="0.25">
      <c r="A1307" t="s">
        <v>264</v>
      </c>
      <c r="B1307">
        <v>134198</v>
      </c>
      <c r="C1307" s="3">
        <v>3478.69</v>
      </c>
      <c r="D1307" s="5">
        <v>44193</v>
      </c>
      <c r="E1307" t="str">
        <f>"4650062325"</f>
        <v>4650062325</v>
      </c>
      <c r="F1307" t="str">
        <f>"CUST#0052157/PCT#3"</f>
        <v>CUST#0052157/PCT#3</v>
      </c>
      <c r="G1307" s="3">
        <v>1149.8</v>
      </c>
      <c r="H1307" t="str">
        <f>"CUST#0052157/PCT#3"</f>
        <v>CUST#0052157/PCT#3</v>
      </c>
    </row>
    <row r="1308" spans="1:8" x14ac:dyDescent="0.25">
      <c r="E1308" t="str">
        <f>"4650064441"</f>
        <v>4650064441</v>
      </c>
      <c r="F1308" t="str">
        <f>"CUST#0052157/PCT#4"</f>
        <v>CUST#0052157/PCT#4</v>
      </c>
      <c r="G1308" s="3">
        <v>2180.44</v>
      </c>
      <c r="H1308" t="str">
        <f>"CUST#0052157/PCT#4"</f>
        <v>CUST#0052157/PCT#4</v>
      </c>
    </row>
    <row r="1309" spans="1:8" x14ac:dyDescent="0.25">
      <c r="E1309" t="str">
        <f>"4650064715"</f>
        <v>4650064715</v>
      </c>
      <c r="F1309" t="str">
        <f>"CUST#0052157/PCT#3"</f>
        <v>CUST#0052157/PCT#3</v>
      </c>
      <c r="G1309" s="3">
        <v>148.44999999999999</v>
      </c>
      <c r="H1309" t="str">
        <f>"CUST#0052157/PCT#3"</f>
        <v>CUST#0052157/PCT#3</v>
      </c>
    </row>
    <row r="1310" spans="1:8" x14ac:dyDescent="0.25">
      <c r="A1310" t="s">
        <v>350</v>
      </c>
      <c r="B1310">
        <v>134199</v>
      </c>
      <c r="C1310" s="3">
        <v>52.99</v>
      </c>
      <c r="D1310" s="5">
        <v>44193</v>
      </c>
      <c r="E1310" t="str">
        <f>"9604456 120320"</f>
        <v>9604456 120320</v>
      </c>
      <c r="F1310" t="str">
        <f>"ACCT#46668439604456/JP2"</f>
        <v>ACCT#46668439604456/JP2</v>
      </c>
      <c r="G1310" s="3">
        <v>52.99</v>
      </c>
      <c r="H1310" t="str">
        <f>"ACCT#46668439604456/JP2"</f>
        <v>ACCT#46668439604456/JP2</v>
      </c>
    </row>
    <row r="1311" spans="1:8" x14ac:dyDescent="0.25">
      <c r="A1311" t="s">
        <v>351</v>
      </c>
      <c r="B1311">
        <v>134200</v>
      </c>
      <c r="C1311" s="3">
        <v>109.74</v>
      </c>
      <c r="D1311" s="5">
        <v>44193</v>
      </c>
      <c r="E1311" t="str">
        <f>"202012220888"</f>
        <v>202012220888</v>
      </c>
      <c r="F1311" t="str">
        <f>"INDIGENT HEALTH"</f>
        <v>INDIGENT HEALTH</v>
      </c>
      <c r="G1311" s="3">
        <v>109.74</v>
      </c>
      <c r="H1311" t="str">
        <f>"INDIGENT HEALTH"</f>
        <v>INDIGENT HEALTH</v>
      </c>
    </row>
    <row r="1312" spans="1:8" x14ac:dyDescent="0.25">
      <c r="A1312" t="s">
        <v>352</v>
      </c>
      <c r="B1312">
        <v>134201</v>
      </c>
      <c r="C1312" s="3">
        <v>11048.06</v>
      </c>
      <c r="D1312" s="5">
        <v>44193</v>
      </c>
      <c r="E1312" t="str">
        <f>"202012220892"</f>
        <v>202012220892</v>
      </c>
      <c r="F1312" t="str">
        <f>"INDIGENT HEALTH"</f>
        <v>INDIGENT HEALTH</v>
      </c>
      <c r="G1312" s="3">
        <v>11048.06</v>
      </c>
      <c r="H1312" t="str">
        <f>"INDIGENT HEALTH"</f>
        <v>INDIGENT HEALTH</v>
      </c>
    </row>
    <row r="1313" spans="1:8" x14ac:dyDescent="0.25">
      <c r="A1313" t="s">
        <v>353</v>
      </c>
      <c r="B1313">
        <v>134202</v>
      </c>
      <c r="C1313" s="3">
        <v>12908.32</v>
      </c>
      <c r="D1313" s="5">
        <v>44193</v>
      </c>
      <c r="E1313" t="str">
        <f>"202012220893"</f>
        <v>202012220893</v>
      </c>
      <c r="F1313" t="str">
        <f>"INDIGENT HEALTH"</f>
        <v>INDIGENT HEALTH</v>
      </c>
      <c r="G1313" s="3">
        <v>12908.32</v>
      </c>
      <c r="H1313" t="str">
        <f>"INDIGENT HEALTH"</f>
        <v>INDIGENT HEALTH</v>
      </c>
    </row>
    <row r="1314" spans="1:8" x14ac:dyDescent="0.25">
      <c r="E1314" t="str">
        <f>""</f>
        <v/>
      </c>
      <c r="F1314" t="str">
        <f>""</f>
        <v/>
      </c>
      <c r="H1314" t="str">
        <f>"INDIGENT HEALTH"</f>
        <v>INDIGENT HEALTH</v>
      </c>
    </row>
    <row r="1315" spans="1:8" x14ac:dyDescent="0.25">
      <c r="A1315" t="s">
        <v>12</v>
      </c>
      <c r="B1315">
        <v>134203</v>
      </c>
      <c r="C1315" s="3">
        <v>1764.15</v>
      </c>
      <c r="D1315" s="5">
        <v>44193</v>
      </c>
      <c r="E1315" t="str">
        <f>"8060512415"</f>
        <v>8060512415</v>
      </c>
      <c r="F1315" t="str">
        <f>"Summary"</f>
        <v>Summary</v>
      </c>
      <c r="G1315" s="3">
        <v>1764.15</v>
      </c>
      <c r="H1315" t="str">
        <f>"3463502345"</f>
        <v>3463502345</v>
      </c>
    </row>
    <row r="1316" spans="1:8" x14ac:dyDescent="0.25">
      <c r="E1316" t="str">
        <f>""</f>
        <v/>
      </c>
      <c r="F1316" t="str">
        <f>""</f>
        <v/>
      </c>
      <c r="H1316" t="str">
        <f>"3463402342"</f>
        <v>3463402342</v>
      </c>
    </row>
    <row r="1317" spans="1:8" x14ac:dyDescent="0.25">
      <c r="E1317" t="str">
        <f>""</f>
        <v/>
      </c>
      <c r="F1317" t="str">
        <f>""</f>
        <v/>
      </c>
      <c r="H1317" t="str">
        <f>"3463502353"</f>
        <v>3463502353</v>
      </c>
    </row>
    <row r="1318" spans="1:8" x14ac:dyDescent="0.25">
      <c r="E1318" t="str">
        <f>""</f>
        <v/>
      </c>
      <c r="F1318" t="str">
        <f>""</f>
        <v/>
      </c>
      <c r="H1318" t="str">
        <f>"3463502358"</f>
        <v>3463502358</v>
      </c>
    </row>
    <row r="1319" spans="1:8" x14ac:dyDescent="0.25">
      <c r="E1319" t="str">
        <f>""</f>
        <v/>
      </c>
      <c r="F1319" t="str">
        <f>""</f>
        <v/>
      </c>
      <c r="H1319" t="str">
        <f>"3463502364"</f>
        <v>3463502364</v>
      </c>
    </row>
    <row r="1320" spans="1:8" x14ac:dyDescent="0.25">
      <c r="E1320" t="str">
        <f>""</f>
        <v/>
      </c>
      <c r="F1320" t="str">
        <f>""</f>
        <v/>
      </c>
      <c r="H1320" t="str">
        <f>"3463502365"</f>
        <v>3463502365</v>
      </c>
    </row>
    <row r="1321" spans="1:8" x14ac:dyDescent="0.25">
      <c r="E1321" t="str">
        <f>""</f>
        <v/>
      </c>
      <c r="F1321" t="str">
        <f>""</f>
        <v/>
      </c>
      <c r="H1321" t="str">
        <f>"3463502356"</f>
        <v>3463502356</v>
      </c>
    </row>
    <row r="1322" spans="1:8" x14ac:dyDescent="0.25">
      <c r="E1322" t="str">
        <f>""</f>
        <v/>
      </c>
      <c r="F1322" t="str">
        <f>""</f>
        <v/>
      </c>
      <c r="H1322" t="str">
        <f>"3463502357"</f>
        <v>3463502357</v>
      </c>
    </row>
    <row r="1323" spans="1:8" x14ac:dyDescent="0.25">
      <c r="E1323" t="str">
        <f>""</f>
        <v/>
      </c>
      <c r="F1323" t="str">
        <f>""</f>
        <v/>
      </c>
      <c r="H1323" t="str">
        <f>"3463502363"</f>
        <v>3463502363</v>
      </c>
    </row>
    <row r="1324" spans="1:8" x14ac:dyDescent="0.25">
      <c r="E1324" t="str">
        <f>""</f>
        <v/>
      </c>
      <c r="F1324" t="str">
        <f>""</f>
        <v/>
      </c>
      <c r="H1324" t="str">
        <f>"3463502355"</f>
        <v>3463502355</v>
      </c>
    </row>
    <row r="1325" spans="1:8" x14ac:dyDescent="0.25">
      <c r="E1325" t="str">
        <f>""</f>
        <v/>
      </c>
      <c r="F1325" t="str">
        <f>""</f>
        <v/>
      </c>
      <c r="H1325" t="str">
        <f>"3463502362"</f>
        <v>3463502362</v>
      </c>
    </row>
    <row r="1326" spans="1:8" x14ac:dyDescent="0.25">
      <c r="E1326" t="str">
        <f>""</f>
        <v/>
      </c>
      <c r="F1326" t="str">
        <f>""</f>
        <v/>
      </c>
      <c r="H1326" t="str">
        <f>"3463502343"</f>
        <v>3463502343</v>
      </c>
    </row>
    <row r="1327" spans="1:8" x14ac:dyDescent="0.25">
      <c r="E1327" t="str">
        <f>""</f>
        <v/>
      </c>
      <c r="F1327" t="str">
        <f>""</f>
        <v/>
      </c>
      <c r="H1327" t="str">
        <f>"3463502344"</f>
        <v>3463502344</v>
      </c>
    </row>
    <row r="1328" spans="1:8" x14ac:dyDescent="0.25">
      <c r="A1328" t="s">
        <v>354</v>
      </c>
      <c r="B1328">
        <v>134204</v>
      </c>
      <c r="C1328" s="3">
        <v>2313</v>
      </c>
      <c r="D1328" s="5">
        <v>44193</v>
      </c>
      <c r="E1328" t="str">
        <f>"202012220872"</f>
        <v>202012220872</v>
      </c>
      <c r="F1328" t="str">
        <f>"90-CM-V117-4/JO DAWN BOMAR"</f>
        <v>90-CM-V117-4/JO DAWN BOMAR</v>
      </c>
      <c r="G1328" s="3">
        <v>2313</v>
      </c>
      <c r="H1328" t="str">
        <f>"90-CM-V117-4/JO DAWN BOMAR"</f>
        <v>90-CM-V117-4/JO DAWN BOMAR</v>
      </c>
    </row>
    <row r="1329" spans="1:8" x14ac:dyDescent="0.25">
      <c r="A1329" t="s">
        <v>355</v>
      </c>
      <c r="B1329">
        <v>134205</v>
      </c>
      <c r="C1329" s="3">
        <v>511.46</v>
      </c>
      <c r="D1329" s="5">
        <v>44193</v>
      </c>
      <c r="E1329" t="str">
        <f>"202012170743"</f>
        <v>202012170743</v>
      </c>
      <c r="F1329" t="str">
        <f>"NOVEMBER 2020"</f>
        <v>NOVEMBER 2020</v>
      </c>
      <c r="G1329" s="3">
        <v>511.46</v>
      </c>
      <c r="H1329" t="str">
        <f>"NOVEMBER 2020"</f>
        <v>NOVEMBER 2020</v>
      </c>
    </row>
    <row r="1330" spans="1:8" x14ac:dyDescent="0.25">
      <c r="A1330" t="s">
        <v>356</v>
      </c>
      <c r="B1330">
        <v>134206</v>
      </c>
      <c r="C1330" s="3">
        <v>1500</v>
      </c>
      <c r="D1330" s="5">
        <v>44193</v>
      </c>
      <c r="E1330" t="str">
        <f>"1009397"</f>
        <v>1009397</v>
      </c>
      <c r="F1330" t="str">
        <f>"PROJ#20800-P7 2019/STONY PT WW"</f>
        <v>PROJ#20800-P7 2019/STONY PT WW</v>
      </c>
      <c r="G1330" s="3">
        <v>1500</v>
      </c>
      <c r="H1330" t="str">
        <f>"PROJ#20800-P7 2019/STONY PT WW"</f>
        <v>PROJ#20800-P7 2019/STONY PT WW</v>
      </c>
    </row>
    <row r="1331" spans="1:8" x14ac:dyDescent="0.25">
      <c r="A1331" t="s">
        <v>267</v>
      </c>
      <c r="B1331">
        <v>134207</v>
      </c>
      <c r="C1331" s="3">
        <v>8188.46</v>
      </c>
      <c r="D1331" s="5">
        <v>44193</v>
      </c>
      <c r="E1331" t="str">
        <f>"1040002-IN"</f>
        <v>1040002-IN</v>
      </c>
      <c r="F1331" t="str">
        <f>"ACCT#01-0112917/FUEL OIL/PCT#1"</f>
        <v>ACCT#01-0112917/FUEL OIL/PCT#1</v>
      </c>
      <c r="G1331" s="3">
        <v>4437.66</v>
      </c>
      <c r="H1331" t="str">
        <f>"ACCT#01-0112917/FUEL OIL/PCT#1"</f>
        <v>ACCT#01-0112917/FUEL OIL/PCT#1</v>
      </c>
    </row>
    <row r="1332" spans="1:8" x14ac:dyDescent="0.25">
      <c r="E1332" t="str">
        <f>"1042588-IN"</f>
        <v>1042588-IN</v>
      </c>
      <c r="F1332" t="str">
        <f>"ACCT#01-0112917/FUEL OIL/PCT#3"</f>
        <v>ACCT#01-0112917/FUEL OIL/PCT#3</v>
      </c>
      <c r="G1332" s="3">
        <v>3750.8</v>
      </c>
      <c r="H1332" t="str">
        <f>"ACCT#01-0112917/FUEL OIL/PCT#3"</f>
        <v>ACCT#01-0112917/FUEL OIL/PCT#3</v>
      </c>
    </row>
    <row r="1333" spans="1:8" x14ac:dyDescent="0.25">
      <c r="A1333" t="s">
        <v>357</v>
      </c>
      <c r="B1333">
        <v>134208</v>
      </c>
      <c r="C1333" s="3">
        <v>789.25</v>
      </c>
      <c r="D1333" s="5">
        <v>44193</v>
      </c>
      <c r="E1333" t="str">
        <f>"202012220894"</f>
        <v>202012220894</v>
      </c>
      <c r="F1333" t="str">
        <f>"INDIGENT HEALTH"</f>
        <v>INDIGENT HEALTH</v>
      </c>
      <c r="G1333" s="3">
        <v>789.25</v>
      </c>
      <c r="H1333" t="str">
        <f>"INDIGENT HEALTH"</f>
        <v>INDIGENT HEALTH</v>
      </c>
    </row>
    <row r="1334" spans="1:8" x14ac:dyDescent="0.25">
      <c r="A1334" t="s">
        <v>358</v>
      </c>
      <c r="B1334">
        <v>134209</v>
      </c>
      <c r="C1334" s="3">
        <v>844.15</v>
      </c>
      <c r="D1334" s="5">
        <v>44193</v>
      </c>
      <c r="E1334" t="str">
        <f>"202012220895"</f>
        <v>202012220895</v>
      </c>
      <c r="F1334" t="str">
        <f>"INDIGENT HEALTH"</f>
        <v>INDIGENT HEALTH</v>
      </c>
      <c r="G1334" s="3">
        <v>844.15</v>
      </c>
      <c r="H1334" t="str">
        <f>"INDIGENT HEALTH"</f>
        <v>INDIGENT HEALTH</v>
      </c>
    </row>
    <row r="1335" spans="1:8" x14ac:dyDescent="0.25">
      <c r="A1335" t="s">
        <v>359</v>
      </c>
      <c r="B1335">
        <v>134210</v>
      </c>
      <c r="C1335" s="3">
        <v>4761</v>
      </c>
      <c r="D1335" s="5">
        <v>44193</v>
      </c>
      <c r="E1335" t="str">
        <f>"6126"</f>
        <v>6126</v>
      </c>
      <c r="F1335" t="str">
        <f>"144019 BOND RNWL/LISA SMITH"</f>
        <v>144019 BOND RNWL/LISA SMITH</v>
      </c>
      <c r="G1335" s="3">
        <v>350</v>
      </c>
      <c r="H1335" t="str">
        <f>"144019 BOND RNWL/LISA SMITH"</f>
        <v>144019 BOND RNWL/LISA SMITH</v>
      </c>
    </row>
    <row r="1336" spans="1:8" x14ac:dyDescent="0.25">
      <c r="E1336" t="str">
        <f>"6127"</f>
        <v>6127</v>
      </c>
      <c r="F1336" t="str">
        <f>"144020/BOND RNWL CLARA BECKETT"</f>
        <v>144020/BOND RNWL CLARA BECKETT</v>
      </c>
      <c r="G1336" s="3">
        <v>50</v>
      </c>
      <c r="H1336" t="str">
        <f>"144020/BOND RNWL CLARA BECKETT"</f>
        <v>144020/BOND RNWL CLARA BECKETT</v>
      </c>
    </row>
    <row r="1337" spans="1:8" x14ac:dyDescent="0.25">
      <c r="E1337" t="str">
        <f>"6128"</f>
        <v>6128</v>
      </c>
      <c r="F1337" t="str">
        <f>"144021 BOND RNWL/A. MEDUNA"</f>
        <v>144021 BOND RNWL/A. MEDUNA</v>
      </c>
      <c r="G1337" s="3">
        <v>177.5</v>
      </c>
      <c r="H1337" t="str">
        <f>"144021 BOND RNWL/A. MEDUNA"</f>
        <v>144021 BOND RNWL/A. MEDUNA</v>
      </c>
    </row>
    <row r="1338" spans="1:8" x14ac:dyDescent="0.25">
      <c r="E1338" t="str">
        <f>"6129"</f>
        <v>6129</v>
      </c>
      <c r="F1338" t="str">
        <f>"144022 BOND RNWL-D.W. WOOD"</f>
        <v>144022 BOND RNWL-D.W. WOOD</v>
      </c>
      <c r="G1338" s="3">
        <v>177.5</v>
      </c>
      <c r="H1338" t="str">
        <f>"144022 BOND RNWL-D.W. WOOD"</f>
        <v>144022 BOND RNWL-D.W. WOOD</v>
      </c>
    </row>
    <row r="1339" spans="1:8" x14ac:dyDescent="0.25">
      <c r="E1339" t="str">
        <f>"6130"</f>
        <v>6130</v>
      </c>
      <c r="F1339" t="str">
        <f>"144024/BOND RNWL TIM SPARKMAN"</f>
        <v>144024/BOND RNWL TIM SPARKMAN</v>
      </c>
      <c r="G1339" s="3">
        <v>177.5</v>
      </c>
      <c r="H1339" t="str">
        <f>"144024-BOND RNWL TIM SPARKMAN"</f>
        <v>144024-BOND RNWL TIM SPARKMAN</v>
      </c>
    </row>
    <row r="1340" spans="1:8" x14ac:dyDescent="0.25">
      <c r="E1340" t="str">
        <f>"6132"</f>
        <v>6132</v>
      </c>
      <c r="F1340" t="str">
        <f>"144065B NEW SURETY/J DZIENOWSK"</f>
        <v>144065B NEW SURETY/J DZIENOWSK</v>
      </c>
      <c r="G1340" s="3">
        <v>177.5</v>
      </c>
      <c r="H1340" t="str">
        <f>"144065B BOND RNWL/FJ DZIENOWSK"</f>
        <v>144065B BOND RNWL/FJ DZIENOWSK</v>
      </c>
    </row>
    <row r="1341" spans="1:8" x14ac:dyDescent="0.25">
      <c r="E1341" t="str">
        <f>"6135"</f>
        <v>6135</v>
      </c>
      <c r="F1341" t="str">
        <f>"144265 NEW BOND/ELLEN OWENS"</f>
        <v>144265 NEW BOND/ELLEN OWENS</v>
      </c>
      <c r="G1341" s="3">
        <v>1350</v>
      </c>
      <c r="H1341" t="str">
        <f>"144265 NEW BOND/ELLEN OWENS"</f>
        <v>144265 NEW BOND/ELLEN OWENS</v>
      </c>
    </row>
    <row r="1342" spans="1:8" x14ac:dyDescent="0.25">
      <c r="E1342" t="str">
        <f>"6137"</f>
        <v>6137</v>
      </c>
      <c r="F1342" t="str">
        <f>"144268 NEW SURETY/ELLEN OWENS"</f>
        <v>144268 NEW SURETY/ELLEN OWENS</v>
      </c>
      <c r="G1342" s="3">
        <v>1775</v>
      </c>
      <c r="H1342" t="str">
        <f>"144268 BOND RNWL/ELLEN OWENS"</f>
        <v>144268 BOND RNWL/ELLEN OWENS</v>
      </c>
    </row>
    <row r="1343" spans="1:8" x14ac:dyDescent="0.25">
      <c r="E1343" t="str">
        <f>"6166"</f>
        <v>6166</v>
      </c>
      <c r="F1343" t="str">
        <f>"INV 6166"</f>
        <v>INV 6166</v>
      </c>
      <c r="G1343" s="3">
        <v>71</v>
      </c>
      <c r="H1343" t="str">
        <f>"INV 6166"</f>
        <v>INV 6166</v>
      </c>
    </row>
    <row r="1344" spans="1:8" x14ac:dyDescent="0.25">
      <c r="E1344" t="str">
        <f>"6169"</f>
        <v>6169</v>
      </c>
      <c r="F1344" t="str">
        <f>"145514 RNWL OF BOND COUNTY CLK"</f>
        <v>145514 RNWL OF BOND COUNTY CLK</v>
      </c>
      <c r="G1344" s="3">
        <v>455</v>
      </c>
      <c r="H1344" t="str">
        <f>"145514 RNWL OF BOND COUNTY CLK"</f>
        <v>145514 RNWL OF BOND COUNTY CLK</v>
      </c>
    </row>
    <row r="1345" spans="1:8" x14ac:dyDescent="0.25">
      <c r="A1345" t="s">
        <v>268</v>
      </c>
      <c r="B1345">
        <v>134211</v>
      </c>
      <c r="C1345" s="3">
        <v>540</v>
      </c>
      <c r="D1345" s="5">
        <v>44193</v>
      </c>
      <c r="E1345" t="str">
        <f>"191454  01/01/2021"</f>
        <v>191454  01/01/2021</v>
      </c>
      <c r="F1345" t="str">
        <f>"MEMBERSHIP DUES-L. DUNNE"</f>
        <v>MEMBERSHIP DUES-L. DUNNE</v>
      </c>
      <c r="G1345" s="3">
        <v>60</v>
      </c>
      <c r="H1345" t="str">
        <f>"MEMBERSHIP DUES-L. DUNNE"</f>
        <v>MEMBERSHIP DUES-L. DUNNE</v>
      </c>
    </row>
    <row r="1346" spans="1:8" x14ac:dyDescent="0.25">
      <c r="E1346" t="str">
        <f>"202785 01/01/2021"</f>
        <v>202785 01/01/2021</v>
      </c>
      <c r="F1346" t="str">
        <f>"JPCA MEMBERSHIP DUES-R. DAVIS"</f>
        <v>JPCA MEMBERSHIP DUES-R. DAVIS</v>
      </c>
      <c r="G1346" s="3">
        <v>60</v>
      </c>
      <c r="H1346" t="str">
        <f>"JPCA MEMBERSHIP DUES-R. DAVIS"</f>
        <v>JPCA MEMBERSHIP DUES-R. DAVIS</v>
      </c>
    </row>
    <row r="1347" spans="1:8" x14ac:dyDescent="0.25">
      <c r="E1347" t="str">
        <f>"20977  01/01/2021"</f>
        <v>20977  01/01/2021</v>
      </c>
      <c r="F1347" t="str">
        <f>"MEMBERSHIP DUES-K. HANNA"</f>
        <v>MEMBERSHIP DUES-K. HANNA</v>
      </c>
      <c r="G1347" s="3">
        <v>60</v>
      </c>
      <c r="H1347" t="str">
        <f>"MEMBERSHIP DUES-K. HANNA"</f>
        <v>MEMBERSHIP DUES-K. HANNA</v>
      </c>
    </row>
    <row r="1348" spans="1:8" x14ac:dyDescent="0.25">
      <c r="E1348" t="str">
        <f>"231974  01/01/2021"</f>
        <v>231974  01/01/2021</v>
      </c>
      <c r="F1348" t="str">
        <f>"ANNUAL MEMBERSHIP-S. LOUCKS"</f>
        <v>ANNUAL MEMBERSHIP-S. LOUCKS</v>
      </c>
      <c r="G1348" s="3">
        <v>125</v>
      </c>
      <c r="H1348" t="str">
        <f>"ANNUAL MEMBERSHIP-S. LOUCKS"</f>
        <v>ANNUAL MEMBERSHIP-S. LOUCKS</v>
      </c>
    </row>
    <row r="1349" spans="1:8" x14ac:dyDescent="0.25">
      <c r="E1349" t="str">
        <f>"240641  01/01/2021"</f>
        <v>240641  01/01/2021</v>
      </c>
      <c r="F1349" t="str">
        <f>"MEMBERSHIP DUES-DENA TINER"</f>
        <v>MEMBERSHIP DUES-DENA TINER</v>
      </c>
      <c r="G1349" s="3">
        <v>35</v>
      </c>
      <c r="H1349" t="str">
        <f>"MEMBERSHIP DUES-DENA TINER"</f>
        <v>MEMBERSHIP DUES-DENA TINER</v>
      </c>
    </row>
    <row r="1350" spans="1:8" x14ac:dyDescent="0.25">
      <c r="E1350" t="str">
        <f>"65664"</f>
        <v>65664</v>
      </c>
      <c r="F1350" t="str">
        <f>"ACCT#236245/MBRSHP DUES P.PAPE"</f>
        <v>ACCT#236245/MBRSHP DUES P.PAPE</v>
      </c>
      <c r="G1350" s="3">
        <v>200</v>
      </c>
      <c r="H1350" t="str">
        <f>"ACCT#236245/MBRSHP DUES P.PAPE"</f>
        <v>ACCT#236245/MBRSHP DUES P.PAPE</v>
      </c>
    </row>
    <row r="1351" spans="1:8" x14ac:dyDescent="0.25">
      <c r="A1351" t="s">
        <v>360</v>
      </c>
      <c r="B1351">
        <v>134212</v>
      </c>
      <c r="C1351" s="3">
        <v>50</v>
      </c>
      <c r="D1351" s="5">
        <v>44193</v>
      </c>
      <c r="E1351" t="str">
        <f>"202012210827"</f>
        <v>202012210827</v>
      </c>
      <c r="F1351" t="str">
        <f>"MEMBERSHIP RENEWAL"</f>
        <v>MEMBERSHIP RENEWAL</v>
      </c>
      <c r="G1351" s="3">
        <v>50</v>
      </c>
      <c r="H1351" t="str">
        <f>"MEMBERSHIP RENEWAL"</f>
        <v>MEMBERSHIP RENEWAL</v>
      </c>
    </row>
    <row r="1352" spans="1:8" x14ac:dyDescent="0.25">
      <c r="A1352" t="s">
        <v>361</v>
      </c>
      <c r="B1352">
        <v>134213</v>
      </c>
      <c r="C1352" s="3">
        <v>3560</v>
      </c>
      <c r="D1352" s="5">
        <v>44193</v>
      </c>
      <c r="E1352" t="str">
        <f>"202012170738"</f>
        <v>202012170738</v>
      </c>
      <c r="F1352" t="str">
        <f>"ACCT#0620010"</f>
        <v>ACCT#0620010</v>
      </c>
      <c r="G1352" s="3">
        <v>3560</v>
      </c>
      <c r="H1352" t="str">
        <f>"ACCT#0620010"</f>
        <v>ACCT#0620010</v>
      </c>
    </row>
    <row r="1353" spans="1:8" x14ac:dyDescent="0.25">
      <c r="A1353" t="s">
        <v>269</v>
      </c>
      <c r="B1353">
        <v>134214</v>
      </c>
      <c r="C1353" s="3">
        <v>778.32</v>
      </c>
      <c r="D1353" s="5">
        <v>44193</v>
      </c>
      <c r="E1353" t="str">
        <f>"225834"</f>
        <v>225834</v>
      </c>
      <c r="F1353" t="str">
        <f>"CUST#1574/HARD STONE/PCT#4"</f>
        <v>CUST#1574/HARD STONE/PCT#4</v>
      </c>
      <c r="G1353" s="3">
        <v>778.32</v>
      </c>
      <c r="H1353" t="str">
        <f>"CUST#1574/HARD STONE/PCT#4"</f>
        <v>CUST#1574/HARD STONE/PCT#4</v>
      </c>
    </row>
    <row r="1354" spans="1:8" x14ac:dyDescent="0.25">
      <c r="A1354" t="s">
        <v>270</v>
      </c>
      <c r="B1354">
        <v>134215</v>
      </c>
      <c r="C1354" s="3">
        <v>14</v>
      </c>
      <c r="D1354" s="5">
        <v>44193</v>
      </c>
      <c r="E1354" t="str">
        <f>"CRS-202011-205243"</f>
        <v>CRS-202011-205243</v>
      </c>
      <c r="F1354" t="str">
        <f>"SECURE SITE CCH NAME SEARCH"</f>
        <v>SECURE SITE CCH NAME SEARCH</v>
      </c>
      <c r="G1354" s="3">
        <v>14</v>
      </c>
      <c r="H1354" t="str">
        <f>"SECURE SITE CCH NAME SEARCH"</f>
        <v>SECURE SITE CCH NAME SEARCH</v>
      </c>
    </row>
    <row r="1355" spans="1:8" x14ac:dyDescent="0.25">
      <c r="A1355" t="s">
        <v>362</v>
      </c>
      <c r="B1355">
        <v>134216</v>
      </c>
      <c r="C1355" s="3">
        <v>525</v>
      </c>
      <c r="D1355" s="5">
        <v>44193</v>
      </c>
      <c r="E1355" t="str">
        <f>"12478"</f>
        <v>12478</v>
      </c>
      <c r="F1355" t="str">
        <f>"MEMBERSHIP RENEWAL-ADENA LEWIS"</f>
        <v>MEMBERSHIP RENEWAL-ADENA LEWIS</v>
      </c>
      <c r="G1355" s="3">
        <v>525</v>
      </c>
      <c r="H1355" t="str">
        <f>"MEMBERSHIP RENEWAL-ADENA LEWIS"</f>
        <v>MEMBERSHIP RENEWAL-ADENA LEWIS</v>
      </c>
    </row>
    <row r="1356" spans="1:8" x14ac:dyDescent="0.25">
      <c r="A1356" t="s">
        <v>363</v>
      </c>
      <c r="B1356">
        <v>134217</v>
      </c>
      <c r="C1356" s="3">
        <v>858.43</v>
      </c>
      <c r="D1356" s="5">
        <v>44193</v>
      </c>
      <c r="E1356" t="str">
        <f>"843414277"</f>
        <v>843414277</v>
      </c>
      <c r="F1356" t="str">
        <f>"ACCT#1000310962/WEST INFO CHRG"</f>
        <v>ACCT#1000310962/WEST INFO CHRG</v>
      </c>
      <c r="G1356" s="3">
        <v>858.43</v>
      </c>
      <c r="H1356" t="str">
        <f>"ACCT#1000310962/WEST INFO CHRG"</f>
        <v>ACCT#1000310962/WEST INFO CHRG</v>
      </c>
    </row>
    <row r="1357" spans="1:8" x14ac:dyDescent="0.25">
      <c r="A1357" t="s">
        <v>275</v>
      </c>
      <c r="B1357">
        <v>134218</v>
      </c>
      <c r="C1357" s="3">
        <v>3067.92</v>
      </c>
      <c r="D1357" s="5">
        <v>44193</v>
      </c>
      <c r="E1357" t="str">
        <f>"0003669120820"</f>
        <v>0003669120820</v>
      </c>
      <c r="F1357" t="str">
        <f>"ACCT#8260163000003669"</f>
        <v>ACCT#8260163000003669</v>
      </c>
      <c r="G1357" s="3">
        <v>3067.92</v>
      </c>
      <c r="H1357" t="str">
        <f>"ACCT#8260163000003669"</f>
        <v>ACCT#8260163000003669</v>
      </c>
    </row>
    <row r="1358" spans="1:8" x14ac:dyDescent="0.25">
      <c r="E1358" t="str">
        <f>""</f>
        <v/>
      </c>
      <c r="F1358" t="str">
        <f>""</f>
        <v/>
      </c>
      <c r="H1358" t="str">
        <f>"ACCT#8260163000003669"</f>
        <v>ACCT#8260163000003669</v>
      </c>
    </row>
    <row r="1359" spans="1:8" x14ac:dyDescent="0.25">
      <c r="A1359" t="s">
        <v>275</v>
      </c>
      <c r="B1359">
        <v>134219</v>
      </c>
      <c r="C1359" s="3">
        <v>525</v>
      </c>
      <c r="D1359" s="5">
        <v>44193</v>
      </c>
      <c r="E1359" t="str">
        <f>"0058760041920"</f>
        <v>0058760041920</v>
      </c>
      <c r="F1359" t="str">
        <f>"ACCT#8260 16 117 0058760"</f>
        <v>ACCT#8260 16 117 0058760</v>
      </c>
      <c r="G1359" s="3">
        <v>525</v>
      </c>
      <c r="H1359" t="str">
        <f>"ACCT#8260 16 117 0058760"</f>
        <v>ACCT#8260 16 117 0058760</v>
      </c>
    </row>
    <row r="1360" spans="1:8" x14ac:dyDescent="0.25">
      <c r="A1360" t="s">
        <v>364</v>
      </c>
      <c r="B1360">
        <v>134220</v>
      </c>
      <c r="C1360" s="3">
        <v>451.06</v>
      </c>
      <c r="D1360" s="5">
        <v>44193</v>
      </c>
      <c r="E1360" t="str">
        <f>"031087"</f>
        <v>031087</v>
      </c>
      <c r="F1360" t="str">
        <f>"CUST#0001725/PARTS"</f>
        <v>CUST#0001725/PARTS</v>
      </c>
      <c r="G1360" s="3">
        <v>70.569999999999993</v>
      </c>
      <c r="H1360" t="str">
        <f>"CUST#0001725/PARTS"</f>
        <v>CUST#0001725/PARTS</v>
      </c>
    </row>
    <row r="1361" spans="1:8" x14ac:dyDescent="0.25">
      <c r="E1361" t="str">
        <f>"031088"</f>
        <v>031088</v>
      </c>
      <c r="F1361" t="str">
        <f>"CUST#0001725/PARTS"</f>
        <v>CUST#0001725/PARTS</v>
      </c>
      <c r="G1361" s="3">
        <v>160.49</v>
      </c>
      <c r="H1361" t="str">
        <f>"CUST#0001725/PARTS"</f>
        <v>CUST#0001725/PARTS</v>
      </c>
    </row>
    <row r="1362" spans="1:8" x14ac:dyDescent="0.25">
      <c r="E1362" t="str">
        <f>"031783"</f>
        <v>031783</v>
      </c>
      <c r="F1362" t="str">
        <f>"CUST#0001725/LYSOL"</f>
        <v>CUST#0001725/LYSOL</v>
      </c>
      <c r="G1362" s="3">
        <v>220</v>
      </c>
      <c r="H1362" t="str">
        <f>"CUST#0001725/LYSOL"</f>
        <v>CUST#0001725/LYSOL</v>
      </c>
    </row>
    <row r="1363" spans="1:8" x14ac:dyDescent="0.25">
      <c r="A1363" t="s">
        <v>277</v>
      </c>
      <c r="B1363">
        <v>134221</v>
      </c>
      <c r="C1363" s="3">
        <v>2900</v>
      </c>
      <c r="D1363" s="5">
        <v>44193</v>
      </c>
      <c r="E1363" t="str">
        <f>"3300004113"</f>
        <v>3300004113</v>
      </c>
      <c r="F1363" t="str">
        <f>"CUST#100010/INV#3300004113"</f>
        <v>CUST#100010/INV#3300004113</v>
      </c>
      <c r="G1363" s="3">
        <v>2900</v>
      </c>
      <c r="H1363" t="str">
        <f>"CUST#100010/INV#3300004113"</f>
        <v>CUST#100010/INV#3300004113</v>
      </c>
    </row>
    <row r="1364" spans="1:8" x14ac:dyDescent="0.25">
      <c r="A1364" t="s">
        <v>365</v>
      </c>
      <c r="B1364">
        <v>134222</v>
      </c>
      <c r="C1364" s="3">
        <v>33.270000000000003</v>
      </c>
      <c r="D1364" s="5">
        <v>44193</v>
      </c>
      <c r="E1364" t="str">
        <f>"202012220890"</f>
        <v>202012220890</v>
      </c>
      <c r="F1364" t="str">
        <f>"INDIGENT HEALTH"</f>
        <v>INDIGENT HEALTH</v>
      </c>
      <c r="G1364" s="3">
        <v>33.270000000000003</v>
      </c>
      <c r="H1364" t="str">
        <f>"INDIGENT HEALTH"</f>
        <v>INDIGENT HEALTH</v>
      </c>
    </row>
    <row r="1365" spans="1:8" x14ac:dyDescent="0.25">
      <c r="A1365" t="s">
        <v>279</v>
      </c>
      <c r="B1365">
        <v>134223</v>
      </c>
      <c r="C1365" s="3">
        <v>70566.34</v>
      </c>
      <c r="D1365" s="5">
        <v>44193</v>
      </c>
      <c r="E1365" t="str">
        <f>"020-26886"</f>
        <v>020-26886</v>
      </c>
      <c r="F1365" t="str">
        <f>"CUST#42161 ORD#101135"</f>
        <v>CUST#42161 ORD#101135</v>
      </c>
      <c r="G1365" s="3">
        <v>38180.29</v>
      </c>
      <c r="H1365" t="str">
        <f>"CUST#42161 ORD#101135"</f>
        <v>CUST#42161 ORD#101135</v>
      </c>
    </row>
    <row r="1366" spans="1:8" x14ac:dyDescent="0.25">
      <c r="E1366" t="str">
        <f>""</f>
        <v/>
      </c>
      <c r="F1366" t="str">
        <f>""</f>
        <v/>
      </c>
      <c r="H1366" t="str">
        <f>"CUST#42161 ORD#101135"</f>
        <v>CUST#42161 ORD#101135</v>
      </c>
    </row>
    <row r="1367" spans="1:8" x14ac:dyDescent="0.25">
      <c r="E1367" t="str">
        <f>"020-26887"</f>
        <v>020-26887</v>
      </c>
      <c r="F1367" t="str">
        <f>"CUST#42161/ORD#101136"</f>
        <v>CUST#42161/ORD#101136</v>
      </c>
      <c r="G1367" s="3">
        <v>590.89</v>
      </c>
      <c r="H1367" t="str">
        <f>"CUST#42161/ORD#101136"</f>
        <v>CUST#42161/ORD#101136</v>
      </c>
    </row>
    <row r="1368" spans="1:8" x14ac:dyDescent="0.25">
      <c r="E1368" t="str">
        <f>"070-5173"</f>
        <v>070-5173</v>
      </c>
      <c r="F1368" t="str">
        <f>"CUST#46405/ORD#4064"</f>
        <v>CUST#46405/ORD#4064</v>
      </c>
      <c r="G1368" s="3">
        <v>28763.279999999999</v>
      </c>
      <c r="H1368" t="str">
        <f>"CUST#46405"</f>
        <v>CUST#46405</v>
      </c>
    </row>
    <row r="1369" spans="1:8" x14ac:dyDescent="0.25">
      <c r="E1369" t="str">
        <f>""</f>
        <v/>
      </c>
      <c r="F1369" t="str">
        <f>""</f>
        <v/>
      </c>
      <c r="H1369" t="str">
        <f>"CUST#46405"</f>
        <v>CUST#46405</v>
      </c>
    </row>
    <row r="1370" spans="1:8" x14ac:dyDescent="0.25">
      <c r="E1370" t="str">
        <f>"130-17594"</f>
        <v>130-17594</v>
      </c>
      <c r="F1370" t="str">
        <f>"CUST#42161-11814/ORD#12552"</f>
        <v>CUST#42161-11814/ORD#12552</v>
      </c>
      <c r="G1370" s="3">
        <v>3031.88</v>
      </c>
      <c r="H1370" t="str">
        <f>"CUST#42161-11814/ORD#12552"</f>
        <v>CUST#42161-11814/ORD#12552</v>
      </c>
    </row>
    <row r="1371" spans="1:8" x14ac:dyDescent="0.25">
      <c r="A1371" t="s">
        <v>366</v>
      </c>
      <c r="B1371">
        <v>134224</v>
      </c>
      <c r="C1371" s="3">
        <v>512</v>
      </c>
      <c r="D1371" s="5">
        <v>44193</v>
      </c>
      <c r="E1371" t="str">
        <f>"20048"</f>
        <v>20048</v>
      </c>
      <c r="F1371" t="str">
        <f>"TXBAS3834/ANIMAL SHELTER"</f>
        <v>TXBAS3834/ANIMAL SHELTER</v>
      </c>
      <c r="G1371" s="3">
        <v>512</v>
      </c>
      <c r="H1371" t="str">
        <f>"TXBAS3834/ANIMAL SHELTER"</f>
        <v>TXBAS3834/ANIMAL SHELTER</v>
      </c>
    </row>
    <row r="1372" spans="1:8" x14ac:dyDescent="0.25">
      <c r="A1372" t="s">
        <v>367</v>
      </c>
      <c r="B1372">
        <v>134225</v>
      </c>
      <c r="C1372" s="3">
        <v>532.33000000000004</v>
      </c>
      <c r="D1372" s="5">
        <v>44193</v>
      </c>
      <c r="E1372" t="str">
        <f>"202012220897"</f>
        <v>202012220897</v>
      </c>
      <c r="F1372" t="str">
        <f>"INDIGENT HEALTH"</f>
        <v>INDIGENT HEALTH</v>
      </c>
      <c r="G1372" s="3">
        <v>532.33000000000004</v>
      </c>
      <c r="H1372" t="str">
        <f>"INDIGENT HEALTH"</f>
        <v>INDIGENT HEALTH</v>
      </c>
    </row>
    <row r="1373" spans="1:8" x14ac:dyDescent="0.25">
      <c r="E1373" t="str">
        <f>""</f>
        <v/>
      </c>
      <c r="F1373" t="str">
        <f>""</f>
        <v/>
      </c>
      <c r="H1373" t="str">
        <f>"INDIGENT HEALTH"</f>
        <v>INDIGENT HEALTH</v>
      </c>
    </row>
    <row r="1374" spans="1:8" x14ac:dyDescent="0.25">
      <c r="A1374" t="s">
        <v>368</v>
      </c>
      <c r="B1374">
        <v>134226</v>
      </c>
      <c r="C1374" s="3">
        <v>144.72</v>
      </c>
      <c r="D1374" s="5">
        <v>44193</v>
      </c>
      <c r="E1374" t="str">
        <f>"202012220898"</f>
        <v>202012220898</v>
      </c>
      <c r="F1374" t="str">
        <f>"INDIGENT HEALTH"</f>
        <v>INDIGENT HEALTH</v>
      </c>
      <c r="G1374" s="3">
        <v>144.72</v>
      </c>
      <c r="H1374" t="str">
        <f>"INDIGENT HEALTH"</f>
        <v>INDIGENT HEALTH</v>
      </c>
    </row>
    <row r="1375" spans="1:8" x14ac:dyDescent="0.25">
      <c r="A1375" t="s">
        <v>369</v>
      </c>
      <c r="B1375">
        <v>134227</v>
      </c>
      <c r="C1375" s="3">
        <v>620</v>
      </c>
      <c r="D1375" s="5">
        <v>44193</v>
      </c>
      <c r="E1375" t="str">
        <f>"202012210849"</f>
        <v>202012210849</v>
      </c>
      <c r="F1375" t="str">
        <f>"MH-00746 / MENTAL HEALTH FEES"</f>
        <v>MH-00746 / MENTAL HEALTH FEES</v>
      </c>
      <c r="G1375" s="3">
        <v>620</v>
      </c>
      <c r="H1375" t="str">
        <f>"MH-00746 / MENTAL HEALTH FEES"</f>
        <v>MH-00746 / MENTAL HEALTH FEES</v>
      </c>
    </row>
    <row r="1376" spans="1:8" x14ac:dyDescent="0.25">
      <c r="A1376" t="s">
        <v>288</v>
      </c>
      <c r="B1376">
        <v>134228</v>
      </c>
      <c r="C1376" s="3">
        <v>276.61</v>
      </c>
      <c r="D1376" s="5">
        <v>44193</v>
      </c>
      <c r="E1376" t="str">
        <f>"6758383"</f>
        <v>6758383</v>
      </c>
      <c r="F1376" t="str">
        <f>"CUST#339435/ORD#84226/00/PCT#3"</f>
        <v>CUST#339435/ORD#84226/00/PCT#3</v>
      </c>
      <c r="G1376" s="3">
        <v>276.61</v>
      </c>
      <c r="H1376" t="str">
        <f>"CUST#339435/ORD#84226/00/PCT#3"</f>
        <v>CUST#339435/ORD#84226/00/PCT#3</v>
      </c>
    </row>
    <row r="1377" spans="1:8" x14ac:dyDescent="0.25">
      <c r="A1377" t="s">
        <v>370</v>
      </c>
      <c r="B1377">
        <v>134229</v>
      </c>
      <c r="C1377" s="3">
        <v>347.95</v>
      </c>
      <c r="D1377" s="5">
        <v>44193</v>
      </c>
      <c r="E1377" t="str">
        <f>"0013744"</f>
        <v>0013744</v>
      </c>
      <c r="F1377" t="str">
        <f>"TRANSLATOR SVCS"</f>
        <v>TRANSLATOR SVCS</v>
      </c>
      <c r="G1377" s="3">
        <v>347.95</v>
      </c>
      <c r="H1377" t="str">
        <f>"TRANSLATOR SVCS"</f>
        <v>TRANSLATOR SVCS</v>
      </c>
    </row>
    <row r="1378" spans="1:8" x14ac:dyDescent="0.25">
      <c r="A1378" t="s">
        <v>292</v>
      </c>
      <c r="B1378">
        <v>134230</v>
      </c>
      <c r="C1378" s="3">
        <v>1690.4</v>
      </c>
      <c r="D1378" s="5">
        <v>44193</v>
      </c>
      <c r="E1378" t="str">
        <f>"9012054718"</f>
        <v>9012054718</v>
      </c>
      <c r="F1378" t="str">
        <f>"CUST#1000113183/ANIMAL SHELTER"</f>
        <v>CUST#1000113183/ANIMAL SHELTER</v>
      </c>
      <c r="G1378" s="3">
        <v>333</v>
      </c>
      <c r="H1378" t="str">
        <f>"CUST#1000113183/ANIMAL SHELTER"</f>
        <v>CUST#1000113183/ANIMAL SHELTER</v>
      </c>
    </row>
    <row r="1379" spans="1:8" x14ac:dyDescent="0.25">
      <c r="E1379" t="str">
        <f>"9012067724"</f>
        <v>9012067724</v>
      </c>
      <c r="F1379" t="str">
        <f>"CUST#1000113183/ANIMAL SHELTER"</f>
        <v>CUST#1000113183/ANIMAL SHELTER</v>
      </c>
      <c r="G1379" s="3">
        <v>364</v>
      </c>
      <c r="H1379" t="str">
        <f>"CUST#1000113183/ANIMAL SHELTER"</f>
        <v>CUST#1000113183/ANIMAL SHELTER</v>
      </c>
    </row>
    <row r="1380" spans="1:8" x14ac:dyDescent="0.25">
      <c r="E1380" t="str">
        <f>"9012125913"</f>
        <v>9012125913</v>
      </c>
      <c r="F1380" t="str">
        <f>"CUST#1000113183/ANIMAL SHELTER"</f>
        <v>CUST#1000113183/ANIMAL SHELTER</v>
      </c>
      <c r="G1380" s="3">
        <v>507.2</v>
      </c>
      <c r="H1380" t="str">
        <f>"CUST#1000113183/ANIMAL SHELTER"</f>
        <v>CUST#1000113183/ANIMAL SHELTER</v>
      </c>
    </row>
    <row r="1381" spans="1:8" x14ac:dyDescent="0.25">
      <c r="E1381" t="str">
        <f>"9012142492"</f>
        <v>9012142492</v>
      </c>
      <c r="F1381" t="str">
        <f>"CUST#1000113183/ANIMAL SHELTER"</f>
        <v>CUST#1000113183/ANIMAL SHELTER</v>
      </c>
      <c r="G1381" s="3">
        <v>231.2</v>
      </c>
      <c r="H1381" t="str">
        <f>"CUST#1000113183/ANIMAL SHELTER"</f>
        <v>CUST#1000113183/ANIMAL SHELTER</v>
      </c>
    </row>
    <row r="1382" spans="1:8" x14ac:dyDescent="0.25">
      <c r="E1382" t="str">
        <f>"9012150418"</f>
        <v>9012150418</v>
      </c>
      <c r="F1382" t="str">
        <f>"CUST#1000113183/ANIMAL SHELTER"</f>
        <v>CUST#1000113183/ANIMAL SHELTER</v>
      </c>
      <c r="G1382" s="3">
        <v>255</v>
      </c>
      <c r="H1382" t="str">
        <f>"CUST#1000113183/ANIMAL SHELTER"</f>
        <v>CUST#1000113183/ANIMAL SHELTER</v>
      </c>
    </row>
    <row r="1383" spans="1:8" x14ac:dyDescent="0.25">
      <c r="A1383" t="s">
        <v>371</v>
      </c>
      <c r="B1383">
        <v>818</v>
      </c>
      <c r="C1383" s="3">
        <v>97074.72</v>
      </c>
      <c r="D1383" s="5">
        <v>44180</v>
      </c>
      <c r="E1383" t="str">
        <f>"202012150700"</f>
        <v>202012150700</v>
      </c>
      <c r="F1383" t="str">
        <f>"REFUNDING  SERIES 2020"</f>
        <v>REFUNDING  SERIES 2020</v>
      </c>
      <c r="G1383" s="3">
        <v>97074.72</v>
      </c>
      <c r="H1383" t="str">
        <f>"REFUNDING  SERIES 2020"</f>
        <v>REFUNDING  SERIES 2020</v>
      </c>
    </row>
    <row r="1384" spans="1:8" x14ac:dyDescent="0.25">
      <c r="A1384" t="s">
        <v>28</v>
      </c>
      <c r="B1384">
        <v>3679</v>
      </c>
      <c r="C1384" s="3">
        <v>778.82</v>
      </c>
      <c r="D1384" s="5">
        <v>44180</v>
      </c>
      <c r="E1384" t="str">
        <f>"5060710360-APTF"</f>
        <v>5060710360-APTF</v>
      </c>
      <c r="F1384" t="str">
        <f>"CUST#12847097/CONT#4896380"</f>
        <v>CUST#12847097/CONT#4896380</v>
      </c>
      <c r="G1384" s="3">
        <v>778.82</v>
      </c>
      <c r="H1384" t="str">
        <f>"CUST#12847097/CONT#4896380"</f>
        <v>CUST#12847097/CONT#4896380</v>
      </c>
    </row>
    <row r="1385" spans="1:8" x14ac:dyDescent="0.25">
      <c r="A1385" t="s">
        <v>111</v>
      </c>
      <c r="B1385">
        <v>3680</v>
      </c>
      <c r="C1385" s="3">
        <v>10000</v>
      </c>
      <c r="D1385" s="5">
        <v>44180</v>
      </c>
      <c r="E1385" t="str">
        <f>"202012070618"</f>
        <v>202012070618</v>
      </c>
      <c r="F1385" t="str">
        <f>"CARES NON-PROFIT GRANT"</f>
        <v>CARES NON-PROFIT GRANT</v>
      </c>
      <c r="G1385" s="3">
        <v>10000</v>
      </c>
      <c r="H1385" t="str">
        <f>"CARES NON-PROFIT GRANT"</f>
        <v>CARES NON-PROFIT GRANT</v>
      </c>
    </row>
    <row r="1386" spans="1:8" x14ac:dyDescent="0.25">
      <c r="A1386" t="s">
        <v>47</v>
      </c>
      <c r="B1386">
        <v>3681</v>
      </c>
      <c r="C1386" s="3">
        <v>144</v>
      </c>
      <c r="D1386" s="5">
        <v>44180</v>
      </c>
      <c r="E1386" t="str">
        <f>"5860"</f>
        <v>5860</v>
      </c>
      <c r="F1386" t="str">
        <f>"SCREEN PRINTING/JUVENILE BOOTC"</f>
        <v>SCREEN PRINTING/JUVENILE BOOTC</v>
      </c>
      <c r="G1386" s="3">
        <v>144</v>
      </c>
      <c r="H1386" t="str">
        <f>"SCREEN PRINTING/JUVENILE BOOTC"</f>
        <v>SCREEN PRINTING/JUVENILE BOOTC</v>
      </c>
    </row>
    <row r="1387" spans="1:8" x14ac:dyDescent="0.25">
      <c r="A1387" t="s">
        <v>372</v>
      </c>
      <c r="B1387">
        <v>3682</v>
      </c>
      <c r="C1387" s="3">
        <v>552600</v>
      </c>
      <c r="D1387" s="5">
        <v>44180</v>
      </c>
      <c r="E1387" t="str">
        <f>"202012030560"</f>
        <v>202012030560</v>
      </c>
      <c r="F1387" t="str">
        <f>"Test Kits"</f>
        <v>Test Kits</v>
      </c>
      <c r="G1387" s="3">
        <v>552600</v>
      </c>
      <c r="H1387" t="str">
        <f>"Test Kits"</f>
        <v>Test Kits</v>
      </c>
    </row>
    <row r="1388" spans="1:8" x14ac:dyDescent="0.25">
      <c r="A1388" t="s">
        <v>72</v>
      </c>
      <c r="B1388">
        <v>3683</v>
      </c>
      <c r="C1388" s="3">
        <v>1080</v>
      </c>
      <c r="D1388" s="5">
        <v>44180</v>
      </c>
      <c r="E1388" t="str">
        <f>"202012080663"</f>
        <v>202012080663</v>
      </c>
      <c r="F1388" t="str">
        <f>"PPE"</f>
        <v>PPE</v>
      </c>
      <c r="G1388" s="3">
        <v>1080</v>
      </c>
      <c r="H1388" t="str">
        <f>"Hand Sanitizer"</f>
        <v>Hand Sanitizer</v>
      </c>
    </row>
    <row r="1389" spans="1:8" x14ac:dyDescent="0.25">
      <c r="A1389" t="s">
        <v>373</v>
      </c>
      <c r="B1389">
        <v>3684</v>
      </c>
      <c r="C1389" s="3">
        <v>9991.26</v>
      </c>
      <c r="D1389" s="5">
        <v>44180</v>
      </c>
      <c r="E1389" t="str">
        <f>"202012070614"</f>
        <v>202012070614</v>
      </c>
      <c r="F1389" t="str">
        <f>"CARES NON-PROFIT GRANT"</f>
        <v>CARES NON-PROFIT GRANT</v>
      </c>
      <c r="G1389" s="3">
        <v>9991.26</v>
      </c>
      <c r="H1389" t="str">
        <f>"CARES NON-PROFIT GRANT"</f>
        <v>CARES NON-PROFIT GRANT</v>
      </c>
    </row>
    <row r="1390" spans="1:8" x14ac:dyDescent="0.25">
      <c r="A1390" t="s">
        <v>95</v>
      </c>
      <c r="B1390">
        <v>3685</v>
      </c>
      <c r="C1390" s="3">
        <v>6849</v>
      </c>
      <c r="D1390" s="5">
        <v>44180</v>
      </c>
      <c r="E1390" t="str">
        <f>"86981120"</f>
        <v>86981120</v>
      </c>
      <c r="F1390" t="str">
        <f>"PPE"</f>
        <v>PPE</v>
      </c>
      <c r="G1390" s="3">
        <v>6849</v>
      </c>
      <c r="H1390" t="str">
        <f>"86981120"</f>
        <v>86981120</v>
      </c>
    </row>
    <row r="1391" spans="1:8" x14ac:dyDescent="0.25">
      <c r="E1391" t="str">
        <f>""</f>
        <v/>
      </c>
      <c r="F1391" t="str">
        <f>""</f>
        <v/>
      </c>
      <c r="H1391" t="str">
        <f>"C5600.DRY KIT-HL"</f>
        <v>C5600.DRY KIT-HL</v>
      </c>
    </row>
    <row r="1392" spans="1:8" x14ac:dyDescent="0.25">
      <c r="E1392" t="str">
        <f>""</f>
        <v/>
      </c>
      <c r="F1392" t="str">
        <f>""</f>
        <v/>
      </c>
      <c r="H1392" t="str">
        <f>"discount"</f>
        <v>discount</v>
      </c>
    </row>
    <row r="1393" spans="1:8" x14ac:dyDescent="0.25">
      <c r="A1393" t="s">
        <v>50</v>
      </c>
      <c r="B1393">
        <v>3758</v>
      </c>
      <c r="C1393" s="3">
        <v>2314.91</v>
      </c>
      <c r="D1393" s="5">
        <v>44194</v>
      </c>
      <c r="E1393" t="str">
        <f>"1VW4-MXJQ-7GF7"</f>
        <v>1VW4-MXJQ-7GF7</v>
      </c>
      <c r="F1393" t="str">
        <f>"AMAZON CAPITAL SERVICES INC"</f>
        <v>AMAZON CAPITAL SERVICES INC</v>
      </c>
      <c r="G1393" s="3">
        <v>2240.58</v>
      </c>
      <c r="H1393" t="str">
        <f>"Hand Soap"</f>
        <v>Hand Soap</v>
      </c>
    </row>
    <row r="1394" spans="1:8" x14ac:dyDescent="0.25">
      <c r="E1394" t="str">
        <f>""</f>
        <v/>
      </c>
      <c r="F1394" t="str">
        <f>""</f>
        <v/>
      </c>
      <c r="H1394" t="str">
        <f>"Respirator"</f>
        <v>Respirator</v>
      </c>
    </row>
    <row r="1395" spans="1:8" x14ac:dyDescent="0.25">
      <c r="E1395" t="str">
        <f>""</f>
        <v/>
      </c>
      <c r="F1395" t="str">
        <f>""</f>
        <v/>
      </c>
      <c r="H1395" t="str">
        <f>"Gas Vapor Cartridge"</f>
        <v>Gas Vapor Cartridge</v>
      </c>
    </row>
    <row r="1396" spans="1:8" x14ac:dyDescent="0.25">
      <c r="E1396" t="str">
        <f>""</f>
        <v/>
      </c>
      <c r="F1396" t="str">
        <f>""</f>
        <v/>
      </c>
      <c r="H1396" t="str">
        <f>"Respirator"</f>
        <v>Respirator</v>
      </c>
    </row>
    <row r="1397" spans="1:8" x14ac:dyDescent="0.25">
      <c r="E1397" t="str">
        <f>""</f>
        <v/>
      </c>
      <c r="F1397" t="str">
        <f>""</f>
        <v/>
      </c>
      <c r="H1397" t="str">
        <f>"Hand Sanitizer"</f>
        <v>Hand Sanitizer</v>
      </c>
    </row>
    <row r="1398" spans="1:8" x14ac:dyDescent="0.25">
      <c r="E1398" t="str">
        <f>""</f>
        <v/>
      </c>
      <c r="F1398" t="str">
        <f>""</f>
        <v/>
      </c>
      <c r="H1398" t="str">
        <f>"Disinfectant Spray"</f>
        <v>Disinfectant Spray</v>
      </c>
    </row>
    <row r="1399" spans="1:8" x14ac:dyDescent="0.25">
      <c r="E1399" t="str">
        <f>"1Y4T-4WT3-4XVM"</f>
        <v>1Y4T-4WT3-4XVM</v>
      </c>
      <c r="F1399" t="str">
        <f>"Amazon Order"</f>
        <v>Amazon Order</v>
      </c>
      <c r="G1399" s="3">
        <v>74.33</v>
      </c>
      <c r="H1399" t="str">
        <f>"Diploma Covers"</f>
        <v>Diploma Covers</v>
      </c>
    </row>
    <row r="1400" spans="1:8" x14ac:dyDescent="0.25">
      <c r="E1400" t="str">
        <f>""</f>
        <v/>
      </c>
      <c r="F1400" t="str">
        <f>""</f>
        <v/>
      </c>
      <c r="H1400" t="str">
        <f>"Notorial Seals"</f>
        <v>Notorial Seals</v>
      </c>
    </row>
    <row r="1401" spans="1:8" x14ac:dyDescent="0.25">
      <c r="A1401" t="s">
        <v>374</v>
      </c>
      <c r="B1401">
        <v>3759</v>
      </c>
      <c r="C1401" s="3">
        <v>26362.83</v>
      </c>
      <c r="D1401" s="5">
        <v>44194</v>
      </c>
      <c r="E1401" t="str">
        <f>"4782"</f>
        <v>4782</v>
      </c>
      <c r="F1401" t="str">
        <f>"RFB 19BCP11A - Tower"</f>
        <v>RFB 19BCP11A - Tower</v>
      </c>
      <c r="G1401" s="3">
        <v>14215.69</v>
      </c>
      <c r="H1401" t="str">
        <f>"Geotechincal Invest"</f>
        <v>Geotechincal Invest</v>
      </c>
    </row>
    <row r="1402" spans="1:8" x14ac:dyDescent="0.25">
      <c r="E1402" t="str">
        <f>""</f>
        <v/>
      </c>
      <c r="F1402" t="str">
        <f>""</f>
        <v/>
      </c>
      <c r="H1402" t="str">
        <f>"Archeology Study"</f>
        <v>Archeology Study</v>
      </c>
    </row>
    <row r="1403" spans="1:8" x14ac:dyDescent="0.25">
      <c r="E1403" t="str">
        <f>""</f>
        <v/>
      </c>
      <c r="F1403" t="str">
        <f>""</f>
        <v/>
      </c>
      <c r="H1403" t="str">
        <f>"FAA Permit Filing"</f>
        <v>FAA Permit Filing</v>
      </c>
    </row>
    <row r="1404" spans="1:8" x14ac:dyDescent="0.25">
      <c r="E1404" t="str">
        <f>""</f>
        <v/>
      </c>
      <c r="F1404" t="str">
        <f>""</f>
        <v/>
      </c>
      <c r="H1404" t="str">
        <f>"Construction Drawing"</f>
        <v>Construction Drawing</v>
      </c>
    </row>
    <row r="1405" spans="1:8" x14ac:dyDescent="0.25">
      <c r="E1405" t="str">
        <f>"4783"</f>
        <v>4783</v>
      </c>
      <c r="F1405" t="str">
        <f>"RFB 19BCP11A"</f>
        <v>RFB 19BCP11A</v>
      </c>
      <c r="G1405" s="3">
        <v>12147.14</v>
      </c>
      <c r="H1405" t="str">
        <f>"NEPA-APS Survey"</f>
        <v>NEPA-APS Survey</v>
      </c>
    </row>
    <row r="1406" spans="1:8" x14ac:dyDescent="0.25">
      <c r="E1406" t="str">
        <f>""</f>
        <v/>
      </c>
      <c r="F1406" t="str">
        <f>""</f>
        <v/>
      </c>
      <c r="H1406" t="str">
        <f>"Payment Bond"</f>
        <v>Payment Bond</v>
      </c>
    </row>
    <row r="1407" spans="1:8" x14ac:dyDescent="0.25">
      <c r="E1407" t="str">
        <f>""</f>
        <v/>
      </c>
      <c r="F1407" t="str">
        <f>""</f>
        <v/>
      </c>
      <c r="H1407" t="str">
        <f>"Site Survey"</f>
        <v>Site Survey</v>
      </c>
    </row>
    <row r="1408" spans="1:8" x14ac:dyDescent="0.25">
      <c r="A1408" t="s">
        <v>87</v>
      </c>
      <c r="B1408">
        <v>3760</v>
      </c>
      <c r="C1408" s="3">
        <v>1155.79</v>
      </c>
      <c r="D1408" s="5">
        <v>44194</v>
      </c>
      <c r="E1408" t="str">
        <f>"10045629"</f>
        <v>10045629</v>
      </c>
      <c r="F1408" t="str">
        <f>"PROJ#042268.001"</f>
        <v>PROJ#042268.001</v>
      </c>
      <c r="G1408" s="3">
        <v>1155.79</v>
      </c>
      <c r="H1408" t="str">
        <f>"PROJ#042268.001"</f>
        <v>PROJ#042268.001</v>
      </c>
    </row>
    <row r="1409" spans="1:8" x14ac:dyDescent="0.25">
      <c r="A1409" t="s">
        <v>89</v>
      </c>
      <c r="B1409">
        <v>3761</v>
      </c>
      <c r="C1409" s="3">
        <v>3770.48</v>
      </c>
      <c r="D1409" s="5">
        <v>44194</v>
      </c>
      <c r="E1409" t="str">
        <f>"1970878"</f>
        <v>1970878</v>
      </c>
      <c r="F1409" t="str">
        <f>"PPE"</f>
        <v>PPE</v>
      </c>
      <c r="G1409" s="3">
        <v>2349</v>
      </c>
      <c r="H1409" t="str">
        <f>"Sanitizer Refills"</f>
        <v>Sanitizer Refills</v>
      </c>
    </row>
    <row r="1410" spans="1:8" x14ac:dyDescent="0.25">
      <c r="E1410" t="str">
        <f>"1970963"</f>
        <v>1970963</v>
      </c>
      <c r="F1410" t="str">
        <f>"PPE"</f>
        <v>PPE</v>
      </c>
      <c r="G1410" s="3">
        <v>1421.48</v>
      </c>
      <c r="H1410" t="str">
        <f>"Disposable Masks"</f>
        <v>Disposable Masks</v>
      </c>
    </row>
    <row r="1411" spans="1:8" x14ac:dyDescent="0.25">
      <c r="E1411" t="str">
        <f>""</f>
        <v/>
      </c>
      <c r="F1411" t="str">
        <f>""</f>
        <v/>
      </c>
      <c r="H1411" t="str">
        <f>"Nitrile Gloves- L"</f>
        <v>Nitrile Gloves- L</v>
      </c>
    </row>
    <row r="1412" spans="1:8" x14ac:dyDescent="0.25">
      <c r="E1412" t="str">
        <f>""</f>
        <v/>
      </c>
      <c r="F1412" t="str">
        <f>""</f>
        <v/>
      </c>
      <c r="H1412" t="str">
        <f>"Nitrile Gloves- XL"</f>
        <v>Nitrile Gloves- XL</v>
      </c>
    </row>
    <row r="1413" spans="1:8" x14ac:dyDescent="0.25">
      <c r="A1413" t="s">
        <v>126</v>
      </c>
      <c r="B1413">
        <v>3762</v>
      </c>
      <c r="C1413" s="3">
        <v>1134.5999999999999</v>
      </c>
      <c r="D1413" s="5">
        <v>44194</v>
      </c>
      <c r="E1413" t="str">
        <f>"202012180812"</f>
        <v>202012180812</v>
      </c>
      <c r="F1413" t="str">
        <f>"CDW GOVERNMENT INC"</f>
        <v>CDW GOVERNMENT INC</v>
      </c>
      <c r="G1413" s="3">
        <v>1134.5999999999999</v>
      </c>
      <c r="H1413" t="str">
        <f>"HP Officejet 250"</f>
        <v>HP Officejet 250</v>
      </c>
    </row>
    <row r="1414" spans="1:8" x14ac:dyDescent="0.25">
      <c r="A1414" t="s">
        <v>375</v>
      </c>
      <c r="B1414">
        <v>134055</v>
      </c>
      <c r="C1414" s="3">
        <v>7052.98</v>
      </c>
      <c r="D1414" s="5">
        <v>44179</v>
      </c>
      <c r="E1414" t="str">
        <f>"202012070609"</f>
        <v>202012070609</v>
      </c>
      <c r="F1414" t="str">
        <f>"CARES NON-PROFIT GRANT"</f>
        <v>CARES NON-PROFIT GRANT</v>
      </c>
      <c r="G1414" s="3">
        <v>7052.98</v>
      </c>
      <c r="H1414" t="str">
        <f>"CARES NON-PROFIT GRANT"</f>
        <v>CARES NON-PROFIT GRANT</v>
      </c>
    </row>
    <row r="1415" spans="1:8" x14ac:dyDescent="0.25">
      <c r="A1415" t="s">
        <v>158</v>
      </c>
      <c r="B1415">
        <v>134056</v>
      </c>
      <c r="C1415" s="3">
        <v>37.99</v>
      </c>
      <c r="D1415" s="5">
        <v>44179</v>
      </c>
      <c r="E1415" t="str">
        <f>"202012030506"</f>
        <v>202012030506</v>
      </c>
      <c r="F1415" t="str">
        <f>"ACCT#015397/JUVENILE BOOT CAMP"</f>
        <v>ACCT#015397/JUVENILE BOOT CAMP</v>
      </c>
      <c r="G1415" s="3">
        <v>37.99</v>
      </c>
      <c r="H1415" t="str">
        <f>"ACCT#015397/JUVENILE BOOT CAMP"</f>
        <v>ACCT#015397/JUVENILE BOOT CAMP</v>
      </c>
    </row>
    <row r="1416" spans="1:8" x14ac:dyDescent="0.25">
      <c r="A1416" t="s">
        <v>376</v>
      </c>
      <c r="B1416">
        <v>134057</v>
      </c>
      <c r="C1416" s="3">
        <v>6860.81</v>
      </c>
      <c r="D1416" s="5">
        <v>44179</v>
      </c>
      <c r="E1416" t="str">
        <f>"202012070610"</f>
        <v>202012070610</v>
      </c>
      <c r="F1416" t="str">
        <f>"CARES NON-PROFIT GRANT"</f>
        <v>CARES NON-PROFIT GRANT</v>
      </c>
      <c r="G1416" s="3">
        <v>6860.81</v>
      </c>
      <c r="H1416" t="str">
        <f>"CARES NON-PROFIT GRANT"</f>
        <v>CARES NON-PROFIT GRANT</v>
      </c>
    </row>
    <row r="1417" spans="1:8" x14ac:dyDescent="0.25">
      <c r="A1417" t="s">
        <v>163</v>
      </c>
      <c r="B1417">
        <v>134058</v>
      </c>
      <c r="C1417" s="3">
        <v>790.6</v>
      </c>
      <c r="D1417" s="5">
        <v>44179</v>
      </c>
      <c r="E1417" t="str">
        <f>"287290524359X11272"</f>
        <v>287290524359X11272</v>
      </c>
      <c r="F1417" t="str">
        <f>"ACCT#287290524359/FAN#58143538"</f>
        <v>ACCT#287290524359/FAN#58143538</v>
      </c>
      <c r="G1417" s="3">
        <v>790.6</v>
      </c>
      <c r="H1417" t="str">
        <f>"ACCT#287290524359/FAN#58143538"</f>
        <v>ACCT#287290524359/FAN#58143538</v>
      </c>
    </row>
    <row r="1418" spans="1:8" x14ac:dyDescent="0.25">
      <c r="A1418" t="s">
        <v>377</v>
      </c>
      <c r="B1418">
        <v>134059</v>
      </c>
      <c r="C1418" s="3">
        <v>10000</v>
      </c>
      <c r="D1418" s="5">
        <v>44179</v>
      </c>
      <c r="E1418" t="str">
        <f>"202012070612"</f>
        <v>202012070612</v>
      </c>
      <c r="F1418" t="str">
        <f>"CARES NON-PROFIT GRANT"</f>
        <v>CARES NON-PROFIT GRANT</v>
      </c>
      <c r="G1418" s="3">
        <v>10000</v>
      </c>
      <c r="H1418" t="str">
        <f>"CARES NON-PROFIT GRANT"</f>
        <v>CARES NON-PROFIT GRANT</v>
      </c>
    </row>
    <row r="1419" spans="1:8" x14ac:dyDescent="0.25">
      <c r="A1419" t="s">
        <v>378</v>
      </c>
      <c r="B1419">
        <v>134060</v>
      </c>
      <c r="C1419" s="3">
        <v>1289.42</v>
      </c>
      <c r="D1419" s="5">
        <v>44179</v>
      </c>
      <c r="E1419" t="str">
        <f>"202012070611"</f>
        <v>202012070611</v>
      </c>
      <c r="F1419" t="str">
        <f>"CARES NON-PROFIT GRANT"</f>
        <v>CARES NON-PROFIT GRANT</v>
      </c>
      <c r="G1419" s="3">
        <v>1289.42</v>
      </c>
      <c r="H1419" t="str">
        <f>"CARES NON-PROFIT GRANT"</f>
        <v>CARES NON-PROFIT GRANT</v>
      </c>
    </row>
    <row r="1420" spans="1:8" x14ac:dyDescent="0.25">
      <c r="A1420" t="s">
        <v>379</v>
      </c>
      <c r="B1420">
        <v>134061</v>
      </c>
      <c r="C1420" s="3">
        <v>64486.09</v>
      </c>
      <c r="D1420" s="5">
        <v>44179</v>
      </c>
      <c r="E1420" t="str">
        <f>"202011300313"</f>
        <v>202011300313</v>
      </c>
      <c r="F1420" t="str">
        <f>"JUV SVCS 3RD QTR FY 2020"</f>
        <v>JUV SVCS 3RD QTR FY 2020</v>
      </c>
      <c r="G1420" s="3">
        <v>34755.129999999997</v>
      </c>
      <c r="H1420" t="str">
        <f>"JUV SVCS 3RD QTR FY 2020"</f>
        <v>JUV SVCS 3RD QTR FY 2020</v>
      </c>
    </row>
    <row r="1421" spans="1:8" x14ac:dyDescent="0.25">
      <c r="E1421" t="str">
        <f>"202011300314"</f>
        <v>202011300314</v>
      </c>
      <c r="F1421" t="str">
        <f>"JUV SVCS 4TH QTR FY 2020"</f>
        <v>JUV SVCS 4TH QTR FY 2020</v>
      </c>
      <c r="G1421" s="3">
        <v>29730.959999999999</v>
      </c>
      <c r="H1421" t="str">
        <f>"JUV SVCS 4TH QTR FY 2020"</f>
        <v>JUV SVCS 4TH QTR FY 2020</v>
      </c>
    </row>
    <row r="1422" spans="1:8" x14ac:dyDescent="0.25">
      <c r="A1422" t="s">
        <v>380</v>
      </c>
      <c r="B1422">
        <v>134062</v>
      </c>
      <c r="C1422" s="3">
        <v>8878.34</v>
      </c>
      <c r="D1422" s="5">
        <v>44179</v>
      </c>
      <c r="E1422" t="str">
        <f>"1102"</f>
        <v>1102</v>
      </c>
      <c r="F1422" t="str">
        <f>"JUV SVCS 3RD QTR FY 2020"</f>
        <v>JUV SVCS 3RD QTR FY 2020</v>
      </c>
      <c r="G1422" s="3">
        <v>8878.34</v>
      </c>
      <c r="H1422" t="str">
        <f>"JUV SVCS 3RD QTR FY 2020"</f>
        <v>JUV SVCS 3RD QTR FY 2020</v>
      </c>
    </row>
    <row r="1423" spans="1:8" x14ac:dyDescent="0.25">
      <c r="A1423" t="s">
        <v>381</v>
      </c>
      <c r="B1423">
        <v>134063</v>
      </c>
      <c r="C1423" s="3">
        <v>754697.87</v>
      </c>
      <c r="D1423" s="5">
        <v>44179</v>
      </c>
      <c r="E1423" t="str">
        <f>"202012080684"</f>
        <v>202012080684</v>
      </c>
      <c r="F1423" t="str">
        <f>"PROJ#20-19073/PAY APP #9"</f>
        <v>PROJ#20-19073/PAY APP #9</v>
      </c>
      <c r="G1423" s="3">
        <v>553786.68000000005</v>
      </c>
      <c r="H1423" t="str">
        <f>"CHASCO CONSTRUCTORS LTD LLP"</f>
        <v>CHASCO CONSTRUCTORS LTD LLP</v>
      </c>
    </row>
    <row r="1424" spans="1:8" x14ac:dyDescent="0.25">
      <c r="E1424" t="str">
        <f>"202012080685"</f>
        <v>202012080685</v>
      </c>
      <c r="F1424" t="str">
        <f>"PROJ#20-19073/RETAIN"</f>
        <v>PROJ#20-19073/RETAIN</v>
      </c>
      <c r="G1424" s="3">
        <v>200911.19</v>
      </c>
      <c r="H1424" t="str">
        <f>"PROJ#20-19073/RETAIN"</f>
        <v>PROJ#20-19073/RETAIN</v>
      </c>
    </row>
    <row r="1425" spans="1:8" x14ac:dyDescent="0.25">
      <c r="A1425" t="s">
        <v>382</v>
      </c>
      <c r="B1425">
        <v>134064</v>
      </c>
      <c r="C1425" s="3">
        <v>4075.4</v>
      </c>
      <c r="D1425" s="5">
        <v>44179</v>
      </c>
      <c r="E1425" t="str">
        <f>"202012070613"</f>
        <v>202012070613</v>
      </c>
      <c r="F1425" t="str">
        <f>"CARES NON-PROFIT GRANT"</f>
        <v>CARES NON-PROFIT GRANT</v>
      </c>
      <c r="G1425" s="3">
        <v>4075.4</v>
      </c>
      <c r="H1425" t="str">
        <f>"CARES NON-PROFIT GRANT"</f>
        <v>CARES NON-PROFIT GRANT</v>
      </c>
    </row>
    <row r="1426" spans="1:8" x14ac:dyDescent="0.25">
      <c r="A1426" t="s">
        <v>383</v>
      </c>
      <c r="B1426">
        <v>134065</v>
      </c>
      <c r="C1426" s="3">
        <v>30000</v>
      </c>
      <c r="D1426" s="5">
        <v>44179</v>
      </c>
      <c r="E1426" t="str">
        <f>"202012080660"</f>
        <v>202012080660</v>
      </c>
      <c r="F1426" t="str">
        <f>"Monthly Service"</f>
        <v>Monthly Service</v>
      </c>
      <c r="G1426" s="3">
        <v>30000</v>
      </c>
      <c r="H1426" t="str">
        <f>"10/16-11/16"</f>
        <v>10/16-11/16</v>
      </c>
    </row>
    <row r="1427" spans="1:8" x14ac:dyDescent="0.25">
      <c r="E1427" t="str">
        <f>""</f>
        <v/>
      </c>
      <c r="F1427" t="str">
        <f>""</f>
        <v/>
      </c>
      <c r="H1427" t="str">
        <f>"11/16-12/16"</f>
        <v>11/16-12/16</v>
      </c>
    </row>
    <row r="1428" spans="1:8" x14ac:dyDescent="0.25">
      <c r="A1428" t="s">
        <v>384</v>
      </c>
      <c r="B1428">
        <v>134066</v>
      </c>
      <c r="C1428" s="3">
        <v>259.95</v>
      </c>
      <c r="D1428" s="5">
        <v>44179</v>
      </c>
      <c r="E1428" t="str">
        <f>"79662"</f>
        <v>79662</v>
      </c>
      <c r="F1428" t="str">
        <f>"N95 RESPIRATOR MASK/JUVE BC"</f>
        <v>N95 RESPIRATOR MASK/JUVE BC</v>
      </c>
      <c r="G1428" s="3">
        <v>259.95</v>
      </c>
      <c r="H1428" t="str">
        <f>"N95 RESPIRATOR MASK/JUVE BC"</f>
        <v>N95 RESPIRATOR MASK/JUVE BC</v>
      </c>
    </row>
    <row r="1429" spans="1:8" x14ac:dyDescent="0.25">
      <c r="A1429" t="s">
        <v>385</v>
      </c>
      <c r="B1429">
        <v>134067</v>
      </c>
      <c r="C1429" s="3">
        <v>8745.9500000000007</v>
      </c>
      <c r="D1429" s="5">
        <v>44179</v>
      </c>
      <c r="E1429" t="str">
        <f>"202012070615"</f>
        <v>202012070615</v>
      </c>
      <c r="F1429" t="str">
        <f>"CARES NON-PROFIT GRANT"</f>
        <v>CARES NON-PROFIT GRANT</v>
      </c>
      <c r="G1429" s="3">
        <v>8745.9500000000007</v>
      </c>
      <c r="H1429" t="str">
        <f>"CARES NON-PROFIT GRANT"</f>
        <v>CARES NON-PROFIT GRANT</v>
      </c>
    </row>
    <row r="1430" spans="1:8" x14ac:dyDescent="0.25">
      <c r="A1430" t="s">
        <v>386</v>
      </c>
      <c r="B1430">
        <v>134068</v>
      </c>
      <c r="C1430" s="3">
        <v>7166.57</v>
      </c>
      <c r="D1430" s="5">
        <v>44179</v>
      </c>
      <c r="E1430" t="str">
        <f>"202012070616"</f>
        <v>202012070616</v>
      </c>
      <c r="F1430" t="str">
        <f>"CARES NON-PROFIT GRANT"</f>
        <v>CARES NON-PROFIT GRANT</v>
      </c>
      <c r="G1430" s="3">
        <v>7166.57</v>
      </c>
      <c r="H1430" t="str">
        <f>"CARES NON-PROFIT GRANT"</f>
        <v>CARES NON-PROFIT GRANT</v>
      </c>
    </row>
    <row r="1431" spans="1:8" x14ac:dyDescent="0.25">
      <c r="A1431" t="s">
        <v>387</v>
      </c>
      <c r="B1431">
        <v>134069</v>
      </c>
      <c r="C1431" s="3">
        <v>10171.24</v>
      </c>
      <c r="D1431" s="5">
        <v>44179</v>
      </c>
      <c r="E1431" t="str">
        <f>"202012030552"</f>
        <v>202012030552</v>
      </c>
      <c r="F1431" t="str">
        <f>"FLINK COMPANY"</f>
        <v>FLINK COMPANY</v>
      </c>
      <c r="G1431" s="3">
        <v>10171.24</v>
      </c>
      <c r="H1431" t="str">
        <f>"Cross Conveyor"</f>
        <v>Cross Conveyor</v>
      </c>
    </row>
    <row r="1432" spans="1:8" x14ac:dyDescent="0.25">
      <c r="E1432" t="str">
        <f>""</f>
        <v/>
      </c>
      <c r="F1432" t="str">
        <f>""</f>
        <v/>
      </c>
      <c r="H1432" t="str">
        <f>"Freight"</f>
        <v>Freight</v>
      </c>
    </row>
    <row r="1433" spans="1:8" x14ac:dyDescent="0.25">
      <c r="A1433" t="s">
        <v>388</v>
      </c>
      <c r="B1433">
        <v>134070</v>
      </c>
      <c r="C1433" s="3">
        <v>1134.77</v>
      </c>
      <c r="D1433" s="5">
        <v>44179</v>
      </c>
      <c r="E1433" t="str">
        <f>"202012070617"</f>
        <v>202012070617</v>
      </c>
      <c r="F1433" t="str">
        <f>"CARES NON-PROFIT GRANT"</f>
        <v>CARES NON-PROFIT GRANT</v>
      </c>
      <c r="G1433" s="3">
        <v>1134.77</v>
      </c>
      <c r="H1433" t="str">
        <f>"CARES NON-PROFIT GRANT"</f>
        <v>CARES NON-PROFIT GRANT</v>
      </c>
    </row>
    <row r="1434" spans="1:8" x14ac:dyDescent="0.25">
      <c r="A1434" t="s">
        <v>389</v>
      </c>
      <c r="B1434">
        <v>134071</v>
      </c>
      <c r="C1434" s="3">
        <v>35357.49</v>
      </c>
      <c r="D1434" s="5">
        <v>44179</v>
      </c>
      <c r="E1434" t="str">
        <f>"202012030553"</f>
        <v>202012030553</v>
      </c>
      <c r="F1434" t="str">
        <f>"Rapid Antigen Test Kits"</f>
        <v>Rapid Antigen Test Kits</v>
      </c>
      <c r="G1434" s="3">
        <v>35357.49</v>
      </c>
      <c r="H1434" t="str">
        <f>"Rapid Antigen Test Kits"</f>
        <v>Rapid Antigen Test Kits</v>
      </c>
    </row>
    <row r="1435" spans="1:8" x14ac:dyDescent="0.25">
      <c r="E1435" t="str">
        <f>""</f>
        <v/>
      </c>
      <c r="F1435" t="str">
        <f>""</f>
        <v/>
      </c>
      <c r="H1435" t="str">
        <f>"Fuel Surcharge"</f>
        <v>Fuel Surcharge</v>
      </c>
    </row>
    <row r="1436" spans="1:8" x14ac:dyDescent="0.25">
      <c r="A1436" t="s">
        <v>390</v>
      </c>
      <c r="B1436">
        <v>134072</v>
      </c>
      <c r="C1436" s="3">
        <v>1592.01</v>
      </c>
      <c r="D1436" s="5">
        <v>44179</v>
      </c>
      <c r="E1436" t="str">
        <f>"202012070619"</f>
        <v>202012070619</v>
      </c>
      <c r="F1436" t="str">
        <f>"CARES NON-PROFIT GRANT"</f>
        <v>CARES NON-PROFIT GRANT</v>
      </c>
      <c r="G1436" s="3">
        <v>1592.01</v>
      </c>
      <c r="H1436" t="str">
        <f>"CARES NON-PROFIT GRANT"</f>
        <v>CARES NON-PROFIT GRANT</v>
      </c>
    </row>
    <row r="1437" spans="1:8" x14ac:dyDescent="0.25">
      <c r="A1437" t="s">
        <v>391</v>
      </c>
      <c r="B1437">
        <v>134073</v>
      </c>
      <c r="C1437" s="3">
        <v>7820.29</v>
      </c>
      <c r="D1437" s="5">
        <v>44179</v>
      </c>
      <c r="E1437" t="str">
        <f>"202012070620"</f>
        <v>202012070620</v>
      </c>
      <c r="F1437" t="str">
        <f>"CARES NON-PROFIT GRANT"</f>
        <v>CARES NON-PROFIT GRANT</v>
      </c>
      <c r="G1437" s="3">
        <v>7820.29</v>
      </c>
      <c r="H1437" t="str">
        <f>"CARES NON-PROFIT GRANT"</f>
        <v>CARES NON-PROFIT GRANT</v>
      </c>
    </row>
    <row r="1438" spans="1:8" x14ac:dyDescent="0.25">
      <c r="A1438" t="s">
        <v>392</v>
      </c>
      <c r="B1438">
        <v>134074</v>
      </c>
      <c r="C1438" s="3">
        <v>1598.42</v>
      </c>
      <c r="D1438" s="5">
        <v>44179</v>
      </c>
      <c r="E1438" t="str">
        <f>"202012070621"</f>
        <v>202012070621</v>
      </c>
      <c r="F1438" t="str">
        <f>"CARES NON-PROFIT GRANT"</f>
        <v>CARES NON-PROFIT GRANT</v>
      </c>
      <c r="G1438" s="3">
        <v>1598.42</v>
      </c>
      <c r="H1438" t="str">
        <f>"CARES NON-PROFIT GRANT"</f>
        <v>CARES NON-PROFIT GRANT</v>
      </c>
    </row>
    <row r="1439" spans="1:8" x14ac:dyDescent="0.25">
      <c r="A1439" t="s">
        <v>393</v>
      </c>
      <c r="B1439">
        <v>134075</v>
      </c>
      <c r="C1439" s="3">
        <v>15715</v>
      </c>
      <c r="D1439" s="5">
        <v>44179</v>
      </c>
      <c r="E1439" t="str">
        <f>"1120055"</f>
        <v>1120055</v>
      </c>
      <c r="F1439" t="str">
        <f>"PROJ#008027/SVCS 10/31-11/27"</f>
        <v>PROJ#008027/SVCS 10/31-11/27</v>
      </c>
      <c r="G1439" s="3">
        <v>15715</v>
      </c>
      <c r="H1439" t="str">
        <f>"PROJ#008027/SVCS 10/31-11/27"</f>
        <v>PROJ#008027/SVCS 10/31-11/27</v>
      </c>
    </row>
    <row r="1440" spans="1:8" x14ac:dyDescent="0.25">
      <c r="A1440" t="s">
        <v>394</v>
      </c>
      <c r="B1440">
        <v>134077</v>
      </c>
      <c r="C1440" s="3">
        <v>6419.78</v>
      </c>
      <c r="D1440" s="5">
        <v>44179</v>
      </c>
      <c r="E1440" t="str">
        <f>"202012070622"</f>
        <v>202012070622</v>
      </c>
      <c r="F1440" t="str">
        <f>"CARES NON-PROFIT GRANT"</f>
        <v>CARES NON-PROFIT GRANT</v>
      </c>
      <c r="G1440" s="3">
        <v>6419.78</v>
      </c>
      <c r="H1440" t="str">
        <f>"CARES NON-PROFIT GRANT"</f>
        <v>CARES NON-PROFIT GRANT</v>
      </c>
    </row>
    <row r="1441" spans="1:8" x14ac:dyDescent="0.25">
      <c r="A1441" t="s">
        <v>395</v>
      </c>
      <c r="B1441">
        <v>134079</v>
      </c>
      <c r="C1441" s="3">
        <v>62000</v>
      </c>
      <c r="D1441" s="5">
        <v>44179</v>
      </c>
      <c r="E1441" t="str">
        <f>"BFSERCTS-02"</f>
        <v>BFSERCTS-02</v>
      </c>
      <c r="F1441" t="str">
        <f>"COVID TESTING - OCTOBER"</f>
        <v>COVID TESTING - OCTOBER</v>
      </c>
      <c r="G1441" s="3">
        <v>22000</v>
      </c>
      <c r="H1441" t="str">
        <f>"COVID TESTING - OCTOBER"</f>
        <v>COVID TESTING - OCTOBER</v>
      </c>
    </row>
    <row r="1442" spans="1:8" x14ac:dyDescent="0.25">
      <c r="E1442" t="str">
        <f>"BFSERCTS-03"</f>
        <v>BFSERCTS-03</v>
      </c>
      <c r="F1442" t="str">
        <f>"COVID TESTING - NOVEMBER"</f>
        <v>COVID TESTING - NOVEMBER</v>
      </c>
      <c r="G1442" s="3">
        <v>20000</v>
      </c>
      <c r="H1442" t="str">
        <f>"COVID TESTING - NOVEMBER"</f>
        <v>COVID TESTING - NOVEMBER</v>
      </c>
    </row>
    <row r="1443" spans="1:8" x14ac:dyDescent="0.25">
      <c r="E1443" t="str">
        <f>"BFSERCTS-04"</f>
        <v>BFSERCTS-04</v>
      </c>
      <c r="F1443" t="str">
        <f>"COVID TESTING - DECEMBER"</f>
        <v>COVID TESTING - DECEMBER</v>
      </c>
      <c r="G1443" s="3">
        <v>20000</v>
      </c>
      <c r="H1443" t="str">
        <f>"COVID TESTING - DECEMBER"</f>
        <v>COVID TESTING - DECEMBER</v>
      </c>
    </row>
    <row r="1444" spans="1:8" x14ac:dyDescent="0.25">
      <c r="A1444" t="s">
        <v>12</v>
      </c>
      <c r="B1444">
        <v>134080</v>
      </c>
      <c r="C1444" s="3">
        <v>438.65</v>
      </c>
      <c r="D1444" s="5">
        <v>44179</v>
      </c>
      <c r="E1444" t="str">
        <f>"3461065576"</f>
        <v>3461065576</v>
      </c>
      <c r="F1444" t="str">
        <f>"Statement"</f>
        <v>Statement</v>
      </c>
      <c r="G1444" s="3">
        <v>58.23</v>
      </c>
      <c r="H1444" t="str">
        <f>"3461065576"</f>
        <v>3461065576</v>
      </c>
    </row>
    <row r="1445" spans="1:8" x14ac:dyDescent="0.25">
      <c r="E1445" t="str">
        <f>"3462091050"</f>
        <v>3462091050</v>
      </c>
      <c r="F1445" t="str">
        <f>"Summary"</f>
        <v>Summary</v>
      </c>
      <c r="G1445" s="3">
        <v>380.42</v>
      </c>
      <c r="H1445" t="str">
        <f>"3462091050"</f>
        <v>3462091050</v>
      </c>
    </row>
    <row r="1446" spans="1:8" x14ac:dyDescent="0.25">
      <c r="A1446" t="s">
        <v>396</v>
      </c>
      <c r="B1446">
        <v>134081</v>
      </c>
      <c r="C1446" s="3">
        <v>10000</v>
      </c>
      <c r="D1446" s="5">
        <v>44179</v>
      </c>
      <c r="E1446" t="str">
        <f>"202012070624"</f>
        <v>202012070624</v>
      </c>
      <c r="F1446" t="str">
        <f>"CARES NON-PROFIT GRANT"</f>
        <v>CARES NON-PROFIT GRANT</v>
      </c>
      <c r="G1446" s="3">
        <v>10000</v>
      </c>
      <c r="H1446" t="str">
        <f>"CARES NON-PROFIT GRANT"</f>
        <v>CARES NON-PROFIT GRANT</v>
      </c>
    </row>
    <row r="1447" spans="1:8" x14ac:dyDescent="0.25">
      <c r="A1447" t="s">
        <v>397</v>
      </c>
      <c r="B1447">
        <v>134082</v>
      </c>
      <c r="C1447" s="3">
        <v>5260.12</v>
      </c>
      <c r="D1447" s="5">
        <v>44179</v>
      </c>
      <c r="E1447" t="str">
        <f>"202012070625"</f>
        <v>202012070625</v>
      </c>
      <c r="F1447" t="str">
        <f>"CARES NON-PROFIT GRANT"</f>
        <v>CARES NON-PROFIT GRANT</v>
      </c>
      <c r="G1447" s="3">
        <v>5260.12</v>
      </c>
      <c r="H1447" t="str">
        <f>"CARES NON-PROFIT GRANT"</f>
        <v>CARES NON-PROFIT GRANT</v>
      </c>
    </row>
    <row r="1448" spans="1:8" x14ac:dyDescent="0.25">
      <c r="A1448" t="s">
        <v>295</v>
      </c>
      <c r="B1448">
        <v>134087</v>
      </c>
      <c r="C1448" s="3">
        <v>207.53</v>
      </c>
      <c r="D1448" s="5">
        <v>44181</v>
      </c>
      <c r="E1448" t="str">
        <f>"202012160709"</f>
        <v>202012160709</v>
      </c>
      <c r="F1448" t="str">
        <f>"ACCT#5000057374 / 12032020"</f>
        <v>ACCT#5000057374 / 12032020</v>
      </c>
      <c r="G1448" s="3">
        <v>207.53</v>
      </c>
      <c r="H1448" t="str">
        <f>"ACCT#5000057374 / 12032020"</f>
        <v>ACCT#5000057374 / 12032020</v>
      </c>
    </row>
    <row r="1449" spans="1:8" x14ac:dyDescent="0.25">
      <c r="A1449" t="s">
        <v>268</v>
      </c>
      <c r="B1449">
        <v>134100</v>
      </c>
      <c r="C1449" s="3">
        <v>1297.42</v>
      </c>
      <c r="D1449" s="5">
        <v>44187</v>
      </c>
      <c r="E1449" t="str">
        <f>"NRCN-30604-WC1-245"</f>
        <v>NRCN-30604-WC1-245</v>
      </c>
      <c r="F1449" t="str">
        <f>"1ST QTR 2021 WRKRS COMP/#0110"</f>
        <v>1ST QTR 2021 WRKRS COMP/#0110</v>
      </c>
      <c r="G1449" s="3">
        <v>1297.42</v>
      </c>
      <c r="H1449" t="str">
        <f>"1ST QTR 2021 WRKRS COMP/#0110"</f>
        <v>1ST QTR 2021 WRKRS COMP/#0110</v>
      </c>
    </row>
    <row r="1450" spans="1:8" x14ac:dyDescent="0.25">
      <c r="A1450" t="s">
        <v>398</v>
      </c>
      <c r="B1450">
        <v>134231</v>
      </c>
      <c r="C1450" s="3">
        <v>15000</v>
      </c>
      <c r="D1450" s="5">
        <v>44193</v>
      </c>
      <c r="E1450" t="str">
        <f>"202012210858"</f>
        <v>202012210858</v>
      </c>
      <c r="F1450" t="str">
        <f>"Woods Shredder"</f>
        <v>Woods Shredder</v>
      </c>
      <c r="G1450" s="3">
        <v>15000</v>
      </c>
      <c r="H1450" t="str">
        <f>"Woods Shredder"</f>
        <v>Woods Shredder</v>
      </c>
    </row>
    <row r="1451" spans="1:8" x14ac:dyDescent="0.25">
      <c r="A1451" t="s">
        <v>188</v>
      </c>
      <c r="B1451">
        <v>134232</v>
      </c>
      <c r="C1451" s="3">
        <v>477.72</v>
      </c>
      <c r="D1451" s="5">
        <v>44193</v>
      </c>
      <c r="E1451" t="str">
        <f>"10444791712"</f>
        <v>10444791712</v>
      </c>
      <c r="F1451" t="str">
        <f>"DELL"</f>
        <v>DELL</v>
      </c>
      <c r="G1451" s="3">
        <v>217.49</v>
      </c>
      <c r="H1451" t="str">
        <f>"Dell Monitor"</f>
        <v>Dell Monitor</v>
      </c>
    </row>
    <row r="1452" spans="1:8" x14ac:dyDescent="0.25">
      <c r="E1452" t="str">
        <f>"2008196603386"</f>
        <v>2008196603386</v>
      </c>
      <c r="F1452" t="str">
        <f>"DELL"</f>
        <v>DELL</v>
      </c>
      <c r="G1452" s="3">
        <v>42.74</v>
      </c>
      <c r="H1452" t="str">
        <f>"Wireless Keyboard"</f>
        <v>Wireless Keyboard</v>
      </c>
    </row>
    <row r="1453" spans="1:8" x14ac:dyDescent="0.25">
      <c r="E1453" t="str">
        <f>"2008196721469"</f>
        <v>2008196721469</v>
      </c>
      <c r="F1453" t="str">
        <f>"DELL"</f>
        <v>DELL</v>
      </c>
      <c r="G1453" s="3">
        <v>217.49</v>
      </c>
      <c r="H1453" t="str">
        <f>"Dell Monitor"</f>
        <v>Dell Monitor</v>
      </c>
    </row>
    <row r="1454" spans="1:8" x14ac:dyDescent="0.25">
      <c r="A1454" t="s">
        <v>327</v>
      </c>
      <c r="B1454">
        <v>134233</v>
      </c>
      <c r="C1454" s="3">
        <v>7591.17</v>
      </c>
      <c r="D1454" s="5">
        <v>44193</v>
      </c>
      <c r="E1454" t="str">
        <f>"WI-29160-R9B4"</f>
        <v>WI-29160-R9B4</v>
      </c>
      <c r="F1454" t="str">
        <f>"Air Filtration"</f>
        <v>Air Filtration</v>
      </c>
      <c r="G1454" s="3">
        <v>7591.17</v>
      </c>
      <c r="H1454" t="str">
        <f>"GPS-FC-48-AC"</f>
        <v>GPS-FC-48-AC</v>
      </c>
    </row>
    <row r="1455" spans="1:8" x14ac:dyDescent="0.25">
      <c r="E1455" t="str">
        <f>""</f>
        <v/>
      </c>
      <c r="F1455" t="str">
        <f>""</f>
        <v/>
      </c>
      <c r="H1455" t="str">
        <f>"GPS-FC-24-AC"</f>
        <v>GPS-FC-24-AC</v>
      </c>
    </row>
    <row r="1456" spans="1:8" x14ac:dyDescent="0.25">
      <c r="E1456" t="str">
        <f>""</f>
        <v/>
      </c>
      <c r="F1456" t="str">
        <f>""</f>
        <v/>
      </c>
      <c r="H1456" t="str">
        <f>"GPS-imod 48 snap"</f>
        <v>GPS-imod 48 snap</v>
      </c>
    </row>
    <row r="1457" spans="1:8" x14ac:dyDescent="0.25">
      <c r="E1457" t="str">
        <f>""</f>
        <v/>
      </c>
      <c r="F1457" t="str">
        <f>""</f>
        <v/>
      </c>
      <c r="H1457" t="str">
        <f>"double option row"</f>
        <v>double option row</v>
      </c>
    </row>
    <row r="1458" spans="1:8" x14ac:dyDescent="0.25">
      <c r="A1458" t="s">
        <v>399</v>
      </c>
      <c r="B1458">
        <v>134234</v>
      </c>
      <c r="C1458" s="3">
        <v>2809.44</v>
      </c>
      <c r="D1458" s="5">
        <v>44193</v>
      </c>
      <c r="E1458" t="str">
        <f>"202012220910"</f>
        <v>202012220910</v>
      </c>
      <c r="F1458" t="str">
        <f>"ROW PURCHASE"</f>
        <v>ROW PURCHASE</v>
      </c>
      <c r="G1458" s="3">
        <v>2809.44</v>
      </c>
      <c r="H1458" t="str">
        <f>"ROW PURCHASE"</f>
        <v>ROW PURCHASE</v>
      </c>
    </row>
    <row r="1459" spans="1:8" x14ac:dyDescent="0.25">
      <c r="A1459" t="s">
        <v>400</v>
      </c>
      <c r="B1459">
        <v>134235</v>
      </c>
      <c r="C1459" s="3">
        <v>12986.47</v>
      </c>
      <c r="D1459" s="5">
        <v>44193</v>
      </c>
      <c r="E1459" t="str">
        <f>"23258"</f>
        <v>23258</v>
      </c>
      <c r="F1459" t="str">
        <f>"Voting Booths"</f>
        <v>Voting Booths</v>
      </c>
      <c r="G1459" s="3">
        <v>12986.47</v>
      </c>
      <c r="H1459" t="str">
        <f>"Inv. #23258"</f>
        <v>Inv. #23258</v>
      </c>
    </row>
    <row r="1460" spans="1:8" x14ac:dyDescent="0.25">
      <c r="A1460" t="s">
        <v>259</v>
      </c>
      <c r="B1460">
        <v>134236</v>
      </c>
      <c r="C1460" s="3">
        <v>35385</v>
      </c>
      <c r="D1460" s="5">
        <v>44193</v>
      </c>
      <c r="E1460" t="str">
        <f>"GB00635839"</f>
        <v>GB00635839</v>
      </c>
      <c r="F1460" t="str">
        <f>"Webex"</f>
        <v>Webex</v>
      </c>
      <c r="G1460" s="3">
        <v>35385</v>
      </c>
      <c r="H1460" t="str">
        <f>"CS-KITPRO-K9"</f>
        <v>CS-KITPRO-K9</v>
      </c>
    </row>
    <row r="1461" spans="1:8" x14ac:dyDescent="0.25">
      <c r="E1461" t="str">
        <f>""</f>
        <v/>
      </c>
      <c r="F1461" t="str">
        <f>""</f>
        <v/>
      </c>
      <c r="H1461" t="str">
        <f>"CON-SSSNT-CSKITPO9"</f>
        <v>CON-SSSNT-CSKITPO9</v>
      </c>
    </row>
    <row r="1462" spans="1:8" x14ac:dyDescent="0.25">
      <c r="E1462" t="str">
        <f>""</f>
        <v/>
      </c>
      <c r="F1462" t="str">
        <f>""</f>
        <v/>
      </c>
      <c r="H1462" t="str">
        <f>"CAB-ETHRSHLD-10M"</f>
        <v>CAB-ETHRSHLD-10M</v>
      </c>
    </row>
    <row r="1463" spans="1:8" x14ac:dyDescent="0.25">
      <c r="E1463" t="str">
        <f>""</f>
        <v/>
      </c>
      <c r="F1463" t="str">
        <f>""</f>
        <v/>
      </c>
      <c r="H1463" t="str">
        <f>"CTS-MIC-CLNG-G2"</f>
        <v>CTS-MIC-CLNG-G2</v>
      </c>
    </row>
    <row r="1464" spans="1:8" x14ac:dyDescent="0.25">
      <c r="E1464" t="str">
        <f>""</f>
        <v/>
      </c>
      <c r="F1464" t="str">
        <f>""</f>
        <v/>
      </c>
      <c r="H1464" t="str">
        <f>"CON-SSSNT-CTSMICG2"</f>
        <v>CON-SSSNT-CTSMICG2</v>
      </c>
    </row>
    <row r="1465" spans="1:8" x14ac:dyDescent="0.25">
      <c r="E1465" t="str">
        <f>""</f>
        <v/>
      </c>
      <c r="F1465" t="str">
        <f>""</f>
        <v/>
      </c>
      <c r="H1465" t="str">
        <f>"CTS-CAM-P60"</f>
        <v>CTS-CAM-P60</v>
      </c>
    </row>
    <row r="1466" spans="1:8" x14ac:dyDescent="0.25">
      <c r="E1466" t="str">
        <f>""</f>
        <v/>
      </c>
      <c r="F1466" t="str">
        <f>""</f>
        <v/>
      </c>
      <c r="H1466" t="str">
        <f>"CON-SSSNT-CTSCAM60"</f>
        <v>CON-SSSNT-CTSCAM60</v>
      </c>
    </row>
    <row r="1467" spans="1:8" x14ac:dyDescent="0.25">
      <c r="E1467" t="str">
        <f>""</f>
        <v/>
      </c>
      <c r="F1467" t="str">
        <f>""</f>
        <v/>
      </c>
      <c r="H1467" t="str">
        <f>"CTS-CAM60-BRKT"</f>
        <v>CTS-CAM60-BRKT</v>
      </c>
    </row>
    <row r="1468" spans="1:8" x14ac:dyDescent="0.25">
      <c r="E1468" t="str">
        <f>""</f>
        <v/>
      </c>
      <c r="F1468" t="str">
        <f>""</f>
        <v/>
      </c>
      <c r="H1468" t="str">
        <f>"CAB-2HDMI-3M-GR"</f>
        <v>CAB-2HDMI-3M-GR</v>
      </c>
    </row>
    <row r="1469" spans="1:8" x14ac:dyDescent="0.25">
      <c r="E1469" t="str">
        <f>""</f>
        <v/>
      </c>
      <c r="F1469" t="str">
        <f>""</f>
        <v/>
      </c>
      <c r="H1469" t="str">
        <f>"CAB-ETH-1.5M-GR"</f>
        <v>CAB-ETH-1.5M-GR</v>
      </c>
    </row>
    <row r="1470" spans="1:8" x14ac:dyDescent="0.25">
      <c r="E1470" t="str">
        <f>""</f>
        <v/>
      </c>
      <c r="F1470" t="str">
        <f>""</f>
        <v/>
      </c>
      <c r="H1470" t="str">
        <f>"Grey Ethernet"</f>
        <v>Grey Ethernet</v>
      </c>
    </row>
    <row r="1471" spans="1:8" x14ac:dyDescent="0.25">
      <c r="E1471" t="str">
        <f>""</f>
        <v/>
      </c>
      <c r="F1471" t="str">
        <f>""</f>
        <v/>
      </c>
      <c r="H1471" t="str">
        <f>"CAB-PRES-2HDMI-GR"</f>
        <v>CAB-PRES-2HDMI-GR</v>
      </c>
    </row>
    <row r="1472" spans="1:8" x14ac:dyDescent="0.25">
      <c r="E1472" t="str">
        <f>""</f>
        <v/>
      </c>
      <c r="F1472" t="str">
        <f>""</f>
        <v/>
      </c>
      <c r="H1472" t="str">
        <f>"CAB-HDMI-MIL4K-9M"</f>
        <v>CAB-HDMI-MIL4K-9M</v>
      </c>
    </row>
    <row r="1473" spans="1:8" x14ac:dyDescent="0.25">
      <c r="E1473" t="str">
        <f>""</f>
        <v/>
      </c>
      <c r="F1473" t="str">
        <f>""</f>
        <v/>
      </c>
      <c r="H1473" t="str">
        <f>"A-FLEX-C-DEVICE"</f>
        <v>A-FLEX-C-DEVICE</v>
      </c>
    </row>
    <row r="1474" spans="1:8" x14ac:dyDescent="0.25">
      <c r="E1474" t="str">
        <f>""</f>
        <v/>
      </c>
      <c r="F1474" t="str">
        <f>""</f>
        <v/>
      </c>
      <c r="H1474" t="str">
        <f>"HD-EXT-USB-2000-C"</f>
        <v>HD-EXT-USB-2000-C</v>
      </c>
    </row>
    <row r="1475" spans="1:8" x14ac:dyDescent="0.25">
      <c r="E1475" t="str">
        <f>""</f>
        <v/>
      </c>
      <c r="F1475" t="str">
        <f>""</f>
        <v/>
      </c>
      <c r="H1475" t="str">
        <f>"VSGI-CBL-CON"</f>
        <v>VSGI-CBL-CON</v>
      </c>
    </row>
    <row r="1476" spans="1:8" x14ac:dyDescent="0.25">
      <c r="E1476" t="str">
        <f>""</f>
        <v/>
      </c>
      <c r="F1476" t="str">
        <f>""</f>
        <v/>
      </c>
      <c r="H1476" t="str">
        <f>"INS-VSG-CUSTOM"</f>
        <v>INS-VSG-CUSTOM</v>
      </c>
    </row>
    <row r="1477" spans="1:8" x14ac:dyDescent="0.25">
      <c r="E1477" t="str">
        <f>""</f>
        <v/>
      </c>
      <c r="F1477" t="str">
        <f>""</f>
        <v/>
      </c>
      <c r="H1477" t="str">
        <f>"MNT-VSG-INGRM5S1"</f>
        <v>MNT-VSG-INGRM5S1</v>
      </c>
    </row>
    <row r="1478" spans="1:8" x14ac:dyDescent="0.25">
      <c r="E1478" t="str">
        <f>""</f>
        <v/>
      </c>
      <c r="F1478" t="str">
        <f>""</f>
        <v/>
      </c>
      <c r="H1478" t="str">
        <f>"Project Management"</f>
        <v>Project Management</v>
      </c>
    </row>
    <row r="1479" spans="1:8" x14ac:dyDescent="0.25">
      <c r="A1479" t="s">
        <v>12</v>
      </c>
      <c r="B1479">
        <v>134237</v>
      </c>
      <c r="C1479" s="3">
        <v>63.06</v>
      </c>
      <c r="D1479" s="5">
        <v>44193</v>
      </c>
      <c r="E1479" t="str">
        <f>"3463502346"</f>
        <v>3463502346</v>
      </c>
      <c r="F1479" t="str">
        <f>"Summary"</f>
        <v>Summary</v>
      </c>
      <c r="G1479" s="3">
        <v>63.06</v>
      </c>
      <c r="H1479" t="str">
        <f>"3463502346"</f>
        <v>3463502346</v>
      </c>
    </row>
    <row r="1480" spans="1:8" x14ac:dyDescent="0.25">
      <c r="A1480" t="s">
        <v>401</v>
      </c>
      <c r="B1480">
        <v>809</v>
      </c>
      <c r="C1480" s="3">
        <v>11.48</v>
      </c>
      <c r="D1480" s="5">
        <v>44169</v>
      </c>
      <c r="E1480" t="str">
        <f>"T3 202012020494"</f>
        <v>T3 202012020494</v>
      </c>
      <c r="F1480" t="str">
        <f>"SOCIAL SECURITY TAXES"</f>
        <v>SOCIAL SECURITY TAXES</v>
      </c>
      <c r="G1480" s="3">
        <v>9.3000000000000007</v>
      </c>
      <c r="H1480" t="str">
        <f>"SOCIAL SECURITY TAXES"</f>
        <v>SOCIAL SECURITY TAXES</v>
      </c>
    </row>
    <row r="1481" spans="1:8" x14ac:dyDescent="0.25">
      <c r="E1481" t="str">
        <f>""</f>
        <v/>
      </c>
      <c r="F1481" t="str">
        <f>""</f>
        <v/>
      </c>
      <c r="H1481" t="str">
        <f>"SOCIAL SECURITY TAXES"</f>
        <v>SOCIAL SECURITY TAXES</v>
      </c>
    </row>
    <row r="1482" spans="1:8" x14ac:dyDescent="0.25">
      <c r="E1482" t="str">
        <f>"T4 202012020494"</f>
        <v>T4 202012020494</v>
      </c>
      <c r="F1482" t="str">
        <f>"MEDICARE TAXES"</f>
        <v>MEDICARE TAXES</v>
      </c>
      <c r="G1482" s="3">
        <v>2.1800000000000002</v>
      </c>
      <c r="H1482" t="str">
        <f>"MEDICARE TAXES"</f>
        <v>MEDICARE TAXES</v>
      </c>
    </row>
    <row r="1483" spans="1:8" x14ac:dyDescent="0.25">
      <c r="E1483" t="str">
        <f>""</f>
        <v/>
      </c>
      <c r="F1483" t="str">
        <f>""</f>
        <v/>
      </c>
      <c r="H1483" t="str">
        <f>"MEDICARE TAXES"</f>
        <v>MEDICARE TAXES</v>
      </c>
    </row>
    <row r="1484" spans="1:8" x14ac:dyDescent="0.25">
      <c r="A1484" t="s">
        <v>401</v>
      </c>
      <c r="B1484">
        <v>810</v>
      </c>
      <c r="C1484" s="3">
        <v>245975.81</v>
      </c>
      <c r="D1484" s="5">
        <v>44176</v>
      </c>
      <c r="E1484" t="str">
        <f>"T1 202012090689"</f>
        <v>T1 202012090689</v>
      </c>
      <c r="F1484" t="str">
        <f>"FEDERAL WITHHOLDING"</f>
        <v>FEDERAL WITHHOLDING</v>
      </c>
      <c r="G1484" s="3">
        <v>82324.850000000006</v>
      </c>
      <c r="H1484" t="str">
        <f>"FEDERAL WITHHOLDING"</f>
        <v>FEDERAL WITHHOLDING</v>
      </c>
    </row>
    <row r="1485" spans="1:8" x14ac:dyDescent="0.25">
      <c r="E1485" t="str">
        <f>"T1 202012090690"</f>
        <v>T1 202012090690</v>
      </c>
      <c r="F1485" t="str">
        <f>"FEDERAL WITHHOLDING"</f>
        <v>FEDERAL WITHHOLDING</v>
      </c>
      <c r="G1485" s="3">
        <v>2869.96</v>
      </c>
      <c r="H1485" t="str">
        <f>"FEDERAL WITHHOLDING"</f>
        <v>FEDERAL WITHHOLDING</v>
      </c>
    </row>
    <row r="1486" spans="1:8" x14ac:dyDescent="0.25">
      <c r="E1486" t="str">
        <f>"T1 202012090691"</f>
        <v>T1 202012090691</v>
      </c>
      <c r="F1486" t="str">
        <f>"FEDERAL WITHHOLDING"</f>
        <v>FEDERAL WITHHOLDING</v>
      </c>
      <c r="G1486" s="3">
        <v>3346.86</v>
      </c>
      <c r="H1486" t="str">
        <f>"FEDERAL WITHHOLDING"</f>
        <v>FEDERAL WITHHOLDING</v>
      </c>
    </row>
    <row r="1487" spans="1:8" x14ac:dyDescent="0.25">
      <c r="E1487" t="str">
        <f>"T3 202012090689"</f>
        <v>T3 202012090689</v>
      </c>
      <c r="F1487" t="str">
        <f>"SOCIAL SECURITY TAXES"</f>
        <v>SOCIAL SECURITY TAXES</v>
      </c>
      <c r="G1487" s="3">
        <v>118518.94</v>
      </c>
      <c r="H1487" t="str">
        <f t="shared" ref="H1487:H1518" si="11">"SOCIAL SECURITY TAXES"</f>
        <v>SOCIAL SECURITY TAXES</v>
      </c>
    </row>
    <row r="1488" spans="1:8" x14ac:dyDescent="0.25">
      <c r="E1488" t="str">
        <f>""</f>
        <v/>
      </c>
      <c r="F1488" t="str">
        <f>""</f>
        <v/>
      </c>
      <c r="H1488" t="str">
        <f t="shared" si="11"/>
        <v>SOCIAL SECURITY TAXES</v>
      </c>
    </row>
    <row r="1489" spans="5:8" x14ac:dyDescent="0.25">
      <c r="E1489" t="str">
        <f>""</f>
        <v/>
      </c>
      <c r="F1489" t="str">
        <f>""</f>
        <v/>
      </c>
      <c r="H1489" t="str">
        <f t="shared" si="11"/>
        <v>SOCIAL SECURITY TAXES</v>
      </c>
    </row>
    <row r="1490" spans="5:8" x14ac:dyDescent="0.25">
      <c r="E1490" t="str">
        <f>""</f>
        <v/>
      </c>
      <c r="F1490" t="str">
        <f>""</f>
        <v/>
      </c>
      <c r="H1490" t="str">
        <f t="shared" si="11"/>
        <v>SOCIAL SECURITY TAXES</v>
      </c>
    </row>
    <row r="1491" spans="5:8" x14ac:dyDescent="0.25">
      <c r="E1491" t="str">
        <f>""</f>
        <v/>
      </c>
      <c r="F1491" t="str">
        <f>""</f>
        <v/>
      </c>
      <c r="H1491" t="str">
        <f t="shared" si="11"/>
        <v>SOCIAL SECURITY TAXES</v>
      </c>
    </row>
    <row r="1492" spans="5:8" x14ac:dyDescent="0.25">
      <c r="E1492" t="str">
        <f>""</f>
        <v/>
      </c>
      <c r="F1492" t="str">
        <f>""</f>
        <v/>
      </c>
      <c r="H1492" t="str">
        <f t="shared" si="11"/>
        <v>SOCIAL SECURITY TAXES</v>
      </c>
    </row>
    <row r="1493" spans="5:8" x14ac:dyDescent="0.25">
      <c r="E1493" t="str">
        <f>""</f>
        <v/>
      </c>
      <c r="F1493" t="str">
        <f>""</f>
        <v/>
      </c>
      <c r="H1493" t="str">
        <f t="shared" si="11"/>
        <v>SOCIAL SECURITY TAXES</v>
      </c>
    </row>
    <row r="1494" spans="5:8" x14ac:dyDescent="0.25">
      <c r="E1494" t="str">
        <f>""</f>
        <v/>
      </c>
      <c r="F1494" t="str">
        <f>""</f>
        <v/>
      </c>
      <c r="H1494" t="str">
        <f t="shared" si="11"/>
        <v>SOCIAL SECURITY TAXES</v>
      </c>
    </row>
    <row r="1495" spans="5:8" x14ac:dyDescent="0.25">
      <c r="E1495" t="str">
        <f>""</f>
        <v/>
      </c>
      <c r="F1495" t="str">
        <f>""</f>
        <v/>
      </c>
      <c r="H1495" t="str">
        <f t="shared" si="11"/>
        <v>SOCIAL SECURITY TAXES</v>
      </c>
    </row>
    <row r="1496" spans="5:8" x14ac:dyDescent="0.25">
      <c r="E1496" t="str">
        <f>""</f>
        <v/>
      </c>
      <c r="F1496" t="str">
        <f>""</f>
        <v/>
      </c>
      <c r="H1496" t="str">
        <f t="shared" si="11"/>
        <v>SOCIAL SECURITY TAXES</v>
      </c>
    </row>
    <row r="1497" spans="5:8" x14ac:dyDescent="0.25">
      <c r="E1497" t="str">
        <f>""</f>
        <v/>
      </c>
      <c r="F1497" t="str">
        <f>""</f>
        <v/>
      </c>
      <c r="H1497" t="str">
        <f t="shared" si="11"/>
        <v>SOCIAL SECURITY TAXES</v>
      </c>
    </row>
    <row r="1498" spans="5:8" x14ac:dyDescent="0.25">
      <c r="E1498" t="str">
        <f>""</f>
        <v/>
      </c>
      <c r="F1498" t="str">
        <f>""</f>
        <v/>
      </c>
      <c r="H1498" t="str">
        <f t="shared" si="11"/>
        <v>SOCIAL SECURITY TAXES</v>
      </c>
    </row>
    <row r="1499" spans="5:8" x14ac:dyDescent="0.25">
      <c r="E1499" t="str">
        <f>""</f>
        <v/>
      </c>
      <c r="F1499" t="str">
        <f>""</f>
        <v/>
      </c>
      <c r="H1499" t="str">
        <f t="shared" si="11"/>
        <v>SOCIAL SECURITY TAXES</v>
      </c>
    </row>
    <row r="1500" spans="5:8" x14ac:dyDescent="0.25">
      <c r="E1500" t="str">
        <f>""</f>
        <v/>
      </c>
      <c r="F1500" t="str">
        <f>""</f>
        <v/>
      </c>
      <c r="H1500" t="str">
        <f t="shared" si="11"/>
        <v>SOCIAL SECURITY TAXES</v>
      </c>
    </row>
    <row r="1501" spans="5:8" x14ac:dyDescent="0.25">
      <c r="E1501" t="str">
        <f>""</f>
        <v/>
      </c>
      <c r="F1501" t="str">
        <f>""</f>
        <v/>
      </c>
      <c r="H1501" t="str">
        <f t="shared" si="11"/>
        <v>SOCIAL SECURITY TAXES</v>
      </c>
    </row>
    <row r="1502" spans="5:8" x14ac:dyDescent="0.25">
      <c r="E1502" t="str">
        <f>""</f>
        <v/>
      </c>
      <c r="F1502" t="str">
        <f>""</f>
        <v/>
      </c>
      <c r="H1502" t="str">
        <f t="shared" si="11"/>
        <v>SOCIAL SECURITY TAXES</v>
      </c>
    </row>
    <row r="1503" spans="5:8" x14ac:dyDescent="0.25">
      <c r="E1503" t="str">
        <f>""</f>
        <v/>
      </c>
      <c r="F1503" t="str">
        <f>""</f>
        <v/>
      </c>
      <c r="H1503" t="str">
        <f t="shared" si="11"/>
        <v>SOCIAL SECURITY TAXES</v>
      </c>
    </row>
    <row r="1504" spans="5:8" x14ac:dyDescent="0.25">
      <c r="E1504" t="str">
        <f>""</f>
        <v/>
      </c>
      <c r="F1504" t="str">
        <f>""</f>
        <v/>
      </c>
      <c r="H1504" t="str">
        <f t="shared" si="11"/>
        <v>SOCIAL SECURITY TAXES</v>
      </c>
    </row>
    <row r="1505" spans="5:8" x14ac:dyDescent="0.25">
      <c r="E1505" t="str">
        <f>""</f>
        <v/>
      </c>
      <c r="F1505" t="str">
        <f>""</f>
        <v/>
      </c>
      <c r="H1505" t="str">
        <f t="shared" si="11"/>
        <v>SOCIAL SECURITY TAXES</v>
      </c>
    </row>
    <row r="1506" spans="5:8" x14ac:dyDescent="0.25">
      <c r="E1506" t="str">
        <f>""</f>
        <v/>
      </c>
      <c r="F1506" t="str">
        <f>""</f>
        <v/>
      </c>
      <c r="H1506" t="str">
        <f t="shared" si="11"/>
        <v>SOCIAL SECURITY TAXES</v>
      </c>
    </row>
    <row r="1507" spans="5:8" x14ac:dyDescent="0.25">
      <c r="E1507" t="str">
        <f>""</f>
        <v/>
      </c>
      <c r="F1507" t="str">
        <f>""</f>
        <v/>
      </c>
      <c r="H1507" t="str">
        <f t="shared" si="11"/>
        <v>SOCIAL SECURITY TAXES</v>
      </c>
    </row>
    <row r="1508" spans="5:8" x14ac:dyDescent="0.25">
      <c r="E1508" t="str">
        <f>""</f>
        <v/>
      </c>
      <c r="F1508" t="str">
        <f>""</f>
        <v/>
      </c>
      <c r="H1508" t="str">
        <f t="shared" si="11"/>
        <v>SOCIAL SECURITY TAXES</v>
      </c>
    </row>
    <row r="1509" spans="5:8" x14ac:dyDescent="0.25">
      <c r="E1509" t="str">
        <f>""</f>
        <v/>
      </c>
      <c r="F1509" t="str">
        <f>""</f>
        <v/>
      </c>
      <c r="H1509" t="str">
        <f t="shared" si="11"/>
        <v>SOCIAL SECURITY TAXES</v>
      </c>
    </row>
    <row r="1510" spans="5:8" x14ac:dyDescent="0.25">
      <c r="E1510" t="str">
        <f>""</f>
        <v/>
      </c>
      <c r="F1510" t="str">
        <f>""</f>
        <v/>
      </c>
      <c r="H1510" t="str">
        <f t="shared" si="11"/>
        <v>SOCIAL SECURITY TAXES</v>
      </c>
    </row>
    <row r="1511" spans="5:8" x14ac:dyDescent="0.25">
      <c r="E1511" t="str">
        <f>""</f>
        <v/>
      </c>
      <c r="F1511" t="str">
        <f>""</f>
        <v/>
      </c>
      <c r="H1511" t="str">
        <f t="shared" si="11"/>
        <v>SOCIAL SECURITY TAXES</v>
      </c>
    </row>
    <row r="1512" spans="5:8" x14ac:dyDescent="0.25">
      <c r="E1512" t="str">
        <f>""</f>
        <v/>
      </c>
      <c r="F1512" t="str">
        <f>""</f>
        <v/>
      </c>
      <c r="H1512" t="str">
        <f t="shared" si="11"/>
        <v>SOCIAL SECURITY TAXES</v>
      </c>
    </row>
    <row r="1513" spans="5:8" x14ac:dyDescent="0.25">
      <c r="E1513" t="str">
        <f>""</f>
        <v/>
      </c>
      <c r="F1513" t="str">
        <f>""</f>
        <v/>
      </c>
      <c r="H1513" t="str">
        <f t="shared" si="11"/>
        <v>SOCIAL SECURITY TAXES</v>
      </c>
    </row>
    <row r="1514" spans="5:8" x14ac:dyDescent="0.25">
      <c r="E1514" t="str">
        <f>""</f>
        <v/>
      </c>
      <c r="F1514" t="str">
        <f>""</f>
        <v/>
      </c>
      <c r="H1514" t="str">
        <f t="shared" si="11"/>
        <v>SOCIAL SECURITY TAXES</v>
      </c>
    </row>
    <row r="1515" spans="5:8" x14ac:dyDescent="0.25">
      <c r="E1515" t="str">
        <f>""</f>
        <v/>
      </c>
      <c r="F1515" t="str">
        <f>""</f>
        <v/>
      </c>
      <c r="H1515" t="str">
        <f t="shared" si="11"/>
        <v>SOCIAL SECURITY TAXES</v>
      </c>
    </row>
    <row r="1516" spans="5:8" x14ac:dyDescent="0.25">
      <c r="E1516" t="str">
        <f>""</f>
        <v/>
      </c>
      <c r="F1516" t="str">
        <f>""</f>
        <v/>
      </c>
      <c r="H1516" t="str">
        <f t="shared" si="11"/>
        <v>SOCIAL SECURITY TAXES</v>
      </c>
    </row>
    <row r="1517" spans="5:8" x14ac:dyDescent="0.25">
      <c r="E1517" t="str">
        <f>""</f>
        <v/>
      </c>
      <c r="F1517" t="str">
        <f>""</f>
        <v/>
      </c>
      <c r="H1517" t="str">
        <f t="shared" si="11"/>
        <v>SOCIAL SECURITY TAXES</v>
      </c>
    </row>
    <row r="1518" spans="5:8" x14ac:dyDescent="0.25">
      <c r="E1518" t="str">
        <f>""</f>
        <v/>
      </c>
      <c r="F1518" t="str">
        <f>""</f>
        <v/>
      </c>
      <c r="H1518" t="str">
        <f t="shared" si="11"/>
        <v>SOCIAL SECURITY TAXES</v>
      </c>
    </row>
    <row r="1519" spans="5:8" x14ac:dyDescent="0.25">
      <c r="E1519" t="str">
        <f>""</f>
        <v/>
      </c>
      <c r="F1519" t="str">
        <f>""</f>
        <v/>
      </c>
      <c r="H1519" t="str">
        <f t="shared" ref="H1519:H1543" si="12">"SOCIAL SECURITY TAXES"</f>
        <v>SOCIAL SECURITY TAXES</v>
      </c>
    </row>
    <row r="1520" spans="5:8" x14ac:dyDescent="0.25">
      <c r="E1520" t="str">
        <f>""</f>
        <v/>
      </c>
      <c r="F1520" t="str">
        <f>""</f>
        <v/>
      </c>
      <c r="H1520" t="str">
        <f t="shared" si="12"/>
        <v>SOCIAL SECURITY TAXES</v>
      </c>
    </row>
    <row r="1521" spans="5:8" x14ac:dyDescent="0.25">
      <c r="E1521" t="str">
        <f>""</f>
        <v/>
      </c>
      <c r="F1521" t="str">
        <f>""</f>
        <v/>
      </c>
      <c r="H1521" t="str">
        <f t="shared" si="12"/>
        <v>SOCIAL SECURITY TAXES</v>
      </c>
    </row>
    <row r="1522" spans="5:8" x14ac:dyDescent="0.25">
      <c r="E1522" t="str">
        <f>""</f>
        <v/>
      </c>
      <c r="F1522" t="str">
        <f>""</f>
        <v/>
      </c>
      <c r="H1522" t="str">
        <f t="shared" si="12"/>
        <v>SOCIAL SECURITY TAXES</v>
      </c>
    </row>
    <row r="1523" spans="5:8" x14ac:dyDescent="0.25">
      <c r="E1523" t="str">
        <f>""</f>
        <v/>
      </c>
      <c r="F1523" t="str">
        <f>""</f>
        <v/>
      </c>
      <c r="H1523" t="str">
        <f t="shared" si="12"/>
        <v>SOCIAL SECURITY TAXES</v>
      </c>
    </row>
    <row r="1524" spans="5:8" x14ac:dyDescent="0.25">
      <c r="E1524" t="str">
        <f>""</f>
        <v/>
      </c>
      <c r="F1524" t="str">
        <f>""</f>
        <v/>
      </c>
      <c r="H1524" t="str">
        <f t="shared" si="12"/>
        <v>SOCIAL SECURITY TAXES</v>
      </c>
    </row>
    <row r="1525" spans="5:8" x14ac:dyDescent="0.25">
      <c r="E1525" t="str">
        <f>""</f>
        <v/>
      </c>
      <c r="F1525" t="str">
        <f>""</f>
        <v/>
      </c>
      <c r="H1525" t="str">
        <f t="shared" si="12"/>
        <v>SOCIAL SECURITY TAXES</v>
      </c>
    </row>
    <row r="1526" spans="5:8" x14ac:dyDescent="0.25">
      <c r="E1526" t="str">
        <f>""</f>
        <v/>
      </c>
      <c r="F1526" t="str">
        <f>""</f>
        <v/>
      </c>
      <c r="H1526" t="str">
        <f t="shared" si="12"/>
        <v>SOCIAL SECURITY TAXES</v>
      </c>
    </row>
    <row r="1527" spans="5:8" x14ac:dyDescent="0.25">
      <c r="E1527" t="str">
        <f>""</f>
        <v/>
      </c>
      <c r="F1527" t="str">
        <f>""</f>
        <v/>
      </c>
      <c r="H1527" t="str">
        <f t="shared" si="12"/>
        <v>SOCIAL SECURITY TAXES</v>
      </c>
    </row>
    <row r="1528" spans="5:8" x14ac:dyDescent="0.25">
      <c r="E1528" t="str">
        <f>""</f>
        <v/>
      </c>
      <c r="F1528" t="str">
        <f>""</f>
        <v/>
      </c>
      <c r="H1528" t="str">
        <f t="shared" si="12"/>
        <v>SOCIAL SECURITY TAXES</v>
      </c>
    </row>
    <row r="1529" spans="5:8" x14ac:dyDescent="0.25">
      <c r="E1529" t="str">
        <f>""</f>
        <v/>
      </c>
      <c r="F1529" t="str">
        <f>""</f>
        <v/>
      </c>
      <c r="H1529" t="str">
        <f t="shared" si="12"/>
        <v>SOCIAL SECURITY TAXES</v>
      </c>
    </row>
    <row r="1530" spans="5:8" x14ac:dyDescent="0.25">
      <c r="E1530" t="str">
        <f>""</f>
        <v/>
      </c>
      <c r="F1530" t="str">
        <f>""</f>
        <v/>
      </c>
      <c r="H1530" t="str">
        <f t="shared" si="12"/>
        <v>SOCIAL SECURITY TAXES</v>
      </c>
    </row>
    <row r="1531" spans="5:8" x14ac:dyDescent="0.25">
      <c r="E1531" t="str">
        <f>""</f>
        <v/>
      </c>
      <c r="F1531" t="str">
        <f>""</f>
        <v/>
      </c>
      <c r="H1531" t="str">
        <f t="shared" si="12"/>
        <v>SOCIAL SECURITY TAXES</v>
      </c>
    </row>
    <row r="1532" spans="5:8" x14ac:dyDescent="0.25">
      <c r="E1532" t="str">
        <f>""</f>
        <v/>
      </c>
      <c r="F1532" t="str">
        <f>""</f>
        <v/>
      </c>
      <c r="H1532" t="str">
        <f t="shared" si="12"/>
        <v>SOCIAL SECURITY TAXES</v>
      </c>
    </row>
    <row r="1533" spans="5:8" x14ac:dyDescent="0.25">
      <c r="E1533" t="str">
        <f>""</f>
        <v/>
      </c>
      <c r="F1533" t="str">
        <f>""</f>
        <v/>
      </c>
      <c r="H1533" t="str">
        <f t="shared" si="12"/>
        <v>SOCIAL SECURITY TAXES</v>
      </c>
    </row>
    <row r="1534" spans="5:8" x14ac:dyDescent="0.25">
      <c r="E1534" t="str">
        <f>""</f>
        <v/>
      </c>
      <c r="F1534" t="str">
        <f>""</f>
        <v/>
      </c>
      <c r="H1534" t="str">
        <f t="shared" si="12"/>
        <v>SOCIAL SECURITY TAXES</v>
      </c>
    </row>
    <row r="1535" spans="5:8" x14ac:dyDescent="0.25">
      <c r="E1535" t="str">
        <f>""</f>
        <v/>
      </c>
      <c r="F1535" t="str">
        <f>""</f>
        <v/>
      </c>
      <c r="H1535" t="str">
        <f t="shared" si="12"/>
        <v>SOCIAL SECURITY TAXES</v>
      </c>
    </row>
    <row r="1536" spans="5:8" x14ac:dyDescent="0.25">
      <c r="E1536" t="str">
        <f>""</f>
        <v/>
      </c>
      <c r="F1536" t="str">
        <f>""</f>
        <v/>
      </c>
      <c r="H1536" t="str">
        <f t="shared" si="12"/>
        <v>SOCIAL SECURITY TAXES</v>
      </c>
    </row>
    <row r="1537" spans="5:8" x14ac:dyDescent="0.25">
      <c r="E1537" t="str">
        <f>""</f>
        <v/>
      </c>
      <c r="F1537" t="str">
        <f>""</f>
        <v/>
      </c>
      <c r="H1537" t="str">
        <f t="shared" si="12"/>
        <v>SOCIAL SECURITY TAXES</v>
      </c>
    </row>
    <row r="1538" spans="5:8" x14ac:dyDescent="0.25">
      <c r="E1538" t="str">
        <f>""</f>
        <v/>
      </c>
      <c r="F1538" t="str">
        <f>""</f>
        <v/>
      </c>
      <c r="H1538" t="str">
        <f t="shared" si="12"/>
        <v>SOCIAL SECURITY TAXES</v>
      </c>
    </row>
    <row r="1539" spans="5:8" x14ac:dyDescent="0.25">
      <c r="E1539" t="str">
        <f>""</f>
        <v/>
      </c>
      <c r="F1539" t="str">
        <f>""</f>
        <v/>
      </c>
      <c r="H1539" t="str">
        <f t="shared" si="12"/>
        <v>SOCIAL SECURITY TAXES</v>
      </c>
    </row>
    <row r="1540" spans="5:8" x14ac:dyDescent="0.25">
      <c r="E1540" t="str">
        <f>"T3 202012090690"</f>
        <v>T3 202012090690</v>
      </c>
      <c r="F1540" t="str">
        <f>"SOCIAL SECURITY TAXES"</f>
        <v>SOCIAL SECURITY TAXES</v>
      </c>
      <c r="G1540" s="3">
        <v>4018.66</v>
      </c>
      <c r="H1540" t="str">
        <f t="shared" si="12"/>
        <v>SOCIAL SECURITY TAXES</v>
      </c>
    </row>
    <row r="1541" spans="5:8" x14ac:dyDescent="0.25">
      <c r="E1541" t="str">
        <f>""</f>
        <v/>
      </c>
      <c r="F1541" t="str">
        <f>""</f>
        <v/>
      </c>
      <c r="H1541" t="str">
        <f t="shared" si="12"/>
        <v>SOCIAL SECURITY TAXES</v>
      </c>
    </row>
    <row r="1542" spans="5:8" x14ac:dyDescent="0.25">
      <c r="E1542" t="str">
        <f>"T3 202012090691"</f>
        <v>T3 202012090691</v>
      </c>
      <c r="F1542" t="str">
        <f>"SOCIAL SECURITY TAXES"</f>
        <v>SOCIAL SECURITY TAXES</v>
      </c>
      <c r="G1542" s="3">
        <v>4755.8599999999997</v>
      </c>
      <c r="H1542" t="str">
        <f t="shared" si="12"/>
        <v>SOCIAL SECURITY TAXES</v>
      </c>
    </row>
    <row r="1543" spans="5:8" x14ac:dyDescent="0.25">
      <c r="E1543" t="str">
        <f>""</f>
        <v/>
      </c>
      <c r="F1543" t="str">
        <f>""</f>
        <v/>
      </c>
      <c r="H1543" t="str">
        <f t="shared" si="12"/>
        <v>SOCIAL SECURITY TAXES</v>
      </c>
    </row>
    <row r="1544" spans="5:8" x14ac:dyDescent="0.25">
      <c r="E1544" t="str">
        <f>"T4 202012090689"</f>
        <v>T4 202012090689</v>
      </c>
      <c r="F1544" t="str">
        <f>"MEDICARE TAXES"</f>
        <v>MEDICARE TAXES</v>
      </c>
      <c r="G1544" s="3">
        <v>28088.48</v>
      </c>
      <c r="H1544" t="str">
        <f t="shared" ref="H1544:H1575" si="13">"MEDICARE TAXES"</f>
        <v>MEDICARE TAXES</v>
      </c>
    </row>
    <row r="1545" spans="5:8" x14ac:dyDescent="0.25">
      <c r="E1545" t="str">
        <f>""</f>
        <v/>
      </c>
      <c r="F1545" t="str">
        <f>""</f>
        <v/>
      </c>
      <c r="H1545" t="str">
        <f t="shared" si="13"/>
        <v>MEDICARE TAXES</v>
      </c>
    </row>
    <row r="1546" spans="5:8" x14ac:dyDescent="0.25">
      <c r="E1546" t="str">
        <f>""</f>
        <v/>
      </c>
      <c r="F1546" t="str">
        <f>""</f>
        <v/>
      </c>
      <c r="H1546" t="str">
        <f t="shared" si="13"/>
        <v>MEDICARE TAXES</v>
      </c>
    </row>
    <row r="1547" spans="5:8" x14ac:dyDescent="0.25">
      <c r="E1547" t="str">
        <f>""</f>
        <v/>
      </c>
      <c r="F1547" t="str">
        <f>""</f>
        <v/>
      </c>
      <c r="H1547" t="str">
        <f t="shared" si="13"/>
        <v>MEDICARE TAXES</v>
      </c>
    </row>
    <row r="1548" spans="5:8" x14ac:dyDescent="0.25">
      <c r="E1548" t="str">
        <f>""</f>
        <v/>
      </c>
      <c r="F1548" t="str">
        <f>""</f>
        <v/>
      </c>
      <c r="H1548" t="str">
        <f t="shared" si="13"/>
        <v>MEDICARE TAXES</v>
      </c>
    </row>
    <row r="1549" spans="5:8" x14ac:dyDescent="0.25">
      <c r="E1549" t="str">
        <f>""</f>
        <v/>
      </c>
      <c r="F1549" t="str">
        <f>""</f>
        <v/>
      </c>
      <c r="H1549" t="str">
        <f t="shared" si="13"/>
        <v>MEDICARE TAXES</v>
      </c>
    </row>
    <row r="1550" spans="5:8" x14ac:dyDescent="0.25">
      <c r="E1550" t="str">
        <f>""</f>
        <v/>
      </c>
      <c r="F1550" t="str">
        <f>""</f>
        <v/>
      </c>
      <c r="H1550" t="str">
        <f t="shared" si="13"/>
        <v>MEDICARE TAXES</v>
      </c>
    </row>
    <row r="1551" spans="5:8" x14ac:dyDescent="0.25">
      <c r="E1551" t="str">
        <f>""</f>
        <v/>
      </c>
      <c r="F1551" t="str">
        <f>""</f>
        <v/>
      </c>
      <c r="H1551" t="str">
        <f t="shared" si="13"/>
        <v>MEDICARE TAXES</v>
      </c>
    </row>
    <row r="1552" spans="5:8" x14ac:dyDescent="0.25">
      <c r="E1552" t="str">
        <f>""</f>
        <v/>
      </c>
      <c r="F1552" t="str">
        <f>""</f>
        <v/>
      </c>
      <c r="H1552" t="str">
        <f t="shared" si="13"/>
        <v>MEDICARE TAXES</v>
      </c>
    </row>
    <row r="1553" spans="5:8" x14ac:dyDescent="0.25">
      <c r="E1553" t="str">
        <f>""</f>
        <v/>
      </c>
      <c r="F1553" t="str">
        <f>""</f>
        <v/>
      </c>
      <c r="H1553" t="str">
        <f t="shared" si="13"/>
        <v>MEDICARE TAXES</v>
      </c>
    </row>
    <row r="1554" spans="5:8" x14ac:dyDescent="0.25">
      <c r="E1554" t="str">
        <f>""</f>
        <v/>
      </c>
      <c r="F1554" t="str">
        <f>""</f>
        <v/>
      </c>
      <c r="H1554" t="str">
        <f t="shared" si="13"/>
        <v>MEDICARE TAXES</v>
      </c>
    </row>
    <row r="1555" spans="5:8" x14ac:dyDescent="0.25">
      <c r="E1555" t="str">
        <f>""</f>
        <v/>
      </c>
      <c r="F1555" t="str">
        <f>""</f>
        <v/>
      </c>
      <c r="H1555" t="str">
        <f t="shared" si="13"/>
        <v>MEDICARE TAXES</v>
      </c>
    </row>
    <row r="1556" spans="5:8" x14ac:dyDescent="0.25">
      <c r="E1556" t="str">
        <f>""</f>
        <v/>
      </c>
      <c r="F1556" t="str">
        <f>""</f>
        <v/>
      </c>
      <c r="H1556" t="str">
        <f t="shared" si="13"/>
        <v>MEDICARE TAXES</v>
      </c>
    </row>
    <row r="1557" spans="5:8" x14ac:dyDescent="0.25">
      <c r="E1557" t="str">
        <f>""</f>
        <v/>
      </c>
      <c r="F1557" t="str">
        <f>""</f>
        <v/>
      </c>
      <c r="H1557" t="str">
        <f t="shared" si="13"/>
        <v>MEDICARE TAXES</v>
      </c>
    </row>
    <row r="1558" spans="5:8" x14ac:dyDescent="0.25">
      <c r="E1558" t="str">
        <f>""</f>
        <v/>
      </c>
      <c r="F1558" t="str">
        <f>""</f>
        <v/>
      </c>
      <c r="H1558" t="str">
        <f t="shared" si="13"/>
        <v>MEDICARE TAXES</v>
      </c>
    </row>
    <row r="1559" spans="5:8" x14ac:dyDescent="0.25">
      <c r="E1559" t="str">
        <f>""</f>
        <v/>
      </c>
      <c r="F1559" t="str">
        <f>""</f>
        <v/>
      </c>
      <c r="H1559" t="str">
        <f t="shared" si="13"/>
        <v>MEDICARE TAXES</v>
      </c>
    </row>
    <row r="1560" spans="5:8" x14ac:dyDescent="0.25">
      <c r="E1560" t="str">
        <f>""</f>
        <v/>
      </c>
      <c r="F1560" t="str">
        <f>""</f>
        <v/>
      </c>
      <c r="H1560" t="str">
        <f t="shared" si="13"/>
        <v>MEDICARE TAXES</v>
      </c>
    </row>
    <row r="1561" spans="5:8" x14ac:dyDescent="0.25">
      <c r="E1561" t="str">
        <f>""</f>
        <v/>
      </c>
      <c r="F1561" t="str">
        <f>""</f>
        <v/>
      </c>
      <c r="H1561" t="str">
        <f t="shared" si="13"/>
        <v>MEDICARE TAXES</v>
      </c>
    </row>
    <row r="1562" spans="5:8" x14ac:dyDescent="0.25">
      <c r="E1562" t="str">
        <f>""</f>
        <v/>
      </c>
      <c r="F1562" t="str">
        <f>""</f>
        <v/>
      </c>
      <c r="H1562" t="str">
        <f t="shared" si="13"/>
        <v>MEDICARE TAXES</v>
      </c>
    </row>
    <row r="1563" spans="5:8" x14ac:dyDescent="0.25">
      <c r="E1563" t="str">
        <f>""</f>
        <v/>
      </c>
      <c r="F1563" t="str">
        <f>""</f>
        <v/>
      </c>
      <c r="H1563" t="str">
        <f t="shared" si="13"/>
        <v>MEDICARE TAXES</v>
      </c>
    </row>
    <row r="1564" spans="5:8" x14ac:dyDescent="0.25">
      <c r="E1564" t="str">
        <f>""</f>
        <v/>
      </c>
      <c r="F1564" t="str">
        <f>""</f>
        <v/>
      </c>
      <c r="H1564" t="str">
        <f t="shared" si="13"/>
        <v>MEDICARE TAXES</v>
      </c>
    </row>
    <row r="1565" spans="5:8" x14ac:dyDescent="0.25">
      <c r="E1565" t="str">
        <f>""</f>
        <v/>
      </c>
      <c r="F1565" t="str">
        <f>""</f>
        <v/>
      </c>
      <c r="H1565" t="str">
        <f t="shared" si="13"/>
        <v>MEDICARE TAXES</v>
      </c>
    </row>
    <row r="1566" spans="5:8" x14ac:dyDescent="0.25">
      <c r="E1566" t="str">
        <f>""</f>
        <v/>
      </c>
      <c r="F1566" t="str">
        <f>""</f>
        <v/>
      </c>
      <c r="H1566" t="str">
        <f t="shared" si="13"/>
        <v>MEDICARE TAXES</v>
      </c>
    </row>
    <row r="1567" spans="5:8" x14ac:dyDescent="0.25">
      <c r="E1567" t="str">
        <f>""</f>
        <v/>
      </c>
      <c r="F1567" t="str">
        <f>""</f>
        <v/>
      </c>
      <c r="H1567" t="str">
        <f t="shared" si="13"/>
        <v>MEDICARE TAXES</v>
      </c>
    </row>
    <row r="1568" spans="5:8" x14ac:dyDescent="0.25">
      <c r="E1568" t="str">
        <f>""</f>
        <v/>
      </c>
      <c r="F1568" t="str">
        <f>""</f>
        <v/>
      </c>
      <c r="H1568" t="str">
        <f t="shared" si="13"/>
        <v>MEDICARE TAXES</v>
      </c>
    </row>
    <row r="1569" spans="5:8" x14ac:dyDescent="0.25">
      <c r="E1569" t="str">
        <f>""</f>
        <v/>
      </c>
      <c r="F1569" t="str">
        <f>""</f>
        <v/>
      </c>
      <c r="H1569" t="str">
        <f t="shared" si="13"/>
        <v>MEDICARE TAXES</v>
      </c>
    </row>
    <row r="1570" spans="5:8" x14ac:dyDescent="0.25">
      <c r="E1570" t="str">
        <f>""</f>
        <v/>
      </c>
      <c r="F1570" t="str">
        <f>""</f>
        <v/>
      </c>
      <c r="H1570" t="str">
        <f t="shared" si="13"/>
        <v>MEDICARE TAXES</v>
      </c>
    </row>
    <row r="1571" spans="5:8" x14ac:dyDescent="0.25">
      <c r="E1571" t="str">
        <f>""</f>
        <v/>
      </c>
      <c r="F1571" t="str">
        <f>""</f>
        <v/>
      </c>
      <c r="H1571" t="str">
        <f t="shared" si="13"/>
        <v>MEDICARE TAXES</v>
      </c>
    </row>
    <row r="1572" spans="5:8" x14ac:dyDescent="0.25">
      <c r="E1572" t="str">
        <f>""</f>
        <v/>
      </c>
      <c r="F1572" t="str">
        <f>""</f>
        <v/>
      </c>
      <c r="H1572" t="str">
        <f t="shared" si="13"/>
        <v>MEDICARE TAXES</v>
      </c>
    </row>
    <row r="1573" spans="5:8" x14ac:dyDescent="0.25">
      <c r="E1573" t="str">
        <f>""</f>
        <v/>
      </c>
      <c r="F1573" t="str">
        <f>""</f>
        <v/>
      </c>
      <c r="H1573" t="str">
        <f t="shared" si="13"/>
        <v>MEDICARE TAXES</v>
      </c>
    </row>
    <row r="1574" spans="5:8" x14ac:dyDescent="0.25">
      <c r="E1574" t="str">
        <f>""</f>
        <v/>
      </c>
      <c r="F1574" t="str">
        <f>""</f>
        <v/>
      </c>
      <c r="H1574" t="str">
        <f t="shared" si="13"/>
        <v>MEDICARE TAXES</v>
      </c>
    </row>
    <row r="1575" spans="5:8" x14ac:dyDescent="0.25">
      <c r="E1575" t="str">
        <f>""</f>
        <v/>
      </c>
      <c r="F1575" t="str">
        <f>""</f>
        <v/>
      </c>
      <c r="H1575" t="str">
        <f t="shared" si="13"/>
        <v>MEDICARE TAXES</v>
      </c>
    </row>
    <row r="1576" spans="5:8" x14ac:dyDescent="0.25">
      <c r="E1576" t="str">
        <f>""</f>
        <v/>
      </c>
      <c r="F1576" t="str">
        <f>""</f>
        <v/>
      </c>
      <c r="H1576" t="str">
        <f t="shared" ref="H1576:H1601" si="14">"MEDICARE TAXES"</f>
        <v>MEDICARE TAXES</v>
      </c>
    </row>
    <row r="1577" spans="5:8" x14ac:dyDescent="0.25">
      <c r="E1577" t="str">
        <f>""</f>
        <v/>
      </c>
      <c r="F1577" t="str">
        <f>""</f>
        <v/>
      </c>
      <c r="H1577" t="str">
        <f t="shared" si="14"/>
        <v>MEDICARE TAXES</v>
      </c>
    </row>
    <row r="1578" spans="5:8" x14ac:dyDescent="0.25">
      <c r="E1578" t="str">
        <f>""</f>
        <v/>
      </c>
      <c r="F1578" t="str">
        <f>""</f>
        <v/>
      </c>
      <c r="H1578" t="str">
        <f t="shared" si="14"/>
        <v>MEDICARE TAXES</v>
      </c>
    </row>
    <row r="1579" spans="5:8" x14ac:dyDescent="0.25">
      <c r="E1579" t="str">
        <f>""</f>
        <v/>
      </c>
      <c r="F1579" t="str">
        <f>""</f>
        <v/>
      </c>
      <c r="H1579" t="str">
        <f t="shared" si="14"/>
        <v>MEDICARE TAXES</v>
      </c>
    </row>
    <row r="1580" spans="5:8" x14ac:dyDescent="0.25">
      <c r="E1580" t="str">
        <f>""</f>
        <v/>
      </c>
      <c r="F1580" t="str">
        <f>""</f>
        <v/>
      </c>
      <c r="H1580" t="str">
        <f t="shared" si="14"/>
        <v>MEDICARE TAXES</v>
      </c>
    </row>
    <row r="1581" spans="5:8" x14ac:dyDescent="0.25">
      <c r="E1581" t="str">
        <f>""</f>
        <v/>
      </c>
      <c r="F1581" t="str">
        <f>""</f>
        <v/>
      </c>
      <c r="H1581" t="str">
        <f t="shared" si="14"/>
        <v>MEDICARE TAXES</v>
      </c>
    </row>
    <row r="1582" spans="5:8" x14ac:dyDescent="0.25">
      <c r="E1582" t="str">
        <f>""</f>
        <v/>
      </c>
      <c r="F1582" t="str">
        <f>""</f>
        <v/>
      </c>
      <c r="H1582" t="str">
        <f t="shared" si="14"/>
        <v>MEDICARE TAXES</v>
      </c>
    </row>
    <row r="1583" spans="5:8" x14ac:dyDescent="0.25">
      <c r="E1583" t="str">
        <f>""</f>
        <v/>
      </c>
      <c r="F1583" t="str">
        <f>""</f>
        <v/>
      </c>
      <c r="H1583" t="str">
        <f t="shared" si="14"/>
        <v>MEDICARE TAXES</v>
      </c>
    </row>
    <row r="1584" spans="5:8" x14ac:dyDescent="0.25">
      <c r="E1584" t="str">
        <f>""</f>
        <v/>
      </c>
      <c r="F1584" t="str">
        <f>""</f>
        <v/>
      </c>
      <c r="H1584" t="str">
        <f t="shared" si="14"/>
        <v>MEDICARE TAXES</v>
      </c>
    </row>
    <row r="1585" spans="5:8" x14ac:dyDescent="0.25">
      <c r="E1585" t="str">
        <f>""</f>
        <v/>
      </c>
      <c r="F1585" t="str">
        <f>""</f>
        <v/>
      </c>
      <c r="H1585" t="str">
        <f t="shared" si="14"/>
        <v>MEDICARE TAXES</v>
      </c>
    </row>
    <row r="1586" spans="5:8" x14ac:dyDescent="0.25">
      <c r="E1586" t="str">
        <f>""</f>
        <v/>
      </c>
      <c r="F1586" t="str">
        <f>""</f>
        <v/>
      </c>
      <c r="H1586" t="str">
        <f t="shared" si="14"/>
        <v>MEDICARE TAXES</v>
      </c>
    </row>
    <row r="1587" spans="5:8" x14ac:dyDescent="0.25">
      <c r="E1587" t="str">
        <f>""</f>
        <v/>
      </c>
      <c r="F1587" t="str">
        <f>""</f>
        <v/>
      </c>
      <c r="H1587" t="str">
        <f t="shared" si="14"/>
        <v>MEDICARE TAXES</v>
      </c>
    </row>
    <row r="1588" spans="5:8" x14ac:dyDescent="0.25">
      <c r="E1588" t="str">
        <f>""</f>
        <v/>
      </c>
      <c r="F1588" t="str">
        <f>""</f>
        <v/>
      </c>
      <c r="H1588" t="str">
        <f t="shared" si="14"/>
        <v>MEDICARE TAXES</v>
      </c>
    </row>
    <row r="1589" spans="5:8" x14ac:dyDescent="0.25">
      <c r="E1589" t="str">
        <f>""</f>
        <v/>
      </c>
      <c r="F1589" t="str">
        <f>""</f>
        <v/>
      </c>
      <c r="H1589" t="str">
        <f t="shared" si="14"/>
        <v>MEDICARE TAXES</v>
      </c>
    </row>
    <row r="1590" spans="5:8" x14ac:dyDescent="0.25">
      <c r="E1590" t="str">
        <f>""</f>
        <v/>
      </c>
      <c r="F1590" t="str">
        <f>""</f>
        <v/>
      </c>
      <c r="H1590" t="str">
        <f t="shared" si="14"/>
        <v>MEDICARE TAXES</v>
      </c>
    </row>
    <row r="1591" spans="5:8" x14ac:dyDescent="0.25">
      <c r="E1591" t="str">
        <f>""</f>
        <v/>
      </c>
      <c r="F1591" t="str">
        <f>""</f>
        <v/>
      </c>
      <c r="H1591" t="str">
        <f t="shared" si="14"/>
        <v>MEDICARE TAXES</v>
      </c>
    </row>
    <row r="1592" spans="5:8" x14ac:dyDescent="0.25">
      <c r="E1592" t="str">
        <f>""</f>
        <v/>
      </c>
      <c r="F1592" t="str">
        <f>""</f>
        <v/>
      </c>
      <c r="H1592" t="str">
        <f t="shared" si="14"/>
        <v>MEDICARE TAXES</v>
      </c>
    </row>
    <row r="1593" spans="5:8" x14ac:dyDescent="0.25">
      <c r="E1593" t="str">
        <f>""</f>
        <v/>
      </c>
      <c r="F1593" t="str">
        <f>""</f>
        <v/>
      </c>
      <c r="H1593" t="str">
        <f t="shared" si="14"/>
        <v>MEDICARE TAXES</v>
      </c>
    </row>
    <row r="1594" spans="5:8" x14ac:dyDescent="0.25">
      <c r="E1594" t="str">
        <f>""</f>
        <v/>
      </c>
      <c r="F1594" t="str">
        <f>""</f>
        <v/>
      </c>
      <c r="H1594" t="str">
        <f t="shared" si="14"/>
        <v>MEDICARE TAXES</v>
      </c>
    </row>
    <row r="1595" spans="5:8" x14ac:dyDescent="0.25">
      <c r="E1595" t="str">
        <f>""</f>
        <v/>
      </c>
      <c r="F1595" t="str">
        <f>""</f>
        <v/>
      </c>
      <c r="H1595" t="str">
        <f t="shared" si="14"/>
        <v>MEDICARE TAXES</v>
      </c>
    </row>
    <row r="1596" spans="5:8" x14ac:dyDescent="0.25">
      <c r="E1596" t="str">
        <f>""</f>
        <v/>
      </c>
      <c r="F1596" t="str">
        <f>""</f>
        <v/>
      </c>
      <c r="H1596" t="str">
        <f t="shared" si="14"/>
        <v>MEDICARE TAXES</v>
      </c>
    </row>
    <row r="1597" spans="5:8" x14ac:dyDescent="0.25">
      <c r="E1597" t="str">
        <f>""</f>
        <v/>
      </c>
      <c r="F1597" t="str">
        <f>""</f>
        <v/>
      </c>
      <c r="H1597" t="str">
        <f t="shared" si="14"/>
        <v>MEDICARE TAXES</v>
      </c>
    </row>
    <row r="1598" spans="5:8" x14ac:dyDescent="0.25">
      <c r="E1598" t="str">
        <f>"T4 202012090690"</f>
        <v>T4 202012090690</v>
      </c>
      <c r="F1598" t="str">
        <f>"MEDICARE TAXES"</f>
        <v>MEDICARE TAXES</v>
      </c>
      <c r="G1598" s="3">
        <v>939.9</v>
      </c>
      <c r="H1598" t="str">
        <f t="shared" si="14"/>
        <v>MEDICARE TAXES</v>
      </c>
    </row>
    <row r="1599" spans="5:8" x14ac:dyDescent="0.25">
      <c r="E1599" t="str">
        <f>""</f>
        <v/>
      </c>
      <c r="F1599" t="str">
        <f>""</f>
        <v/>
      </c>
      <c r="H1599" t="str">
        <f t="shared" si="14"/>
        <v>MEDICARE TAXES</v>
      </c>
    </row>
    <row r="1600" spans="5:8" x14ac:dyDescent="0.25">
      <c r="E1600" t="str">
        <f>"T4 202012090691"</f>
        <v>T4 202012090691</v>
      </c>
      <c r="F1600" t="str">
        <f>"MEDICARE TAXES"</f>
        <v>MEDICARE TAXES</v>
      </c>
      <c r="G1600" s="3">
        <v>1112.3</v>
      </c>
      <c r="H1600" t="str">
        <f t="shared" si="14"/>
        <v>MEDICARE TAXES</v>
      </c>
    </row>
    <row r="1601" spans="1:8" x14ac:dyDescent="0.25">
      <c r="E1601" t="str">
        <f>""</f>
        <v/>
      </c>
      <c r="F1601" t="str">
        <f>""</f>
        <v/>
      </c>
      <c r="H1601" t="str">
        <f t="shared" si="14"/>
        <v>MEDICARE TAXES</v>
      </c>
    </row>
    <row r="1602" spans="1:8" x14ac:dyDescent="0.25">
      <c r="A1602" t="s">
        <v>402</v>
      </c>
      <c r="B1602">
        <v>811</v>
      </c>
      <c r="C1602" s="3">
        <v>1935.1</v>
      </c>
      <c r="D1602" s="5">
        <v>44176</v>
      </c>
      <c r="E1602" t="str">
        <f>"DHM202012090691"</f>
        <v>DHM202012090691</v>
      </c>
      <c r="F1602" t="str">
        <f>"AP - DENTAL HMO"</f>
        <v>AP - DENTAL HMO</v>
      </c>
      <c r="G1602" s="3">
        <v>33.590000000000003</v>
      </c>
      <c r="H1602" t="str">
        <f>"AP - DENTAL HMO"</f>
        <v>AP - DENTAL HMO</v>
      </c>
    </row>
    <row r="1603" spans="1:8" x14ac:dyDescent="0.25">
      <c r="E1603" t="str">
        <f>"DTX202012090691"</f>
        <v>DTX202012090691</v>
      </c>
      <c r="F1603" t="str">
        <f>"AP - TEXAS DENTAL"</f>
        <v>AP - TEXAS DENTAL</v>
      </c>
      <c r="G1603" s="3">
        <v>359.12</v>
      </c>
      <c r="H1603" t="str">
        <f>"AP - TEXAS DENTAL"</f>
        <v>AP - TEXAS DENTAL</v>
      </c>
    </row>
    <row r="1604" spans="1:8" x14ac:dyDescent="0.25">
      <c r="E1604" t="str">
        <f>"FD 202012090691"</f>
        <v>FD 202012090691</v>
      </c>
      <c r="F1604" t="str">
        <f>"AP - FT DEARBORN PRE-TAX"</f>
        <v>AP - FT DEARBORN PRE-TAX</v>
      </c>
      <c r="G1604" s="3">
        <v>91.21</v>
      </c>
      <c r="H1604" t="str">
        <f>"AP - FT DEARBORN PRE-TAX"</f>
        <v>AP - FT DEARBORN PRE-TAX</v>
      </c>
    </row>
    <row r="1605" spans="1:8" x14ac:dyDescent="0.25">
      <c r="E1605" t="str">
        <f>"FDT202012090691"</f>
        <v>FDT202012090691</v>
      </c>
      <c r="F1605" t="str">
        <f>"AP - FT DEARBORN AFTER TAX"</f>
        <v>AP - FT DEARBORN AFTER TAX</v>
      </c>
      <c r="G1605" s="3">
        <v>65.209999999999994</v>
      </c>
      <c r="H1605" t="str">
        <f>"AP - FT DEARBORN AFTER TAX"</f>
        <v>AP - FT DEARBORN AFTER TAX</v>
      </c>
    </row>
    <row r="1606" spans="1:8" x14ac:dyDescent="0.25">
      <c r="E1606" t="str">
        <f>"FLX202012090691"</f>
        <v>FLX202012090691</v>
      </c>
      <c r="F1606" t="str">
        <f>"AP - TEX FLEX"</f>
        <v>AP - TEX FLEX</v>
      </c>
      <c r="G1606" s="3">
        <v>94.5</v>
      </c>
      <c r="H1606" t="str">
        <f>"AP - TEX FLEX"</f>
        <v>AP - TEX FLEX</v>
      </c>
    </row>
    <row r="1607" spans="1:8" x14ac:dyDescent="0.25">
      <c r="E1607" t="str">
        <f>"HSA202012090691"</f>
        <v>HSA202012090691</v>
      </c>
      <c r="F1607" t="str">
        <f>"AP- HSA"</f>
        <v>AP- HSA</v>
      </c>
      <c r="G1607" s="3">
        <v>20</v>
      </c>
      <c r="H1607" t="str">
        <f>"AP- HSA"</f>
        <v>AP- HSA</v>
      </c>
    </row>
    <row r="1608" spans="1:8" x14ac:dyDescent="0.25">
      <c r="E1608" t="str">
        <f>"MHS202012090691"</f>
        <v>MHS202012090691</v>
      </c>
      <c r="F1608" t="str">
        <f>"AP - HEALTH SELECT MEDICAL"</f>
        <v>AP - HEALTH SELECT MEDICAL</v>
      </c>
      <c r="G1608" s="3">
        <v>837.83</v>
      </c>
      <c r="H1608" t="str">
        <f>"AP - HEALTH SELECT MEDICAL"</f>
        <v>AP - HEALTH SELECT MEDICAL</v>
      </c>
    </row>
    <row r="1609" spans="1:8" x14ac:dyDescent="0.25">
      <c r="E1609" t="str">
        <f>"MSW202012090691"</f>
        <v>MSW202012090691</v>
      </c>
      <c r="F1609" t="str">
        <f>"AP - SCOTT &amp; WHITE MEDICAL"</f>
        <v>AP - SCOTT &amp; WHITE MEDICAL</v>
      </c>
      <c r="G1609" s="3">
        <v>372.42</v>
      </c>
      <c r="H1609" t="str">
        <f>"AP - SCOTT &amp; WHITE MEDICAL"</f>
        <v>AP - SCOTT &amp; WHITE MEDICAL</v>
      </c>
    </row>
    <row r="1610" spans="1:8" x14ac:dyDescent="0.25">
      <c r="E1610" t="str">
        <f>"SPE202012090691"</f>
        <v>SPE202012090691</v>
      </c>
      <c r="F1610" t="str">
        <f>"AP - STATE VISION"</f>
        <v>AP - STATE VISION</v>
      </c>
      <c r="G1610" s="3">
        <v>61.22</v>
      </c>
      <c r="H1610" t="str">
        <f>"AP - STATE VISION"</f>
        <v>AP - STATE VISION</v>
      </c>
    </row>
    <row r="1611" spans="1:8" x14ac:dyDescent="0.25">
      <c r="A1611" t="s">
        <v>403</v>
      </c>
      <c r="B1611">
        <v>812</v>
      </c>
      <c r="C1611" s="3">
        <v>7820.8</v>
      </c>
      <c r="D1611" s="5">
        <v>44176</v>
      </c>
      <c r="E1611" t="str">
        <f>"CPI202012090689"</f>
        <v>CPI202012090689</v>
      </c>
      <c r="F1611" t="str">
        <f>"DEFERRED COMP 457B PAYABLE"</f>
        <v>DEFERRED COMP 457B PAYABLE</v>
      </c>
      <c r="G1611" s="3">
        <v>7725.8</v>
      </c>
      <c r="H1611" t="str">
        <f>"DEFERRED COMP 457B PAYABLE"</f>
        <v>DEFERRED COMP 457B PAYABLE</v>
      </c>
    </row>
    <row r="1612" spans="1:8" x14ac:dyDescent="0.25">
      <c r="E1612" t="str">
        <f>"CPI202012090690"</f>
        <v>CPI202012090690</v>
      </c>
      <c r="F1612" t="str">
        <f>"DEFERRED COMP 457B PAYABLE"</f>
        <v>DEFERRED COMP 457B PAYABLE</v>
      </c>
      <c r="G1612" s="3">
        <v>95</v>
      </c>
      <c r="H1612" t="str">
        <f>"DEFERRED COMP 457B PAYABLE"</f>
        <v>DEFERRED COMP 457B PAYABLE</v>
      </c>
    </row>
    <row r="1613" spans="1:8" x14ac:dyDescent="0.25">
      <c r="A1613" t="s">
        <v>404</v>
      </c>
      <c r="B1613">
        <v>813</v>
      </c>
      <c r="C1613" s="3">
        <v>4494.3999999999996</v>
      </c>
      <c r="D1613" s="5">
        <v>44176</v>
      </c>
      <c r="E1613" t="str">
        <f>"C2 202012090690"</f>
        <v>C2 202012090690</v>
      </c>
      <c r="F1613" t="str">
        <f>"0012982132CCL7445"</f>
        <v>0012982132CCL7445</v>
      </c>
      <c r="G1613" s="3">
        <v>692.31</v>
      </c>
      <c r="H1613" t="str">
        <f>"0012982132CCL7445"</f>
        <v>0012982132CCL7445</v>
      </c>
    </row>
    <row r="1614" spans="1:8" x14ac:dyDescent="0.25">
      <c r="E1614" t="str">
        <f>"C20202012090689"</f>
        <v>C20202012090689</v>
      </c>
      <c r="F1614" t="str">
        <f>"001003981107-12252"</f>
        <v>001003981107-12252</v>
      </c>
      <c r="G1614" s="3">
        <v>115.39</v>
      </c>
      <c r="H1614" t="str">
        <f>"001003981107-12252"</f>
        <v>001003981107-12252</v>
      </c>
    </row>
    <row r="1615" spans="1:8" x14ac:dyDescent="0.25">
      <c r="E1615" t="str">
        <f>"C42202012090689"</f>
        <v>C42202012090689</v>
      </c>
      <c r="F1615" t="str">
        <f>"001236769211-14410"</f>
        <v>001236769211-14410</v>
      </c>
      <c r="G1615" s="3">
        <v>230.31</v>
      </c>
      <c r="H1615" t="str">
        <f>"001236769211-14410"</f>
        <v>001236769211-14410</v>
      </c>
    </row>
    <row r="1616" spans="1:8" x14ac:dyDescent="0.25">
      <c r="E1616" t="str">
        <f>"C46202012090689"</f>
        <v>C46202012090689</v>
      </c>
      <c r="F1616" t="str">
        <f>"CAUSE# 11-14911"</f>
        <v>CAUSE# 11-14911</v>
      </c>
      <c r="G1616" s="3">
        <v>238.62</v>
      </c>
      <c r="H1616" t="str">
        <f>"CAUSE# 11-14911"</f>
        <v>CAUSE# 11-14911</v>
      </c>
    </row>
    <row r="1617" spans="1:8" x14ac:dyDescent="0.25">
      <c r="E1617" t="str">
        <f>"C60202012090689"</f>
        <v>C60202012090689</v>
      </c>
      <c r="F1617" t="str">
        <f>"00130730762012V300"</f>
        <v>00130730762012V300</v>
      </c>
      <c r="G1617" s="3">
        <v>399.32</v>
      </c>
      <c r="H1617" t="str">
        <f>"00130730762012V300"</f>
        <v>00130730762012V300</v>
      </c>
    </row>
    <row r="1618" spans="1:8" x14ac:dyDescent="0.25">
      <c r="E1618" t="str">
        <f>"C62202012090689"</f>
        <v>C62202012090689</v>
      </c>
      <c r="F1618" t="str">
        <f>"# 0012128865"</f>
        <v># 0012128865</v>
      </c>
      <c r="G1618" s="3">
        <v>243.23</v>
      </c>
      <c r="H1618" t="str">
        <f>"# 0012128865"</f>
        <v># 0012128865</v>
      </c>
    </row>
    <row r="1619" spans="1:8" x14ac:dyDescent="0.25">
      <c r="E1619" t="str">
        <f>"C66202012090689"</f>
        <v>C66202012090689</v>
      </c>
      <c r="F1619" t="str">
        <f>"# 0012871801"</f>
        <v># 0012871801</v>
      </c>
      <c r="G1619" s="3">
        <v>90</v>
      </c>
      <c r="H1619" t="str">
        <f>"# 0012871801"</f>
        <v># 0012871801</v>
      </c>
    </row>
    <row r="1620" spans="1:8" x14ac:dyDescent="0.25">
      <c r="E1620" t="str">
        <f>"C67202012090689"</f>
        <v>C67202012090689</v>
      </c>
      <c r="F1620" t="str">
        <f>"13154657"</f>
        <v>13154657</v>
      </c>
      <c r="G1620" s="3">
        <v>101.99</v>
      </c>
      <c r="H1620" t="str">
        <f>"13154657"</f>
        <v>13154657</v>
      </c>
    </row>
    <row r="1621" spans="1:8" x14ac:dyDescent="0.25">
      <c r="E1621" t="str">
        <f>"C69202012090689"</f>
        <v>C69202012090689</v>
      </c>
      <c r="F1621" t="str">
        <f>"0012046911423672"</f>
        <v>0012046911423672</v>
      </c>
      <c r="G1621" s="3">
        <v>187.38</v>
      </c>
      <c r="H1621" t="str">
        <f>"0012046911423672"</f>
        <v>0012046911423672</v>
      </c>
    </row>
    <row r="1622" spans="1:8" x14ac:dyDescent="0.25">
      <c r="E1622" t="str">
        <f>"C71202012090689"</f>
        <v>C71202012090689</v>
      </c>
      <c r="F1622" t="str">
        <f>"00137390532018V215"</f>
        <v>00137390532018V215</v>
      </c>
      <c r="G1622" s="3">
        <v>264</v>
      </c>
      <c r="H1622" t="str">
        <f>"00137390532018V215"</f>
        <v>00137390532018V215</v>
      </c>
    </row>
    <row r="1623" spans="1:8" x14ac:dyDescent="0.25">
      <c r="E1623" t="str">
        <f>"C72202012090689"</f>
        <v>C72202012090689</v>
      </c>
      <c r="F1623" t="str">
        <f>"0012797601C20130529B"</f>
        <v>0012797601C20130529B</v>
      </c>
      <c r="G1623" s="3">
        <v>241.85</v>
      </c>
      <c r="H1623" t="str">
        <f>"0012797601C20130529B"</f>
        <v>0012797601C20130529B</v>
      </c>
    </row>
    <row r="1624" spans="1:8" x14ac:dyDescent="0.25">
      <c r="E1624" t="str">
        <f>"C78202012090689"</f>
        <v>C78202012090689</v>
      </c>
      <c r="F1624" t="str">
        <f>"00105115972005106221"</f>
        <v>00105115972005106221</v>
      </c>
      <c r="G1624" s="3">
        <v>144.68</v>
      </c>
      <c r="H1624" t="str">
        <f>"00105115972005106221"</f>
        <v>00105115972005106221</v>
      </c>
    </row>
    <row r="1625" spans="1:8" x14ac:dyDescent="0.25">
      <c r="E1625" t="str">
        <f>"C83202012090689"</f>
        <v>C83202012090689</v>
      </c>
      <c r="F1625" t="str">
        <f>"0013096953150533"</f>
        <v>0013096953150533</v>
      </c>
      <c r="G1625" s="3">
        <v>346.15</v>
      </c>
      <c r="H1625" t="str">
        <f>"0013096953150533"</f>
        <v>0013096953150533</v>
      </c>
    </row>
    <row r="1626" spans="1:8" x14ac:dyDescent="0.25">
      <c r="E1626" t="str">
        <f>"C84202012090689"</f>
        <v>C84202012090689</v>
      </c>
      <c r="F1626" t="str">
        <f>"00128499834232566"</f>
        <v>00128499834232566</v>
      </c>
      <c r="G1626" s="3">
        <v>439.94</v>
      </c>
      <c r="H1626" t="str">
        <f>"00128499834232566"</f>
        <v>00128499834232566</v>
      </c>
    </row>
    <row r="1627" spans="1:8" x14ac:dyDescent="0.25">
      <c r="E1627" t="str">
        <f>"C85202012090689"</f>
        <v>C85202012090689</v>
      </c>
      <c r="F1627" t="str">
        <f>"0012469425201770874"</f>
        <v>0012469425201770874</v>
      </c>
      <c r="G1627" s="3">
        <v>138.46</v>
      </c>
      <c r="H1627" t="str">
        <f>"0012469425201770874"</f>
        <v>0012469425201770874</v>
      </c>
    </row>
    <row r="1628" spans="1:8" x14ac:dyDescent="0.25">
      <c r="E1628" t="str">
        <f>"C86202012090689"</f>
        <v>C86202012090689</v>
      </c>
      <c r="F1628" t="str">
        <f>"0013854015101285F"</f>
        <v>0013854015101285F</v>
      </c>
      <c r="G1628" s="3">
        <v>241.85</v>
      </c>
      <c r="H1628" t="str">
        <f>"0013854015101285F"</f>
        <v>0013854015101285F</v>
      </c>
    </row>
    <row r="1629" spans="1:8" x14ac:dyDescent="0.25">
      <c r="E1629" t="str">
        <f>"C87202012090689"</f>
        <v>C87202012090689</v>
      </c>
      <c r="F1629" t="str">
        <f>"0012963634L130019CVB"</f>
        <v>0012963634L130019CVB</v>
      </c>
      <c r="G1629" s="3">
        <v>249.23</v>
      </c>
      <c r="H1629" t="str">
        <f>"0012963634L130019CVB"</f>
        <v>0012963634L130019CVB</v>
      </c>
    </row>
    <row r="1630" spans="1:8" x14ac:dyDescent="0.25">
      <c r="E1630" t="str">
        <f>"C89202012090689"</f>
        <v>C89202012090689</v>
      </c>
      <c r="F1630" t="str">
        <f>"00127760434232477"</f>
        <v>00127760434232477</v>
      </c>
      <c r="G1630" s="3">
        <v>129.69</v>
      </c>
      <c r="H1630" t="str">
        <f>"00127760434232477"</f>
        <v>00127760434232477</v>
      </c>
    </row>
    <row r="1631" spans="1:8" x14ac:dyDescent="0.25">
      <c r="A1631" t="s">
        <v>405</v>
      </c>
      <c r="B1631">
        <v>814</v>
      </c>
      <c r="C1631" s="3">
        <v>11207.78</v>
      </c>
      <c r="D1631" s="5">
        <v>44176</v>
      </c>
      <c r="E1631" t="str">
        <f>"FSA202012090689"</f>
        <v>FSA202012090689</v>
      </c>
      <c r="F1631" t="str">
        <f>"TASC FSA"</f>
        <v>TASC FSA</v>
      </c>
      <c r="G1631" s="3">
        <v>7134.26</v>
      </c>
      <c r="H1631" t="str">
        <f>"TASC FSA"</f>
        <v>TASC FSA</v>
      </c>
    </row>
    <row r="1632" spans="1:8" x14ac:dyDescent="0.25">
      <c r="E1632" t="str">
        <f>"FSA202012090690"</f>
        <v>FSA202012090690</v>
      </c>
      <c r="F1632" t="str">
        <f>"TASC FSA"</f>
        <v>TASC FSA</v>
      </c>
      <c r="G1632" s="3">
        <v>443.32</v>
      </c>
      <c r="H1632" t="str">
        <f>"TASC FSA"</f>
        <v>TASC FSA</v>
      </c>
    </row>
    <row r="1633" spans="5:8" x14ac:dyDescent="0.25">
      <c r="E1633" t="str">
        <f>"FSC202012090689"</f>
        <v>FSC202012090689</v>
      </c>
      <c r="F1633" t="str">
        <f>"TASC DEPENDENT CARE"</f>
        <v>TASC DEPENDENT CARE</v>
      </c>
      <c r="G1633" s="3">
        <v>50</v>
      </c>
      <c r="H1633" t="str">
        <f>"TASC DEPENDENT CARE"</f>
        <v>TASC DEPENDENT CARE</v>
      </c>
    </row>
    <row r="1634" spans="5:8" x14ac:dyDescent="0.25">
      <c r="E1634" t="str">
        <f>"FSF202012090689"</f>
        <v>FSF202012090689</v>
      </c>
      <c r="F1634" t="str">
        <f>"TASC - FSA  FEES"</f>
        <v>TASC - FSA  FEES</v>
      </c>
      <c r="G1634" s="3">
        <v>241.2</v>
      </c>
      <c r="H1634" t="str">
        <f t="shared" ref="H1634:H1673" si="15">"TASC - FSA  FEES"</f>
        <v>TASC - FSA  FEES</v>
      </c>
    </row>
    <row r="1635" spans="5:8" x14ac:dyDescent="0.25">
      <c r="E1635" t="str">
        <f>""</f>
        <v/>
      </c>
      <c r="F1635" t="str">
        <f>""</f>
        <v/>
      </c>
      <c r="H1635" t="str">
        <f t="shared" si="15"/>
        <v>TASC - FSA  FEES</v>
      </c>
    </row>
    <row r="1636" spans="5:8" x14ac:dyDescent="0.25">
      <c r="E1636" t="str">
        <f>""</f>
        <v/>
      </c>
      <c r="F1636" t="str">
        <f>""</f>
        <v/>
      </c>
      <c r="H1636" t="str">
        <f t="shared" si="15"/>
        <v>TASC - FSA  FEES</v>
      </c>
    </row>
    <row r="1637" spans="5:8" x14ac:dyDescent="0.25">
      <c r="E1637" t="str">
        <f>""</f>
        <v/>
      </c>
      <c r="F1637" t="str">
        <f>""</f>
        <v/>
      </c>
      <c r="H1637" t="str">
        <f t="shared" si="15"/>
        <v>TASC - FSA  FEES</v>
      </c>
    </row>
    <row r="1638" spans="5:8" x14ac:dyDescent="0.25">
      <c r="E1638" t="str">
        <f>""</f>
        <v/>
      </c>
      <c r="F1638" t="str">
        <f>""</f>
        <v/>
      </c>
      <c r="H1638" t="str">
        <f t="shared" si="15"/>
        <v>TASC - FSA  FEES</v>
      </c>
    </row>
    <row r="1639" spans="5:8" x14ac:dyDescent="0.25">
      <c r="E1639" t="str">
        <f>""</f>
        <v/>
      </c>
      <c r="F1639" t="str">
        <f>""</f>
        <v/>
      </c>
      <c r="H1639" t="str">
        <f t="shared" si="15"/>
        <v>TASC - FSA  FEES</v>
      </c>
    </row>
    <row r="1640" spans="5:8" x14ac:dyDescent="0.25">
      <c r="E1640" t="str">
        <f>""</f>
        <v/>
      </c>
      <c r="F1640" t="str">
        <f>""</f>
        <v/>
      </c>
      <c r="H1640" t="str">
        <f t="shared" si="15"/>
        <v>TASC - FSA  FEES</v>
      </c>
    </row>
    <row r="1641" spans="5:8" x14ac:dyDescent="0.25">
      <c r="E1641" t="str">
        <f>""</f>
        <v/>
      </c>
      <c r="F1641" t="str">
        <f>""</f>
        <v/>
      </c>
      <c r="H1641" t="str">
        <f t="shared" si="15"/>
        <v>TASC - FSA  FEES</v>
      </c>
    </row>
    <row r="1642" spans="5:8" x14ac:dyDescent="0.25">
      <c r="E1642" t="str">
        <f>""</f>
        <v/>
      </c>
      <c r="F1642" t="str">
        <f>""</f>
        <v/>
      </c>
      <c r="H1642" t="str">
        <f t="shared" si="15"/>
        <v>TASC - FSA  FEES</v>
      </c>
    </row>
    <row r="1643" spans="5:8" x14ac:dyDescent="0.25">
      <c r="E1643" t="str">
        <f>""</f>
        <v/>
      </c>
      <c r="F1643" t="str">
        <f>""</f>
        <v/>
      </c>
      <c r="H1643" t="str">
        <f t="shared" si="15"/>
        <v>TASC - FSA  FEES</v>
      </c>
    </row>
    <row r="1644" spans="5:8" x14ac:dyDescent="0.25">
      <c r="E1644" t="str">
        <f>""</f>
        <v/>
      </c>
      <c r="F1644" t="str">
        <f>""</f>
        <v/>
      </c>
      <c r="H1644" t="str">
        <f t="shared" si="15"/>
        <v>TASC - FSA  FEES</v>
      </c>
    </row>
    <row r="1645" spans="5:8" x14ac:dyDescent="0.25">
      <c r="E1645" t="str">
        <f>""</f>
        <v/>
      </c>
      <c r="F1645" t="str">
        <f>""</f>
        <v/>
      </c>
      <c r="H1645" t="str">
        <f t="shared" si="15"/>
        <v>TASC - FSA  FEES</v>
      </c>
    </row>
    <row r="1646" spans="5:8" x14ac:dyDescent="0.25">
      <c r="E1646" t="str">
        <f>""</f>
        <v/>
      </c>
      <c r="F1646" t="str">
        <f>""</f>
        <v/>
      </c>
      <c r="H1646" t="str">
        <f t="shared" si="15"/>
        <v>TASC - FSA  FEES</v>
      </c>
    </row>
    <row r="1647" spans="5:8" x14ac:dyDescent="0.25">
      <c r="E1647" t="str">
        <f>""</f>
        <v/>
      </c>
      <c r="F1647" t="str">
        <f>""</f>
        <v/>
      </c>
      <c r="H1647" t="str">
        <f t="shared" si="15"/>
        <v>TASC - FSA  FEES</v>
      </c>
    </row>
    <row r="1648" spans="5:8" x14ac:dyDescent="0.25">
      <c r="E1648" t="str">
        <f>""</f>
        <v/>
      </c>
      <c r="F1648" t="str">
        <f>""</f>
        <v/>
      </c>
      <c r="H1648" t="str">
        <f t="shared" si="15"/>
        <v>TASC - FSA  FEES</v>
      </c>
    </row>
    <row r="1649" spans="5:8" x14ac:dyDescent="0.25">
      <c r="E1649" t="str">
        <f>""</f>
        <v/>
      </c>
      <c r="F1649" t="str">
        <f>""</f>
        <v/>
      </c>
      <c r="H1649" t="str">
        <f t="shared" si="15"/>
        <v>TASC - FSA  FEES</v>
      </c>
    </row>
    <row r="1650" spans="5:8" x14ac:dyDescent="0.25">
      <c r="E1650" t="str">
        <f>""</f>
        <v/>
      </c>
      <c r="F1650" t="str">
        <f>""</f>
        <v/>
      </c>
      <c r="H1650" t="str">
        <f t="shared" si="15"/>
        <v>TASC - FSA  FEES</v>
      </c>
    </row>
    <row r="1651" spans="5:8" x14ac:dyDescent="0.25">
      <c r="E1651" t="str">
        <f>""</f>
        <v/>
      </c>
      <c r="F1651" t="str">
        <f>""</f>
        <v/>
      </c>
      <c r="H1651" t="str">
        <f t="shared" si="15"/>
        <v>TASC - FSA  FEES</v>
      </c>
    </row>
    <row r="1652" spans="5:8" x14ac:dyDescent="0.25">
      <c r="E1652" t="str">
        <f>""</f>
        <v/>
      </c>
      <c r="F1652" t="str">
        <f>""</f>
        <v/>
      </c>
      <c r="H1652" t="str">
        <f t="shared" si="15"/>
        <v>TASC - FSA  FEES</v>
      </c>
    </row>
    <row r="1653" spans="5:8" x14ac:dyDescent="0.25">
      <c r="E1653" t="str">
        <f>""</f>
        <v/>
      </c>
      <c r="F1653" t="str">
        <f>""</f>
        <v/>
      </c>
      <c r="H1653" t="str">
        <f t="shared" si="15"/>
        <v>TASC - FSA  FEES</v>
      </c>
    </row>
    <row r="1654" spans="5:8" x14ac:dyDescent="0.25">
      <c r="E1654" t="str">
        <f>""</f>
        <v/>
      </c>
      <c r="F1654" t="str">
        <f>""</f>
        <v/>
      </c>
      <c r="H1654" t="str">
        <f t="shared" si="15"/>
        <v>TASC - FSA  FEES</v>
      </c>
    </row>
    <row r="1655" spans="5:8" x14ac:dyDescent="0.25">
      <c r="E1655" t="str">
        <f>""</f>
        <v/>
      </c>
      <c r="F1655" t="str">
        <f>""</f>
        <v/>
      </c>
      <c r="H1655" t="str">
        <f t="shared" si="15"/>
        <v>TASC - FSA  FEES</v>
      </c>
    </row>
    <row r="1656" spans="5:8" x14ac:dyDescent="0.25">
      <c r="E1656" t="str">
        <f>""</f>
        <v/>
      </c>
      <c r="F1656" t="str">
        <f>""</f>
        <v/>
      </c>
      <c r="H1656" t="str">
        <f t="shared" si="15"/>
        <v>TASC - FSA  FEES</v>
      </c>
    </row>
    <row r="1657" spans="5:8" x14ac:dyDescent="0.25">
      <c r="E1657" t="str">
        <f>""</f>
        <v/>
      </c>
      <c r="F1657" t="str">
        <f>""</f>
        <v/>
      </c>
      <c r="H1657" t="str">
        <f t="shared" si="15"/>
        <v>TASC - FSA  FEES</v>
      </c>
    </row>
    <row r="1658" spans="5:8" x14ac:dyDescent="0.25">
      <c r="E1658" t="str">
        <f>""</f>
        <v/>
      </c>
      <c r="F1658" t="str">
        <f>""</f>
        <v/>
      </c>
      <c r="H1658" t="str">
        <f t="shared" si="15"/>
        <v>TASC - FSA  FEES</v>
      </c>
    </row>
    <row r="1659" spans="5:8" x14ac:dyDescent="0.25">
      <c r="E1659" t="str">
        <f>""</f>
        <v/>
      </c>
      <c r="F1659" t="str">
        <f>""</f>
        <v/>
      </c>
      <c r="H1659" t="str">
        <f t="shared" si="15"/>
        <v>TASC - FSA  FEES</v>
      </c>
    </row>
    <row r="1660" spans="5:8" x14ac:dyDescent="0.25">
      <c r="E1660" t="str">
        <f>""</f>
        <v/>
      </c>
      <c r="F1660" t="str">
        <f>""</f>
        <v/>
      </c>
      <c r="H1660" t="str">
        <f t="shared" si="15"/>
        <v>TASC - FSA  FEES</v>
      </c>
    </row>
    <row r="1661" spans="5:8" x14ac:dyDescent="0.25">
      <c r="E1661" t="str">
        <f>""</f>
        <v/>
      </c>
      <c r="F1661" t="str">
        <f>""</f>
        <v/>
      </c>
      <c r="H1661" t="str">
        <f t="shared" si="15"/>
        <v>TASC - FSA  FEES</v>
      </c>
    </row>
    <row r="1662" spans="5:8" x14ac:dyDescent="0.25">
      <c r="E1662" t="str">
        <f>""</f>
        <v/>
      </c>
      <c r="F1662" t="str">
        <f>""</f>
        <v/>
      </c>
      <c r="H1662" t="str">
        <f t="shared" si="15"/>
        <v>TASC - FSA  FEES</v>
      </c>
    </row>
    <row r="1663" spans="5:8" x14ac:dyDescent="0.25">
      <c r="E1663" t="str">
        <f>""</f>
        <v/>
      </c>
      <c r="F1663" t="str">
        <f>""</f>
        <v/>
      </c>
      <c r="H1663" t="str">
        <f t="shared" si="15"/>
        <v>TASC - FSA  FEES</v>
      </c>
    </row>
    <row r="1664" spans="5:8" x14ac:dyDescent="0.25">
      <c r="E1664" t="str">
        <f>""</f>
        <v/>
      </c>
      <c r="F1664" t="str">
        <f>""</f>
        <v/>
      </c>
      <c r="H1664" t="str">
        <f t="shared" si="15"/>
        <v>TASC - FSA  FEES</v>
      </c>
    </row>
    <row r="1665" spans="5:8" x14ac:dyDescent="0.25">
      <c r="E1665" t="str">
        <f>""</f>
        <v/>
      </c>
      <c r="F1665" t="str">
        <f>""</f>
        <v/>
      </c>
      <c r="H1665" t="str">
        <f t="shared" si="15"/>
        <v>TASC - FSA  FEES</v>
      </c>
    </row>
    <row r="1666" spans="5:8" x14ac:dyDescent="0.25">
      <c r="E1666" t="str">
        <f>""</f>
        <v/>
      </c>
      <c r="F1666" t="str">
        <f>""</f>
        <v/>
      </c>
      <c r="H1666" t="str">
        <f t="shared" si="15"/>
        <v>TASC - FSA  FEES</v>
      </c>
    </row>
    <row r="1667" spans="5:8" x14ac:dyDescent="0.25">
      <c r="E1667" t="str">
        <f>""</f>
        <v/>
      </c>
      <c r="F1667" t="str">
        <f>""</f>
        <v/>
      </c>
      <c r="H1667" t="str">
        <f t="shared" si="15"/>
        <v>TASC - FSA  FEES</v>
      </c>
    </row>
    <row r="1668" spans="5:8" x14ac:dyDescent="0.25">
      <c r="E1668" t="str">
        <f>""</f>
        <v/>
      </c>
      <c r="F1668" t="str">
        <f>""</f>
        <v/>
      </c>
      <c r="H1668" t="str">
        <f t="shared" si="15"/>
        <v>TASC - FSA  FEES</v>
      </c>
    </row>
    <row r="1669" spans="5:8" x14ac:dyDescent="0.25">
      <c r="E1669" t="str">
        <f>""</f>
        <v/>
      </c>
      <c r="F1669" t="str">
        <f>""</f>
        <v/>
      </c>
      <c r="H1669" t="str">
        <f t="shared" si="15"/>
        <v>TASC - FSA  FEES</v>
      </c>
    </row>
    <row r="1670" spans="5:8" x14ac:dyDescent="0.25">
      <c r="E1670" t="str">
        <f>""</f>
        <v/>
      </c>
      <c r="F1670" t="str">
        <f>""</f>
        <v/>
      </c>
      <c r="H1670" t="str">
        <f t="shared" si="15"/>
        <v>TASC - FSA  FEES</v>
      </c>
    </row>
    <row r="1671" spans="5:8" x14ac:dyDescent="0.25">
      <c r="E1671" t="str">
        <f>""</f>
        <v/>
      </c>
      <c r="F1671" t="str">
        <f>""</f>
        <v/>
      </c>
      <c r="H1671" t="str">
        <f t="shared" si="15"/>
        <v>TASC - FSA  FEES</v>
      </c>
    </row>
    <row r="1672" spans="5:8" x14ac:dyDescent="0.25">
      <c r="E1672" t="str">
        <f>""</f>
        <v/>
      </c>
      <c r="F1672" t="str">
        <f>""</f>
        <v/>
      </c>
      <c r="H1672" t="str">
        <f t="shared" si="15"/>
        <v>TASC - FSA  FEES</v>
      </c>
    </row>
    <row r="1673" spans="5:8" x14ac:dyDescent="0.25">
      <c r="E1673" t="str">
        <f>"FSF202012090690"</f>
        <v>FSF202012090690</v>
      </c>
      <c r="F1673" t="str">
        <f>"TASC - FSA  FEES"</f>
        <v>TASC - FSA  FEES</v>
      </c>
      <c r="G1673" s="3">
        <v>12.6</v>
      </c>
      <c r="H1673" t="str">
        <f t="shared" si="15"/>
        <v>TASC - FSA  FEES</v>
      </c>
    </row>
    <row r="1674" spans="5:8" x14ac:dyDescent="0.25">
      <c r="E1674" t="str">
        <f>"HRA202012090689"</f>
        <v>HRA202012090689</v>
      </c>
      <c r="F1674" t="str">
        <f>"TASC HRA"</f>
        <v>TASC HRA</v>
      </c>
      <c r="G1674" s="3">
        <v>2500.1999999999998</v>
      </c>
      <c r="H1674" t="str">
        <f>"TASC HRA"</f>
        <v>TASC HRA</v>
      </c>
    </row>
    <row r="1675" spans="5:8" x14ac:dyDescent="0.25">
      <c r="E1675" t="str">
        <f>""</f>
        <v/>
      </c>
      <c r="F1675" t="str">
        <f>""</f>
        <v/>
      </c>
      <c r="H1675" t="str">
        <f>"TASC HRA"</f>
        <v>TASC HRA</v>
      </c>
    </row>
    <row r="1676" spans="5:8" x14ac:dyDescent="0.25">
      <c r="E1676" t="str">
        <f>""</f>
        <v/>
      </c>
      <c r="F1676" t="str">
        <f>""</f>
        <v/>
      </c>
      <c r="H1676" t="str">
        <f>"TASC HRA"</f>
        <v>TASC HRA</v>
      </c>
    </row>
    <row r="1677" spans="5:8" x14ac:dyDescent="0.25">
      <c r="E1677" t="str">
        <f>""</f>
        <v/>
      </c>
      <c r="F1677" t="str">
        <f>""</f>
        <v/>
      </c>
      <c r="H1677" t="str">
        <f>"TASC HRA"</f>
        <v>TASC HRA</v>
      </c>
    </row>
    <row r="1678" spans="5:8" x14ac:dyDescent="0.25">
      <c r="E1678" t="str">
        <f>"HRF202012090689"</f>
        <v>HRF202012090689</v>
      </c>
      <c r="F1678" t="str">
        <f>"TASC - HRA FEES"</f>
        <v>TASC - HRA FEES</v>
      </c>
      <c r="G1678" s="3">
        <v>799.2</v>
      </c>
      <c r="H1678" t="str">
        <f t="shared" ref="H1678:H1709" si="16">"TASC - HRA FEES"</f>
        <v>TASC - HRA FEES</v>
      </c>
    </row>
    <row r="1679" spans="5:8" x14ac:dyDescent="0.25">
      <c r="E1679" t="str">
        <f>""</f>
        <v/>
      </c>
      <c r="F1679" t="str">
        <f>""</f>
        <v/>
      </c>
      <c r="H1679" t="str">
        <f t="shared" si="16"/>
        <v>TASC - HRA FEES</v>
      </c>
    </row>
    <row r="1680" spans="5:8" x14ac:dyDescent="0.25">
      <c r="E1680" t="str">
        <f>""</f>
        <v/>
      </c>
      <c r="F1680" t="str">
        <f>""</f>
        <v/>
      </c>
      <c r="H1680" t="str">
        <f t="shared" si="16"/>
        <v>TASC - HRA FEES</v>
      </c>
    </row>
    <row r="1681" spans="5:8" x14ac:dyDescent="0.25">
      <c r="E1681" t="str">
        <f>""</f>
        <v/>
      </c>
      <c r="F1681" t="str">
        <f>""</f>
        <v/>
      </c>
      <c r="H1681" t="str">
        <f t="shared" si="16"/>
        <v>TASC - HRA FEES</v>
      </c>
    </row>
    <row r="1682" spans="5:8" x14ac:dyDescent="0.25">
      <c r="E1682" t="str">
        <f>""</f>
        <v/>
      </c>
      <c r="F1682" t="str">
        <f>""</f>
        <v/>
      </c>
      <c r="H1682" t="str">
        <f t="shared" si="16"/>
        <v>TASC - HRA FEES</v>
      </c>
    </row>
    <row r="1683" spans="5:8" x14ac:dyDescent="0.25">
      <c r="E1683" t="str">
        <f>""</f>
        <v/>
      </c>
      <c r="F1683" t="str">
        <f>""</f>
        <v/>
      </c>
      <c r="H1683" t="str">
        <f t="shared" si="16"/>
        <v>TASC - HRA FEES</v>
      </c>
    </row>
    <row r="1684" spans="5:8" x14ac:dyDescent="0.25">
      <c r="E1684" t="str">
        <f>""</f>
        <v/>
      </c>
      <c r="F1684" t="str">
        <f>""</f>
        <v/>
      </c>
      <c r="H1684" t="str">
        <f t="shared" si="16"/>
        <v>TASC - HRA FEES</v>
      </c>
    </row>
    <row r="1685" spans="5:8" x14ac:dyDescent="0.25">
      <c r="E1685" t="str">
        <f>""</f>
        <v/>
      </c>
      <c r="F1685" t="str">
        <f>""</f>
        <v/>
      </c>
      <c r="H1685" t="str">
        <f t="shared" si="16"/>
        <v>TASC - HRA FEES</v>
      </c>
    </row>
    <row r="1686" spans="5:8" x14ac:dyDescent="0.25">
      <c r="E1686" t="str">
        <f>""</f>
        <v/>
      </c>
      <c r="F1686" t="str">
        <f>""</f>
        <v/>
      </c>
      <c r="H1686" t="str">
        <f t="shared" si="16"/>
        <v>TASC - HRA FEES</v>
      </c>
    </row>
    <row r="1687" spans="5:8" x14ac:dyDescent="0.25">
      <c r="E1687" t="str">
        <f>""</f>
        <v/>
      </c>
      <c r="F1687" t="str">
        <f>""</f>
        <v/>
      </c>
      <c r="H1687" t="str">
        <f t="shared" si="16"/>
        <v>TASC - HRA FEES</v>
      </c>
    </row>
    <row r="1688" spans="5:8" x14ac:dyDescent="0.25">
      <c r="E1688" t="str">
        <f>""</f>
        <v/>
      </c>
      <c r="F1688" t="str">
        <f>""</f>
        <v/>
      </c>
      <c r="H1688" t="str">
        <f t="shared" si="16"/>
        <v>TASC - HRA FEES</v>
      </c>
    </row>
    <row r="1689" spans="5:8" x14ac:dyDescent="0.25">
      <c r="E1689" t="str">
        <f>""</f>
        <v/>
      </c>
      <c r="F1689" t="str">
        <f>""</f>
        <v/>
      </c>
      <c r="H1689" t="str">
        <f t="shared" si="16"/>
        <v>TASC - HRA FEES</v>
      </c>
    </row>
    <row r="1690" spans="5:8" x14ac:dyDescent="0.25">
      <c r="E1690" t="str">
        <f>""</f>
        <v/>
      </c>
      <c r="F1690" t="str">
        <f>""</f>
        <v/>
      </c>
      <c r="H1690" t="str">
        <f t="shared" si="16"/>
        <v>TASC - HRA FEES</v>
      </c>
    </row>
    <row r="1691" spans="5:8" x14ac:dyDescent="0.25">
      <c r="E1691" t="str">
        <f>""</f>
        <v/>
      </c>
      <c r="F1691" t="str">
        <f>""</f>
        <v/>
      </c>
      <c r="H1691" t="str">
        <f t="shared" si="16"/>
        <v>TASC - HRA FEES</v>
      </c>
    </row>
    <row r="1692" spans="5:8" x14ac:dyDescent="0.25">
      <c r="E1692" t="str">
        <f>""</f>
        <v/>
      </c>
      <c r="F1692" t="str">
        <f>""</f>
        <v/>
      </c>
      <c r="H1692" t="str">
        <f t="shared" si="16"/>
        <v>TASC - HRA FEES</v>
      </c>
    </row>
    <row r="1693" spans="5:8" x14ac:dyDescent="0.25">
      <c r="E1693" t="str">
        <f>""</f>
        <v/>
      </c>
      <c r="F1693" t="str">
        <f>""</f>
        <v/>
      </c>
      <c r="H1693" t="str">
        <f t="shared" si="16"/>
        <v>TASC - HRA FEES</v>
      </c>
    </row>
    <row r="1694" spans="5:8" x14ac:dyDescent="0.25">
      <c r="E1694" t="str">
        <f>""</f>
        <v/>
      </c>
      <c r="F1694" t="str">
        <f>""</f>
        <v/>
      </c>
      <c r="H1694" t="str">
        <f t="shared" si="16"/>
        <v>TASC - HRA FEES</v>
      </c>
    </row>
    <row r="1695" spans="5:8" x14ac:dyDescent="0.25">
      <c r="E1695" t="str">
        <f>""</f>
        <v/>
      </c>
      <c r="F1695" t="str">
        <f>""</f>
        <v/>
      </c>
      <c r="H1695" t="str">
        <f t="shared" si="16"/>
        <v>TASC - HRA FEES</v>
      </c>
    </row>
    <row r="1696" spans="5:8" x14ac:dyDescent="0.25">
      <c r="E1696" t="str">
        <f>""</f>
        <v/>
      </c>
      <c r="F1696" t="str">
        <f>""</f>
        <v/>
      </c>
      <c r="H1696" t="str">
        <f t="shared" si="16"/>
        <v>TASC - HRA FEES</v>
      </c>
    </row>
    <row r="1697" spans="5:8" x14ac:dyDescent="0.25">
      <c r="E1697" t="str">
        <f>""</f>
        <v/>
      </c>
      <c r="F1697" t="str">
        <f>""</f>
        <v/>
      </c>
      <c r="H1697" t="str">
        <f t="shared" si="16"/>
        <v>TASC - HRA FEES</v>
      </c>
    </row>
    <row r="1698" spans="5:8" x14ac:dyDescent="0.25">
      <c r="E1698" t="str">
        <f>""</f>
        <v/>
      </c>
      <c r="F1698" t="str">
        <f>""</f>
        <v/>
      </c>
      <c r="H1698" t="str">
        <f t="shared" si="16"/>
        <v>TASC - HRA FEES</v>
      </c>
    </row>
    <row r="1699" spans="5:8" x14ac:dyDescent="0.25">
      <c r="E1699" t="str">
        <f>""</f>
        <v/>
      </c>
      <c r="F1699" t="str">
        <f>""</f>
        <v/>
      </c>
      <c r="H1699" t="str">
        <f t="shared" si="16"/>
        <v>TASC - HRA FEES</v>
      </c>
    </row>
    <row r="1700" spans="5:8" x14ac:dyDescent="0.25">
      <c r="E1700" t="str">
        <f>""</f>
        <v/>
      </c>
      <c r="F1700" t="str">
        <f>""</f>
        <v/>
      </c>
      <c r="H1700" t="str">
        <f t="shared" si="16"/>
        <v>TASC - HRA FEES</v>
      </c>
    </row>
    <row r="1701" spans="5:8" x14ac:dyDescent="0.25">
      <c r="E1701" t="str">
        <f>""</f>
        <v/>
      </c>
      <c r="F1701" t="str">
        <f>""</f>
        <v/>
      </c>
      <c r="H1701" t="str">
        <f t="shared" si="16"/>
        <v>TASC - HRA FEES</v>
      </c>
    </row>
    <row r="1702" spans="5:8" x14ac:dyDescent="0.25">
      <c r="E1702" t="str">
        <f>""</f>
        <v/>
      </c>
      <c r="F1702" t="str">
        <f>""</f>
        <v/>
      </c>
      <c r="H1702" t="str">
        <f t="shared" si="16"/>
        <v>TASC - HRA FEES</v>
      </c>
    </row>
    <row r="1703" spans="5:8" x14ac:dyDescent="0.25">
      <c r="E1703" t="str">
        <f>""</f>
        <v/>
      </c>
      <c r="F1703" t="str">
        <f>""</f>
        <v/>
      </c>
      <c r="H1703" t="str">
        <f t="shared" si="16"/>
        <v>TASC - HRA FEES</v>
      </c>
    </row>
    <row r="1704" spans="5:8" x14ac:dyDescent="0.25">
      <c r="E1704" t="str">
        <f>""</f>
        <v/>
      </c>
      <c r="F1704" t="str">
        <f>""</f>
        <v/>
      </c>
      <c r="H1704" t="str">
        <f t="shared" si="16"/>
        <v>TASC - HRA FEES</v>
      </c>
    </row>
    <row r="1705" spans="5:8" x14ac:dyDescent="0.25">
      <c r="E1705" t="str">
        <f>""</f>
        <v/>
      </c>
      <c r="F1705" t="str">
        <f>""</f>
        <v/>
      </c>
      <c r="H1705" t="str">
        <f t="shared" si="16"/>
        <v>TASC - HRA FEES</v>
      </c>
    </row>
    <row r="1706" spans="5:8" x14ac:dyDescent="0.25">
      <c r="E1706" t="str">
        <f>""</f>
        <v/>
      </c>
      <c r="F1706" t="str">
        <f>""</f>
        <v/>
      </c>
      <c r="H1706" t="str">
        <f t="shared" si="16"/>
        <v>TASC - HRA FEES</v>
      </c>
    </row>
    <row r="1707" spans="5:8" x14ac:dyDescent="0.25">
      <c r="E1707" t="str">
        <f>""</f>
        <v/>
      </c>
      <c r="F1707" t="str">
        <f>""</f>
        <v/>
      </c>
      <c r="H1707" t="str">
        <f t="shared" si="16"/>
        <v>TASC - HRA FEES</v>
      </c>
    </row>
    <row r="1708" spans="5:8" x14ac:dyDescent="0.25">
      <c r="E1708" t="str">
        <f>""</f>
        <v/>
      </c>
      <c r="F1708" t="str">
        <f>""</f>
        <v/>
      </c>
      <c r="H1708" t="str">
        <f t="shared" si="16"/>
        <v>TASC - HRA FEES</v>
      </c>
    </row>
    <row r="1709" spans="5:8" x14ac:dyDescent="0.25">
      <c r="E1709" t="str">
        <f>""</f>
        <v/>
      </c>
      <c r="F1709" t="str">
        <f>""</f>
        <v/>
      </c>
      <c r="H1709" t="str">
        <f t="shared" si="16"/>
        <v>TASC - HRA FEES</v>
      </c>
    </row>
    <row r="1710" spans="5:8" x14ac:dyDescent="0.25">
      <c r="E1710" t="str">
        <f>""</f>
        <v/>
      </c>
      <c r="F1710" t="str">
        <f>""</f>
        <v/>
      </c>
      <c r="H1710" t="str">
        <f t="shared" ref="H1710:H1729" si="17">"TASC - HRA FEES"</f>
        <v>TASC - HRA FEES</v>
      </c>
    </row>
    <row r="1711" spans="5:8" x14ac:dyDescent="0.25">
      <c r="E1711" t="str">
        <f>""</f>
        <v/>
      </c>
      <c r="F1711" t="str">
        <f>""</f>
        <v/>
      </c>
      <c r="H1711" t="str">
        <f t="shared" si="17"/>
        <v>TASC - HRA FEES</v>
      </c>
    </row>
    <row r="1712" spans="5:8" x14ac:dyDescent="0.25">
      <c r="E1712" t="str">
        <f>""</f>
        <v/>
      </c>
      <c r="F1712" t="str">
        <f>""</f>
        <v/>
      </c>
      <c r="H1712" t="str">
        <f t="shared" si="17"/>
        <v>TASC - HRA FEES</v>
      </c>
    </row>
    <row r="1713" spans="5:8" x14ac:dyDescent="0.25">
      <c r="E1713" t="str">
        <f>""</f>
        <v/>
      </c>
      <c r="F1713" t="str">
        <f>""</f>
        <v/>
      </c>
      <c r="H1713" t="str">
        <f t="shared" si="17"/>
        <v>TASC - HRA FEES</v>
      </c>
    </row>
    <row r="1714" spans="5:8" x14ac:dyDescent="0.25">
      <c r="E1714" t="str">
        <f>""</f>
        <v/>
      </c>
      <c r="F1714" t="str">
        <f>""</f>
        <v/>
      </c>
      <c r="H1714" t="str">
        <f t="shared" si="17"/>
        <v>TASC - HRA FEES</v>
      </c>
    </row>
    <row r="1715" spans="5:8" x14ac:dyDescent="0.25">
      <c r="E1715" t="str">
        <f>""</f>
        <v/>
      </c>
      <c r="F1715" t="str">
        <f>""</f>
        <v/>
      </c>
      <c r="H1715" t="str">
        <f t="shared" si="17"/>
        <v>TASC - HRA FEES</v>
      </c>
    </row>
    <row r="1716" spans="5:8" x14ac:dyDescent="0.25">
      <c r="E1716" t="str">
        <f>""</f>
        <v/>
      </c>
      <c r="F1716" t="str">
        <f>""</f>
        <v/>
      </c>
      <c r="H1716" t="str">
        <f t="shared" si="17"/>
        <v>TASC - HRA FEES</v>
      </c>
    </row>
    <row r="1717" spans="5:8" x14ac:dyDescent="0.25">
      <c r="E1717" t="str">
        <f>""</f>
        <v/>
      </c>
      <c r="F1717" t="str">
        <f>""</f>
        <v/>
      </c>
      <c r="H1717" t="str">
        <f t="shared" si="17"/>
        <v>TASC - HRA FEES</v>
      </c>
    </row>
    <row r="1718" spans="5:8" x14ac:dyDescent="0.25">
      <c r="E1718" t="str">
        <f>""</f>
        <v/>
      </c>
      <c r="F1718" t="str">
        <f>""</f>
        <v/>
      </c>
      <c r="H1718" t="str">
        <f t="shared" si="17"/>
        <v>TASC - HRA FEES</v>
      </c>
    </row>
    <row r="1719" spans="5:8" x14ac:dyDescent="0.25">
      <c r="E1719" t="str">
        <f>""</f>
        <v/>
      </c>
      <c r="F1719" t="str">
        <f>""</f>
        <v/>
      </c>
      <c r="H1719" t="str">
        <f t="shared" si="17"/>
        <v>TASC - HRA FEES</v>
      </c>
    </row>
    <row r="1720" spans="5:8" x14ac:dyDescent="0.25">
      <c r="E1720" t="str">
        <f>""</f>
        <v/>
      </c>
      <c r="F1720" t="str">
        <f>""</f>
        <v/>
      </c>
      <c r="H1720" t="str">
        <f t="shared" si="17"/>
        <v>TASC - HRA FEES</v>
      </c>
    </row>
    <row r="1721" spans="5:8" x14ac:dyDescent="0.25">
      <c r="E1721" t="str">
        <f>""</f>
        <v/>
      </c>
      <c r="F1721" t="str">
        <f>""</f>
        <v/>
      </c>
      <c r="H1721" t="str">
        <f t="shared" si="17"/>
        <v>TASC - HRA FEES</v>
      </c>
    </row>
    <row r="1722" spans="5:8" x14ac:dyDescent="0.25">
      <c r="E1722" t="str">
        <f>""</f>
        <v/>
      </c>
      <c r="F1722" t="str">
        <f>""</f>
        <v/>
      </c>
      <c r="H1722" t="str">
        <f t="shared" si="17"/>
        <v>TASC - HRA FEES</v>
      </c>
    </row>
    <row r="1723" spans="5:8" x14ac:dyDescent="0.25">
      <c r="E1723" t="str">
        <f>""</f>
        <v/>
      </c>
      <c r="F1723" t="str">
        <f>""</f>
        <v/>
      </c>
      <c r="H1723" t="str">
        <f t="shared" si="17"/>
        <v>TASC - HRA FEES</v>
      </c>
    </row>
    <row r="1724" spans="5:8" x14ac:dyDescent="0.25">
      <c r="E1724" t="str">
        <f>""</f>
        <v/>
      </c>
      <c r="F1724" t="str">
        <f>""</f>
        <v/>
      </c>
      <c r="H1724" t="str">
        <f t="shared" si="17"/>
        <v>TASC - HRA FEES</v>
      </c>
    </row>
    <row r="1725" spans="5:8" x14ac:dyDescent="0.25">
      <c r="E1725" t="str">
        <f>""</f>
        <v/>
      </c>
      <c r="F1725" t="str">
        <f>""</f>
        <v/>
      </c>
      <c r="H1725" t="str">
        <f t="shared" si="17"/>
        <v>TASC - HRA FEES</v>
      </c>
    </row>
    <row r="1726" spans="5:8" x14ac:dyDescent="0.25">
      <c r="E1726" t="str">
        <f>""</f>
        <v/>
      </c>
      <c r="F1726" t="str">
        <f>""</f>
        <v/>
      </c>
      <c r="H1726" t="str">
        <f t="shared" si="17"/>
        <v>TASC - HRA FEES</v>
      </c>
    </row>
    <row r="1727" spans="5:8" x14ac:dyDescent="0.25">
      <c r="E1727" t="str">
        <f>""</f>
        <v/>
      </c>
      <c r="F1727" t="str">
        <f>""</f>
        <v/>
      </c>
      <c r="H1727" t="str">
        <f t="shared" si="17"/>
        <v>TASC - HRA FEES</v>
      </c>
    </row>
    <row r="1728" spans="5:8" x14ac:dyDescent="0.25">
      <c r="E1728" t="str">
        <f>""</f>
        <v/>
      </c>
      <c r="F1728" t="str">
        <f>""</f>
        <v/>
      </c>
      <c r="H1728" t="str">
        <f t="shared" si="17"/>
        <v>TASC - HRA FEES</v>
      </c>
    </row>
    <row r="1729" spans="1:8" x14ac:dyDescent="0.25">
      <c r="E1729" t="str">
        <f>"HRF202012090690"</f>
        <v>HRF202012090690</v>
      </c>
      <c r="F1729" t="str">
        <f>"TASC - HRA FEES"</f>
        <v>TASC - HRA FEES</v>
      </c>
      <c r="G1729" s="3">
        <v>27</v>
      </c>
      <c r="H1729" t="str">
        <f t="shared" si="17"/>
        <v>TASC - HRA FEES</v>
      </c>
    </row>
    <row r="1730" spans="1:8" x14ac:dyDescent="0.25">
      <c r="A1730" t="s">
        <v>401</v>
      </c>
      <c r="B1730">
        <v>815</v>
      </c>
      <c r="C1730" s="3">
        <v>97.3</v>
      </c>
      <c r="D1730" s="5">
        <v>44180</v>
      </c>
      <c r="E1730" t="str">
        <f>"T3 202012140698"</f>
        <v>T3 202012140698</v>
      </c>
      <c r="F1730" t="str">
        <f>"SOCIAL SECURITY TAXES"</f>
        <v>SOCIAL SECURITY TAXES</v>
      </c>
      <c r="G1730" s="3">
        <v>78.86</v>
      </c>
      <c r="H1730" t="str">
        <f>"SOCIAL SECURITY TAXES"</f>
        <v>SOCIAL SECURITY TAXES</v>
      </c>
    </row>
    <row r="1731" spans="1:8" x14ac:dyDescent="0.25">
      <c r="E1731" t="str">
        <f>""</f>
        <v/>
      </c>
      <c r="F1731" t="str">
        <f>""</f>
        <v/>
      </c>
      <c r="H1731" t="str">
        <f>"SOCIAL SECURITY TAXES"</f>
        <v>SOCIAL SECURITY TAXES</v>
      </c>
    </row>
    <row r="1732" spans="1:8" x14ac:dyDescent="0.25">
      <c r="E1732" t="str">
        <f>"T4 202012140698"</f>
        <v>T4 202012140698</v>
      </c>
      <c r="F1732" t="str">
        <f>"MEDICARE TAXES"</f>
        <v>MEDICARE TAXES</v>
      </c>
      <c r="G1732" s="3">
        <v>18.440000000000001</v>
      </c>
      <c r="H1732" t="str">
        <f>"MEDICARE TAXES"</f>
        <v>MEDICARE TAXES</v>
      </c>
    </row>
    <row r="1733" spans="1:8" x14ac:dyDescent="0.25">
      <c r="E1733" t="str">
        <f>""</f>
        <v/>
      </c>
      <c r="F1733" t="str">
        <f>""</f>
        <v/>
      </c>
      <c r="H1733" t="str">
        <f>"MEDICARE TAXES"</f>
        <v>MEDICARE TAXES</v>
      </c>
    </row>
    <row r="1734" spans="1:8" x14ac:dyDescent="0.25">
      <c r="A1734" t="s">
        <v>401</v>
      </c>
      <c r="B1734">
        <v>819</v>
      </c>
      <c r="C1734" s="3">
        <v>246909.02</v>
      </c>
      <c r="D1734" s="5">
        <v>44188</v>
      </c>
      <c r="E1734" t="str">
        <f>"T1 202012220865"</f>
        <v>T1 202012220865</v>
      </c>
      <c r="F1734" t="str">
        <f>"FEDERAL WITHHOLDING"</f>
        <v>FEDERAL WITHHOLDING</v>
      </c>
      <c r="G1734" s="3">
        <v>82864.08</v>
      </c>
      <c r="H1734" t="str">
        <f>"FEDERAL WITHHOLDING"</f>
        <v>FEDERAL WITHHOLDING</v>
      </c>
    </row>
    <row r="1735" spans="1:8" x14ac:dyDescent="0.25">
      <c r="E1735" t="str">
        <f>"T1 202012220866"</f>
        <v>T1 202012220866</v>
      </c>
      <c r="F1735" t="str">
        <f>"FEDERAL WITHHOLDING"</f>
        <v>FEDERAL WITHHOLDING</v>
      </c>
      <c r="G1735" s="3">
        <v>2867.32</v>
      </c>
      <c r="H1735" t="str">
        <f>"FEDERAL WITHHOLDING"</f>
        <v>FEDERAL WITHHOLDING</v>
      </c>
    </row>
    <row r="1736" spans="1:8" x14ac:dyDescent="0.25">
      <c r="E1736" t="str">
        <f>"T1 202012220867"</f>
        <v>T1 202012220867</v>
      </c>
      <c r="F1736" t="str">
        <f>"FEDERAL WITHHOLDING"</f>
        <v>FEDERAL WITHHOLDING</v>
      </c>
      <c r="G1736" s="3">
        <v>3181.46</v>
      </c>
      <c r="H1736" t="str">
        <f>"FEDERAL WITHHOLDING"</f>
        <v>FEDERAL WITHHOLDING</v>
      </c>
    </row>
    <row r="1737" spans="1:8" x14ac:dyDescent="0.25">
      <c r="E1737" t="str">
        <f>"T3 202012220865"</f>
        <v>T3 202012220865</v>
      </c>
      <c r="F1737" t="str">
        <f>"SOCIAL SECURITY TAXES"</f>
        <v>SOCIAL SECURITY TAXES</v>
      </c>
      <c r="G1737" s="3">
        <v>119139.48</v>
      </c>
      <c r="H1737" t="str">
        <f t="shared" ref="H1737:H1768" si="18">"SOCIAL SECURITY TAXES"</f>
        <v>SOCIAL SECURITY TAXES</v>
      </c>
    </row>
    <row r="1738" spans="1:8" x14ac:dyDescent="0.25">
      <c r="E1738" t="str">
        <f>""</f>
        <v/>
      </c>
      <c r="F1738" t="str">
        <f>""</f>
        <v/>
      </c>
      <c r="H1738" t="str">
        <f t="shared" si="18"/>
        <v>SOCIAL SECURITY TAXES</v>
      </c>
    </row>
    <row r="1739" spans="1:8" x14ac:dyDescent="0.25">
      <c r="E1739" t="str">
        <f>""</f>
        <v/>
      </c>
      <c r="F1739" t="str">
        <f>""</f>
        <v/>
      </c>
      <c r="H1739" t="str">
        <f t="shared" si="18"/>
        <v>SOCIAL SECURITY TAXES</v>
      </c>
    </row>
    <row r="1740" spans="1:8" x14ac:dyDescent="0.25">
      <c r="E1740" t="str">
        <f>""</f>
        <v/>
      </c>
      <c r="F1740" t="str">
        <f>""</f>
        <v/>
      </c>
      <c r="H1740" t="str">
        <f t="shared" si="18"/>
        <v>SOCIAL SECURITY TAXES</v>
      </c>
    </row>
    <row r="1741" spans="1:8" x14ac:dyDescent="0.25">
      <c r="E1741" t="str">
        <f>""</f>
        <v/>
      </c>
      <c r="F1741" t="str">
        <f>""</f>
        <v/>
      </c>
      <c r="H1741" t="str">
        <f t="shared" si="18"/>
        <v>SOCIAL SECURITY TAXES</v>
      </c>
    </row>
    <row r="1742" spans="1:8" x14ac:dyDescent="0.25">
      <c r="E1742" t="str">
        <f>""</f>
        <v/>
      </c>
      <c r="F1742" t="str">
        <f>""</f>
        <v/>
      </c>
      <c r="H1742" t="str">
        <f t="shared" si="18"/>
        <v>SOCIAL SECURITY TAXES</v>
      </c>
    </row>
    <row r="1743" spans="1:8" x14ac:dyDescent="0.25">
      <c r="E1743" t="str">
        <f>""</f>
        <v/>
      </c>
      <c r="F1743" t="str">
        <f>""</f>
        <v/>
      </c>
      <c r="H1743" t="str">
        <f t="shared" si="18"/>
        <v>SOCIAL SECURITY TAXES</v>
      </c>
    </row>
    <row r="1744" spans="1:8" x14ac:dyDescent="0.25">
      <c r="E1744" t="str">
        <f>""</f>
        <v/>
      </c>
      <c r="F1744" t="str">
        <f>""</f>
        <v/>
      </c>
      <c r="H1744" t="str">
        <f t="shared" si="18"/>
        <v>SOCIAL SECURITY TAXES</v>
      </c>
    </row>
    <row r="1745" spans="5:8" x14ac:dyDescent="0.25">
      <c r="E1745" t="str">
        <f>""</f>
        <v/>
      </c>
      <c r="F1745" t="str">
        <f>""</f>
        <v/>
      </c>
      <c r="H1745" t="str">
        <f t="shared" si="18"/>
        <v>SOCIAL SECURITY TAXES</v>
      </c>
    </row>
    <row r="1746" spans="5:8" x14ac:dyDescent="0.25">
      <c r="E1746" t="str">
        <f>""</f>
        <v/>
      </c>
      <c r="F1746" t="str">
        <f>""</f>
        <v/>
      </c>
      <c r="H1746" t="str">
        <f t="shared" si="18"/>
        <v>SOCIAL SECURITY TAXES</v>
      </c>
    </row>
    <row r="1747" spans="5:8" x14ac:dyDescent="0.25">
      <c r="E1747" t="str">
        <f>""</f>
        <v/>
      </c>
      <c r="F1747" t="str">
        <f>""</f>
        <v/>
      </c>
      <c r="H1747" t="str">
        <f t="shared" si="18"/>
        <v>SOCIAL SECURITY TAXES</v>
      </c>
    </row>
    <row r="1748" spans="5:8" x14ac:dyDescent="0.25">
      <c r="E1748" t="str">
        <f>""</f>
        <v/>
      </c>
      <c r="F1748" t="str">
        <f>""</f>
        <v/>
      </c>
      <c r="H1748" t="str">
        <f t="shared" si="18"/>
        <v>SOCIAL SECURITY TAXES</v>
      </c>
    </row>
    <row r="1749" spans="5:8" x14ac:dyDescent="0.25">
      <c r="E1749" t="str">
        <f>""</f>
        <v/>
      </c>
      <c r="F1749" t="str">
        <f>""</f>
        <v/>
      </c>
      <c r="H1749" t="str">
        <f t="shared" si="18"/>
        <v>SOCIAL SECURITY TAXES</v>
      </c>
    </row>
    <row r="1750" spans="5:8" x14ac:dyDescent="0.25">
      <c r="E1750" t="str">
        <f>""</f>
        <v/>
      </c>
      <c r="F1750" t="str">
        <f>""</f>
        <v/>
      </c>
      <c r="H1750" t="str">
        <f t="shared" si="18"/>
        <v>SOCIAL SECURITY TAXES</v>
      </c>
    </row>
    <row r="1751" spans="5:8" x14ac:dyDescent="0.25">
      <c r="E1751" t="str">
        <f>""</f>
        <v/>
      </c>
      <c r="F1751" t="str">
        <f>""</f>
        <v/>
      </c>
      <c r="H1751" t="str">
        <f t="shared" si="18"/>
        <v>SOCIAL SECURITY TAXES</v>
      </c>
    </row>
    <row r="1752" spans="5:8" x14ac:dyDescent="0.25">
      <c r="E1752" t="str">
        <f>""</f>
        <v/>
      </c>
      <c r="F1752" t="str">
        <f>""</f>
        <v/>
      </c>
      <c r="H1752" t="str">
        <f t="shared" si="18"/>
        <v>SOCIAL SECURITY TAXES</v>
      </c>
    </row>
    <row r="1753" spans="5:8" x14ac:dyDescent="0.25">
      <c r="E1753" t="str">
        <f>""</f>
        <v/>
      </c>
      <c r="F1753" t="str">
        <f>""</f>
        <v/>
      </c>
      <c r="H1753" t="str">
        <f t="shared" si="18"/>
        <v>SOCIAL SECURITY TAXES</v>
      </c>
    </row>
    <row r="1754" spans="5:8" x14ac:dyDescent="0.25">
      <c r="E1754" t="str">
        <f>""</f>
        <v/>
      </c>
      <c r="F1754" t="str">
        <f>""</f>
        <v/>
      </c>
      <c r="H1754" t="str">
        <f t="shared" si="18"/>
        <v>SOCIAL SECURITY TAXES</v>
      </c>
    </row>
    <row r="1755" spans="5:8" x14ac:dyDescent="0.25">
      <c r="E1755" t="str">
        <f>""</f>
        <v/>
      </c>
      <c r="F1755" t="str">
        <f>""</f>
        <v/>
      </c>
      <c r="H1755" t="str">
        <f t="shared" si="18"/>
        <v>SOCIAL SECURITY TAXES</v>
      </c>
    </row>
    <row r="1756" spans="5:8" x14ac:dyDescent="0.25">
      <c r="E1756" t="str">
        <f>""</f>
        <v/>
      </c>
      <c r="F1756" t="str">
        <f>""</f>
        <v/>
      </c>
      <c r="H1756" t="str">
        <f t="shared" si="18"/>
        <v>SOCIAL SECURITY TAXES</v>
      </c>
    </row>
    <row r="1757" spans="5:8" x14ac:dyDescent="0.25">
      <c r="E1757" t="str">
        <f>""</f>
        <v/>
      </c>
      <c r="F1757" t="str">
        <f>""</f>
        <v/>
      </c>
      <c r="H1757" t="str">
        <f t="shared" si="18"/>
        <v>SOCIAL SECURITY TAXES</v>
      </c>
    </row>
    <row r="1758" spans="5:8" x14ac:dyDescent="0.25">
      <c r="E1758" t="str">
        <f>""</f>
        <v/>
      </c>
      <c r="F1758" t="str">
        <f>""</f>
        <v/>
      </c>
      <c r="H1758" t="str">
        <f t="shared" si="18"/>
        <v>SOCIAL SECURITY TAXES</v>
      </c>
    </row>
    <row r="1759" spans="5:8" x14ac:dyDescent="0.25">
      <c r="E1759" t="str">
        <f>""</f>
        <v/>
      </c>
      <c r="F1759" t="str">
        <f>""</f>
        <v/>
      </c>
      <c r="H1759" t="str">
        <f t="shared" si="18"/>
        <v>SOCIAL SECURITY TAXES</v>
      </c>
    </row>
    <row r="1760" spans="5:8" x14ac:dyDescent="0.25">
      <c r="E1760" t="str">
        <f>""</f>
        <v/>
      </c>
      <c r="F1760" t="str">
        <f>""</f>
        <v/>
      </c>
      <c r="H1760" t="str">
        <f t="shared" si="18"/>
        <v>SOCIAL SECURITY TAXES</v>
      </c>
    </row>
    <row r="1761" spans="5:8" x14ac:dyDescent="0.25">
      <c r="E1761" t="str">
        <f>""</f>
        <v/>
      </c>
      <c r="F1761" t="str">
        <f>""</f>
        <v/>
      </c>
      <c r="H1761" t="str">
        <f t="shared" si="18"/>
        <v>SOCIAL SECURITY TAXES</v>
      </c>
    </row>
    <row r="1762" spans="5:8" x14ac:dyDescent="0.25">
      <c r="E1762" t="str">
        <f>""</f>
        <v/>
      </c>
      <c r="F1762" t="str">
        <f>""</f>
        <v/>
      </c>
      <c r="H1762" t="str">
        <f t="shared" si="18"/>
        <v>SOCIAL SECURITY TAXES</v>
      </c>
    </row>
    <row r="1763" spans="5:8" x14ac:dyDescent="0.25">
      <c r="E1763" t="str">
        <f>""</f>
        <v/>
      </c>
      <c r="F1763" t="str">
        <f>""</f>
        <v/>
      </c>
      <c r="H1763" t="str">
        <f t="shared" si="18"/>
        <v>SOCIAL SECURITY TAXES</v>
      </c>
    </row>
    <row r="1764" spans="5:8" x14ac:dyDescent="0.25">
      <c r="E1764" t="str">
        <f>""</f>
        <v/>
      </c>
      <c r="F1764" t="str">
        <f>""</f>
        <v/>
      </c>
      <c r="H1764" t="str">
        <f t="shared" si="18"/>
        <v>SOCIAL SECURITY TAXES</v>
      </c>
    </row>
    <row r="1765" spans="5:8" x14ac:dyDescent="0.25">
      <c r="E1765" t="str">
        <f>""</f>
        <v/>
      </c>
      <c r="F1765" t="str">
        <f>""</f>
        <v/>
      </c>
      <c r="H1765" t="str">
        <f t="shared" si="18"/>
        <v>SOCIAL SECURITY TAXES</v>
      </c>
    </row>
    <row r="1766" spans="5:8" x14ac:dyDescent="0.25">
      <c r="E1766" t="str">
        <f>""</f>
        <v/>
      </c>
      <c r="F1766" t="str">
        <f>""</f>
        <v/>
      </c>
      <c r="H1766" t="str">
        <f t="shared" si="18"/>
        <v>SOCIAL SECURITY TAXES</v>
      </c>
    </row>
    <row r="1767" spans="5:8" x14ac:dyDescent="0.25">
      <c r="E1767" t="str">
        <f>""</f>
        <v/>
      </c>
      <c r="F1767" t="str">
        <f>""</f>
        <v/>
      </c>
      <c r="H1767" t="str">
        <f t="shared" si="18"/>
        <v>SOCIAL SECURITY TAXES</v>
      </c>
    </row>
    <row r="1768" spans="5:8" x14ac:dyDescent="0.25">
      <c r="E1768" t="str">
        <f>""</f>
        <v/>
      </c>
      <c r="F1768" t="str">
        <f>""</f>
        <v/>
      </c>
      <c r="H1768" t="str">
        <f t="shared" si="18"/>
        <v>SOCIAL SECURITY TAXES</v>
      </c>
    </row>
    <row r="1769" spans="5:8" x14ac:dyDescent="0.25">
      <c r="E1769" t="str">
        <f>""</f>
        <v/>
      </c>
      <c r="F1769" t="str">
        <f>""</f>
        <v/>
      </c>
      <c r="H1769" t="str">
        <f t="shared" ref="H1769:H1793" si="19">"SOCIAL SECURITY TAXES"</f>
        <v>SOCIAL SECURITY TAXES</v>
      </c>
    </row>
    <row r="1770" spans="5:8" x14ac:dyDescent="0.25">
      <c r="E1770" t="str">
        <f>""</f>
        <v/>
      </c>
      <c r="F1770" t="str">
        <f>""</f>
        <v/>
      </c>
      <c r="H1770" t="str">
        <f t="shared" si="19"/>
        <v>SOCIAL SECURITY TAXES</v>
      </c>
    </row>
    <row r="1771" spans="5:8" x14ac:dyDescent="0.25">
      <c r="E1771" t="str">
        <f>""</f>
        <v/>
      </c>
      <c r="F1771" t="str">
        <f>""</f>
        <v/>
      </c>
      <c r="H1771" t="str">
        <f t="shared" si="19"/>
        <v>SOCIAL SECURITY TAXES</v>
      </c>
    </row>
    <row r="1772" spans="5:8" x14ac:dyDescent="0.25">
      <c r="E1772" t="str">
        <f>""</f>
        <v/>
      </c>
      <c r="F1772" t="str">
        <f>""</f>
        <v/>
      </c>
      <c r="H1772" t="str">
        <f t="shared" si="19"/>
        <v>SOCIAL SECURITY TAXES</v>
      </c>
    </row>
    <row r="1773" spans="5:8" x14ac:dyDescent="0.25">
      <c r="E1773" t="str">
        <f>""</f>
        <v/>
      </c>
      <c r="F1773" t="str">
        <f>""</f>
        <v/>
      </c>
      <c r="H1773" t="str">
        <f t="shared" si="19"/>
        <v>SOCIAL SECURITY TAXES</v>
      </c>
    </row>
    <row r="1774" spans="5:8" x14ac:dyDescent="0.25">
      <c r="E1774" t="str">
        <f>""</f>
        <v/>
      </c>
      <c r="F1774" t="str">
        <f>""</f>
        <v/>
      </c>
      <c r="H1774" t="str">
        <f t="shared" si="19"/>
        <v>SOCIAL SECURITY TAXES</v>
      </c>
    </row>
    <row r="1775" spans="5:8" x14ac:dyDescent="0.25">
      <c r="E1775" t="str">
        <f>""</f>
        <v/>
      </c>
      <c r="F1775" t="str">
        <f>""</f>
        <v/>
      </c>
      <c r="H1775" t="str">
        <f t="shared" si="19"/>
        <v>SOCIAL SECURITY TAXES</v>
      </c>
    </row>
    <row r="1776" spans="5:8" x14ac:dyDescent="0.25">
      <c r="E1776" t="str">
        <f>""</f>
        <v/>
      </c>
      <c r="F1776" t="str">
        <f>""</f>
        <v/>
      </c>
      <c r="H1776" t="str">
        <f t="shared" si="19"/>
        <v>SOCIAL SECURITY TAXES</v>
      </c>
    </row>
    <row r="1777" spans="5:8" x14ac:dyDescent="0.25">
      <c r="E1777" t="str">
        <f>""</f>
        <v/>
      </c>
      <c r="F1777" t="str">
        <f>""</f>
        <v/>
      </c>
      <c r="H1777" t="str">
        <f t="shared" si="19"/>
        <v>SOCIAL SECURITY TAXES</v>
      </c>
    </row>
    <row r="1778" spans="5:8" x14ac:dyDescent="0.25">
      <c r="E1778" t="str">
        <f>""</f>
        <v/>
      </c>
      <c r="F1778" t="str">
        <f>""</f>
        <v/>
      </c>
      <c r="H1778" t="str">
        <f t="shared" si="19"/>
        <v>SOCIAL SECURITY TAXES</v>
      </c>
    </row>
    <row r="1779" spans="5:8" x14ac:dyDescent="0.25">
      <c r="E1779" t="str">
        <f>""</f>
        <v/>
      </c>
      <c r="F1779" t="str">
        <f>""</f>
        <v/>
      </c>
      <c r="H1779" t="str">
        <f t="shared" si="19"/>
        <v>SOCIAL SECURITY TAXES</v>
      </c>
    </row>
    <row r="1780" spans="5:8" x14ac:dyDescent="0.25">
      <c r="E1780" t="str">
        <f>""</f>
        <v/>
      </c>
      <c r="F1780" t="str">
        <f>""</f>
        <v/>
      </c>
      <c r="H1780" t="str">
        <f t="shared" si="19"/>
        <v>SOCIAL SECURITY TAXES</v>
      </c>
    </row>
    <row r="1781" spans="5:8" x14ac:dyDescent="0.25">
      <c r="E1781" t="str">
        <f>""</f>
        <v/>
      </c>
      <c r="F1781" t="str">
        <f>""</f>
        <v/>
      </c>
      <c r="H1781" t="str">
        <f t="shared" si="19"/>
        <v>SOCIAL SECURITY TAXES</v>
      </c>
    </row>
    <row r="1782" spans="5:8" x14ac:dyDescent="0.25">
      <c r="E1782" t="str">
        <f>""</f>
        <v/>
      </c>
      <c r="F1782" t="str">
        <f>""</f>
        <v/>
      </c>
      <c r="H1782" t="str">
        <f t="shared" si="19"/>
        <v>SOCIAL SECURITY TAXES</v>
      </c>
    </row>
    <row r="1783" spans="5:8" x14ac:dyDescent="0.25">
      <c r="E1783" t="str">
        <f>""</f>
        <v/>
      </c>
      <c r="F1783" t="str">
        <f>""</f>
        <v/>
      </c>
      <c r="H1783" t="str">
        <f t="shared" si="19"/>
        <v>SOCIAL SECURITY TAXES</v>
      </c>
    </row>
    <row r="1784" spans="5:8" x14ac:dyDescent="0.25">
      <c r="E1784" t="str">
        <f>""</f>
        <v/>
      </c>
      <c r="F1784" t="str">
        <f>""</f>
        <v/>
      </c>
      <c r="H1784" t="str">
        <f t="shared" si="19"/>
        <v>SOCIAL SECURITY TAXES</v>
      </c>
    </row>
    <row r="1785" spans="5:8" x14ac:dyDescent="0.25">
      <c r="E1785" t="str">
        <f>""</f>
        <v/>
      </c>
      <c r="F1785" t="str">
        <f>""</f>
        <v/>
      </c>
      <c r="H1785" t="str">
        <f t="shared" si="19"/>
        <v>SOCIAL SECURITY TAXES</v>
      </c>
    </row>
    <row r="1786" spans="5:8" x14ac:dyDescent="0.25">
      <c r="E1786" t="str">
        <f>""</f>
        <v/>
      </c>
      <c r="F1786" t="str">
        <f>""</f>
        <v/>
      </c>
      <c r="H1786" t="str">
        <f t="shared" si="19"/>
        <v>SOCIAL SECURITY TAXES</v>
      </c>
    </row>
    <row r="1787" spans="5:8" x14ac:dyDescent="0.25">
      <c r="E1787" t="str">
        <f>""</f>
        <v/>
      </c>
      <c r="F1787" t="str">
        <f>""</f>
        <v/>
      </c>
      <c r="H1787" t="str">
        <f t="shared" si="19"/>
        <v>SOCIAL SECURITY TAXES</v>
      </c>
    </row>
    <row r="1788" spans="5:8" x14ac:dyDescent="0.25">
      <c r="E1788" t="str">
        <f>""</f>
        <v/>
      </c>
      <c r="F1788" t="str">
        <f>""</f>
        <v/>
      </c>
      <c r="H1788" t="str">
        <f t="shared" si="19"/>
        <v>SOCIAL SECURITY TAXES</v>
      </c>
    </row>
    <row r="1789" spans="5:8" x14ac:dyDescent="0.25">
      <c r="E1789" t="str">
        <f>""</f>
        <v/>
      </c>
      <c r="F1789" t="str">
        <f>""</f>
        <v/>
      </c>
      <c r="H1789" t="str">
        <f t="shared" si="19"/>
        <v>SOCIAL SECURITY TAXES</v>
      </c>
    </row>
    <row r="1790" spans="5:8" x14ac:dyDescent="0.25">
      <c r="E1790" t="str">
        <f>"T3 202012220866"</f>
        <v>T3 202012220866</v>
      </c>
      <c r="F1790" t="str">
        <f>"SOCIAL SECURITY TAXES"</f>
        <v>SOCIAL SECURITY TAXES</v>
      </c>
      <c r="G1790" s="3">
        <v>3992.82</v>
      </c>
      <c r="H1790" t="str">
        <f t="shared" si="19"/>
        <v>SOCIAL SECURITY TAXES</v>
      </c>
    </row>
    <row r="1791" spans="5:8" x14ac:dyDescent="0.25">
      <c r="E1791" t="str">
        <f>""</f>
        <v/>
      </c>
      <c r="F1791" t="str">
        <f>""</f>
        <v/>
      </c>
      <c r="H1791" t="str">
        <f t="shared" si="19"/>
        <v>SOCIAL SECURITY TAXES</v>
      </c>
    </row>
    <row r="1792" spans="5:8" x14ac:dyDescent="0.25">
      <c r="E1792" t="str">
        <f>"T3 202012220867"</f>
        <v>T3 202012220867</v>
      </c>
      <c r="F1792" t="str">
        <f>"SOCIAL SECURITY TAXES"</f>
        <v>SOCIAL SECURITY TAXES</v>
      </c>
      <c r="G1792" s="3">
        <v>4616.5200000000004</v>
      </c>
      <c r="H1792" t="str">
        <f t="shared" si="19"/>
        <v>SOCIAL SECURITY TAXES</v>
      </c>
    </row>
    <row r="1793" spans="5:8" x14ac:dyDescent="0.25">
      <c r="E1793" t="str">
        <f>""</f>
        <v/>
      </c>
      <c r="F1793" t="str">
        <f>""</f>
        <v/>
      </c>
      <c r="H1793" t="str">
        <f t="shared" si="19"/>
        <v>SOCIAL SECURITY TAXES</v>
      </c>
    </row>
    <row r="1794" spans="5:8" x14ac:dyDescent="0.25">
      <c r="E1794" t="str">
        <f>"T4 202012220865"</f>
        <v>T4 202012220865</v>
      </c>
      <c r="F1794" t="str">
        <f>"MEDICARE TAXES"</f>
        <v>MEDICARE TAXES</v>
      </c>
      <c r="G1794" s="3">
        <v>28233.759999999998</v>
      </c>
      <c r="H1794" t="str">
        <f t="shared" ref="H1794:H1825" si="20">"MEDICARE TAXES"</f>
        <v>MEDICARE TAXES</v>
      </c>
    </row>
    <row r="1795" spans="5:8" x14ac:dyDescent="0.25">
      <c r="E1795" t="str">
        <f>""</f>
        <v/>
      </c>
      <c r="F1795" t="str">
        <f>""</f>
        <v/>
      </c>
      <c r="H1795" t="str">
        <f t="shared" si="20"/>
        <v>MEDICARE TAXES</v>
      </c>
    </row>
    <row r="1796" spans="5:8" x14ac:dyDescent="0.25">
      <c r="E1796" t="str">
        <f>""</f>
        <v/>
      </c>
      <c r="F1796" t="str">
        <f>""</f>
        <v/>
      </c>
      <c r="H1796" t="str">
        <f t="shared" si="20"/>
        <v>MEDICARE TAXES</v>
      </c>
    </row>
    <row r="1797" spans="5:8" x14ac:dyDescent="0.25">
      <c r="E1797" t="str">
        <f>""</f>
        <v/>
      </c>
      <c r="F1797" t="str">
        <f>""</f>
        <v/>
      </c>
      <c r="H1797" t="str">
        <f t="shared" si="20"/>
        <v>MEDICARE TAXES</v>
      </c>
    </row>
    <row r="1798" spans="5:8" x14ac:dyDescent="0.25">
      <c r="E1798" t="str">
        <f>""</f>
        <v/>
      </c>
      <c r="F1798" t="str">
        <f>""</f>
        <v/>
      </c>
      <c r="H1798" t="str">
        <f t="shared" si="20"/>
        <v>MEDICARE TAXES</v>
      </c>
    </row>
    <row r="1799" spans="5:8" x14ac:dyDescent="0.25">
      <c r="E1799" t="str">
        <f>""</f>
        <v/>
      </c>
      <c r="F1799" t="str">
        <f>""</f>
        <v/>
      </c>
      <c r="H1799" t="str">
        <f t="shared" si="20"/>
        <v>MEDICARE TAXES</v>
      </c>
    </row>
    <row r="1800" spans="5:8" x14ac:dyDescent="0.25">
      <c r="E1800" t="str">
        <f>""</f>
        <v/>
      </c>
      <c r="F1800" t="str">
        <f>""</f>
        <v/>
      </c>
      <c r="H1800" t="str">
        <f t="shared" si="20"/>
        <v>MEDICARE TAXES</v>
      </c>
    </row>
    <row r="1801" spans="5:8" x14ac:dyDescent="0.25">
      <c r="E1801" t="str">
        <f>""</f>
        <v/>
      </c>
      <c r="F1801" t="str">
        <f>""</f>
        <v/>
      </c>
      <c r="H1801" t="str">
        <f t="shared" si="20"/>
        <v>MEDICARE TAXES</v>
      </c>
    </row>
    <row r="1802" spans="5:8" x14ac:dyDescent="0.25">
      <c r="E1802" t="str">
        <f>""</f>
        <v/>
      </c>
      <c r="F1802" t="str">
        <f>""</f>
        <v/>
      </c>
      <c r="H1802" t="str">
        <f t="shared" si="20"/>
        <v>MEDICARE TAXES</v>
      </c>
    </row>
    <row r="1803" spans="5:8" x14ac:dyDescent="0.25">
      <c r="E1803" t="str">
        <f>""</f>
        <v/>
      </c>
      <c r="F1803" t="str">
        <f>""</f>
        <v/>
      </c>
      <c r="H1803" t="str">
        <f t="shared" si="20"/>
        <v>MEDICARE TAXES</v>
      </c>
    </row>
    <row r="1804" spans="5:8" x14ac:dyDescent="0.25">
      <c r="E1804" t="str">
        <f>""</f>
        <v/>
      </c>
      <c r="F1804" t="str">
        <f>""</f>
        <v/>
      </c>
      <c r="H1804" t="str">
        <f t="shared" si="20"/>
        <v>MEDICARE TAXES</v>
      </c>
    </row>
    <row r="1805" spans="5:8" x14ac:dyDescent="0.25">
      <c r="E1805" t="str">
        <f>""</f>
        <v/>
      </c>
      <c r="F1805" t="str">
        <f>""</f>
        <v/>
      </c>
      <c r="H1805" t="str">
        <f t="shared" si="20"/>
        <v>MEDICARE TAXES</v>
      </c>
    </row>
    <row r="1806" spans="5:8" x14ac:dyDescent="0.25">
      <c r="E1806" t="str">
        <f>""</f>
        <v/>
      </c>
      <c r="F1806" t="str">
        <f>""</f>
        <v/>
      </c>
      <c r="H1806" t="str">
        <f t="shared" si="20"/>
        <v>MEDICARE TAXES</v>
      </c>
    </row>
    <row r="1807" spans="5:8" x14ac:dyDescent="0.25">
      <c r="E1807" t="str">
        <f>""</f>
        <v/>
      </c>
      <c r="F1807" t="str">
        <f>""</f>
        <v/>
      </c>
      <c r="H1807" t="str">
        <f t="shared" si="20"/>
        <v>MEDICARE TAXES</v>
      </c>
    </row>
    <row r="1808" spans="5:8" x14ac:dyDescent="0.25">
      <c r="E1808" t="str">
        <f>""</f>
        <v/>
      </c>
      <c r="F1808" t="str">
        <f>""</f>
        <v/>
      </c>
      <c r="H1808" t="str">
        <f t="shared" si="20"/>
        <v>MEDICARE TAXES</v>
      </c>
    </row>
    <row r="1809" spans="5:8" x14ac:dyDescent="0.25">
      <c r="E1809" t="str">
        <f>""</f>
        <v/>
      </c>
      <c r="F1809" t="str">
        <f>""</f>
        <v/>
      </c>
      <c r="H1809" t="str">
        <f t="shared" si="20"/>
        <v>MEDICARE TAXES</v>
      </c>
    </row>
    <row r="1810" spans="5:8" x14ac:dyDescent="0.25">
      <c r="E1810" t="str">
        <f>""</f>
        <v/>
      </c>
      <c r="F1810" t="str">
        <f>""</f>
        <v/>
      </c>
      <c r="H1810" t="str">
        <f t="shared" si="20"/>
        <v>MEDICARE TAXES</v>
      </c>
    </row>
    <row r="1811" spans="5:8" x14ac:dyDescent="0.25">
      <c r="E1811" t="str">
        <f>""</f>
        <v/>
      </c>
      <c r="F1811" t="str">
        <f>""</f>
        <v/>
      </c>
      <c r="H1811" t="str">
        <f t="shared" si="20"/>
        <v>MEDICARE TAXES</v>
      </c>
    </row>
    <row r="1812" spans="5:8" x14ac:dyDescent="0.25">
      <c r="E1812" t="str">
        <f>""</f>
        <v/>
      </c>
      <c r="F1812" t="str">
        <f>""</f>
        <v/>
      </c>
      <c r="H1812" t="str">
        <f t="shared" si="20"/>
        <v>MEDICARE TAXES</v>
      </c>
    </row>
    <row r="1813" spans="5:8" x14ac:dyDescent="0.25">
      <c r="E1813" t="str">
        <f>""</f>
        <v/>
      </c>
      <c r="F1813" t="str">
        <f>""</f>
        <v/>
      </c>
      <c r="H1813" t="str">
        <f t="shared" si="20"/>
        <v>MEDICARE TAXES</v>
      </c>
    </row>
    <row r="1814" spans="5:8" x14ac:dyDescent="0.25">
      <c r="E1814" t="str">
        <f>""</f>
        <v/>
      </c>
      <c r="F1814" t="str">
        <f>""</f>
        <v/>
      </c>
      <c r="H1814" t="str">
        <f t="shared" si="20"/>
        <v>MEDICARE TAXES</v>
      </c>
    </row>
    <row r="1815" spans="5:8" x14ac:dyDescent="0.25">
      <c r="E1815" t="str">
        <f>""</f>
        <v/>
      </c>
      <c r="F1815" t="str">
        <f>""</f>
        <v/>
      </c>
      <c r="H1815" t="str">
        <f t="shared" si="20"/>
        <v>MEDICARE TAXES</v>
      </c>
    </row>
    <row r="1816" spans="5:8" x14ac:dyDescent="0.25">
      <c r="E1816" t="str">
        <f>""</f>
        <v/>
      </c>
      <c r="F1816" t="str">
        <f>""</f>
        <v/>
      </c>
      <c r="H1816" t="str">
        <f t="shared" si="20"/>
        <v>MEDICARE TAXES</v>
      </c>
    </row>
    <row r="1817" spans="5:8" x14ac:dyDescent="0.25">
      <c r="E1817" t="str">
        <f>""</f>
        <v/>
      </c>
      <c r="F1817" t="str">
        <f>""</f>
        <v/>
      </c>
      <c r="H1817" t="str">
        <f t="shared" si="20"/>
        <v>MEDICARE TAXES</v>
      </c>
    </row>
    <row r="1818" spans="5:8" x14ac:dyDescent="0.25">
      <c r="E1818" t="str">
        <f>""</f>
        <v/>
      </c>
      <c r="F1818" t="str">
        <f>""</f>
        <v/>
      </c>
      <c r="H1818" t="str">
        <f t="shared" si="20"/>
        <v>MEDICARE TAXES</v>
      </c>
    </row>
    <row r="1819" spans="5:8" x14ac:dyDescent="0.25">
      <c r="E1819" t="str">
        <f>""</f>
        <v/>
      </c>
      <c r="F1819" t="str">
        <f>""</f>
        <v/>
      </c>
      <c r="H1819" t="str">
        <f t="shared" si="20"/>
        <v>MEDICARE TAXES</v>
      </c>
    </row>
    <row r="1820" spans="5:8" x14ac:dyDescent="0.25">
      <c r="E1820" t="str">
        <f>""</f>
        <v/>
      </c>
      <c r="F1820" t="str">
        <f>""</f>
        <v/>
      </c>
      <c r="H1820" t="str">
        <f t="shared" si="20"/>
        <v>MEDICARE TAXES</v>
      </c>
    </row>
    <row r="1821" spans="5:8" x14ac:dyDescent="0.25">
      <c r="E1821" t="str">
        <f>""</f>
        <v/>
      </c>
      <c r="F1821" t="str">
        <f>""</f>
        <v/>
      </c>
      <c r="H1821" t="str">
        <f t="shared" si="20"/>
        <v>MEDICARE TAXES</v>
      </c>
    </row>
    <row r="1822" spans="5:8" x14ac:dyDescent="0.25">
      <c r="E1822" t="str">
        <f>""</f>
        <v/>
      </c>
      <c r="F1822" t="str">
        <f>""</f>
        <v/>
      </c>
      <c r="H1822" t="str">
        <f t="shared" si="20"/>
        <v>MEDICARE TAXES</v>
      </c>
    </row>
    <row r="1823" spans="5:8" x14ac:dyDescent="0.25">
      <c r="E1823" t="str">
        <f>""</f>
        <v/>
      </c>
      <c r="F1823" t="str">
        <f>""</f>
        <v/>
      </c>
      <c r="H1823" t="str">
        <f t="shared" si="20"/>
        <v>MEDICARE TAXES</v>
      </c>
    </row>
    <row r="1824" spans="5:8" x14ac:dyDescent="0.25">
      <c r="E1824" t="str">
        <f>""</f>
        <v/>
      </c>
      <c r="F1824" t="str">
        <f>""</f>
        <v/>
      </c>
      <c r="H1824" t="str">
        <f t="shared" si="20"/>
        <v>MEDICARE TAXES</v>
      </c>
    </row>
    <row r="1825" spans="5:8" x14ac:dyDescent="0.25">
      <c r="E1825" t="str">
        <f>""</f>
        <v/>
      </c>
      <c r="F1825" t="str">
        <f>""</f>
        <v/>
      </c>
      <c r="H1825" t="str">
        <f t="shared" si="20"/>
        <v>MEDICARE TAXES</v>
      </c>
    </row>
    <row r="1826" spans="5:8" x14ac:dyDescent="0.25">
      <c r="E1826" t="str">
        <f>""</f>
        <v/>
      </c>
      <c r="F1826" t="str">
        <f>""</f>
        <v/>
      </c>
      <c r="H1826" t="str">
        <f t="shared" ref="H1826:H1851" si="21">"MEDICARE TAXES"</f>
        <v>MEDICARE TAXES</v>
      </c>
    </row>
    <row r="1827" spans="5:8" x14ac:dyDescent="0.25">
      <c r="E1827" t="str">
        <f>""</f>
        <v/>
      </c>
      <c r="F1827" t="str">
        <f>""</f>
        <v/>
      </c>
      <c r="H1827" t="str">
        <f t="shared" si="21"/>
        <v>MEDICARE TAXES</v>
      </c>
    </row>
    <row r="1828" spans="5:8" x14ac:dyDescent="0.25">
      <c r="E1828" t="str">
        <f>""</f>
        <v/>
      </c>
      <c r="F1828" t="str">
        <f>""</f>
        <v/>
      </c>
      <c r="H1828" t="str">
        <f t="shared" si="21"/>
        <v>MEDICARE TAXES</v>
      </c>
    </row>
    <row r="1829" spans="5:8" x14ac:dyDescent="0.25">
      <c r="E1829" t="str">
        <f>""</f>
        <v/>
      </c>
      <c r="F1829" t="str">
        <f>""</f>
        <v/>
      </c>
      <c r="H1829" t="str">
        <f t="shared" si="21"/>
        <v>MEDICARE TAXES</v>
      </c>
    </row>
    <row r="1830" spans="5:8" x14ac:dyDescent="0.25">
      <c r="E1830" t="str">
        <f>""</f>
        <v/>
      </c>
      <c r="F1830" t="str">
        <f>""</f>
        <v/>
      </c>
      <c r="H1830" t="str">
        <f t="shared" si="21"/>
        <v>MEDICARE TAXES</v>
      </c>
    </row>
    <row r="1831" spans="5:8" x14ac:dyDescent="0.25">
      <c r="E1831" t="str">
        <f>""</f>
        <v/>
      </c>
      <c r="F1831" t="str">
        <f>""</f>
        <v/>
      </c>
      <c r="H1831" t="str">
        <f t="shared" si="21"/>
        <v>MEDICARE TAXES</v>
      </c>
    </row>
    <row r="1832" spans="5:8" x14ac:dyDescent="0.25">
      <c r="E1832" t="str">
        <f>""</f>
        <v/>
      </c>
      <c r="F1832" t="str">
        <f>""</f>
        <v/>
      </c>
      <c r="H1832" t="str">
        <f t="shared" si="21"/>
        <v>MEDICARE TAXES</v>
      </c>
    </row>
    <row r="1833" spans="5:8" x14ac:dyDescent="0.25">
      <c r="E1833" t="str">
        <f>""</f>
        <v/>
      </c>
      <c r="F1833" t="str">
        <f>""</f>
        <v/>
      </c>
      <c r="H1833" t="str">
        <f t="shared" si="21"/>
        <v>MEDICARE TAXES</v>
      </c>
    </row>
    <row r="1834" spans="5:8" x14ac:dyDescent="0.25">
      <c r="E1834" t="str">
        <f>""</f>
        <v/>
      </c>
      <c r="F1834" t="str">
        <f>""</f>
        <v/>
      </c>
      <c r="H1834" t="str">
        <f t="shared" si="21"/>
        <v>MEDICARE TAXES</v>
      </c>
    </row>
    <row r="1835" spans="5:8" x14ac:dyDescent="0.25">
      <c r="E1835" t="str">
        <f>""</f>
        <v/>
      </c>
      <c r="F1835" t="str">
        <f>""</f>
        <v/>
      </c>
      <c r="H1835" t="str">
        <f t="shared" si="21"/>
        <v>MEDICARE TAXES</v>
      </c>
    </row>
    <row r="1836" spans="5:8" x14ac:dyDescent="0.25">
      <c r="E1836" t="str">
        <f>""</f>
        <v/>
      </c>
      <c r="F1836" t="str">
        <f>""</f>
        <v/>
      </c>
      <c r="H1836" t="str">
        <f t="shared" si="21"/>
        <v>MEDICARE TAXES</v>
      </c>
    </row>
    <row r="1837" spans="5:8" x14ac:dyDescent="0.25">
      <c r="E1837" t="str">
        <f>""</f>
        <v/>
      </c>
      <c r="F1837" t="str">
        <f>""</f>
        <v/>
      </c>
      <c r="H1837" t="str">
        <f t="shared" si="21"/>
        <v>MEDICARE TAXES</v>
      </c>
    </row>
    <row r="1838" spans="5:8" x14ac:dyDescent="0.25">
      <c r="E1838" t="str">
        <f>""</f>
        <v/>
      </c>
      <c r="F1838" t="str">
        <f>""</f>
        <v/>
      </c>
      <c r="H1838" t="str">
        <f t="shared" si="21"/>
        <v>MEDICARE TAXES</v>
      </c>
    </row>
    <row r="1839" spans="5:8" x14ac:dyDescent="0.25">
      <c r="E1839" t="str">
        <f>""</f>
        <v/>
      </c>
      <c r="F1839" t="str">
        <f>""</f>
        <v/>
      </c>
      <c r="H1839" t="str">
        <f t="shared" si="21"/>
        <v>MEDICARE TAXES</v>
      </c>
    </row>
    <row r="1840" spans="5:8" x14ac:dyDescent="0.25">
      <c r="E1840" t="str">
        <f>""</f>
        <v/>
      </c>
      <c r="F1840" t="str">
        <f>""</f>
        <v/>
      </c>
      <c r="H1840" t="str">
        <f t="shared" si="21"/>
        <v>MEDICARE TAXES</v>
      </c>
    </row>
    <row r="1841" spans="1:8" x14ac:dyDescent="0.25">
      <c r="E1841" t="str">
        <f>""</f>
        <v/>
      </c>
      <c r="F1841" t="str">
        <f>""</f>
        <v/>
      </c>
      <c r="H1841" t="str">
        <f t="shared" si="21"/>
        <v>MEDICARE TAXES</v>
      </c>
    </row>
    <row r="1842" spans="1:8" x14ac:dyDescent="0.25">
      <c r="E1842" t="str">
        <f>""</f>
        <v/>
      </c>
      <c r="F1842" t="str">
        <f>""</f>
        <v/>
      </c>
      <c r="H1842" t="str">
        <f t="shared" si="21"/>
        <v>MEDICARE TAXES</v>
      </c>
    </row>
    <row r="1843" spans="1:8" x14ac:dyDescent="0.25">
      <c r="E1843" t="str">
        <f>""</f>
        <v/>
      </c>
      <c r="F1843" t="str">
        <f>""</f>
        <v/>
      </c>
      <c r="H1843" t="str">
        <f t="shared" si="21"/>
        <v>MEDICARE TAXES</v>
      </c>
    </row>
    <row r="1844" spans="1:8" x14ac:dyDescent="0.25">
      <c r="E1844" t="str">
        <f>""</f>
        <v/>
      </c>
      <c r="F1844" t="str">
        <f>""</f>
        <v/>
      </c>
      <c r="H1844" t="str">
        <f t="shared" si="21"/>
        <v>MEDICARE TAXES</v>
      </c>
    </row>
    <row r="1845" spans="1:8" x14ac:dyDescent="0.25">
      <c r="E1845" t="str">
        <f>""</f>
        <v/>
      </c>
      <c r="F1845" t="str">
        <f>""</f>
        <v/>
      </c>
      <c r="H1845" t="str">
        <f t="shared" si="21"/>
        <v>MEDICARE TAXES</v>
      </c>
    </row>
    <row r="1846" spans="1:8" x14ac:dyDescent="0.25">
      <c r="E1846" t="str">
        <f>""</f>
        <v/>
      </c>
      <c r="F1846" t="str">
        <f>""</f>
        <v/>
      </c>
      <c r="H1846" t="str">
        <f t="shared" si="21"/>
        <v>MEDICARE TAXES</v>
      </c>
    </row>
    <row r="1847" spans="1:8" x14ac:dyDescent="0.25">
      <c r="E1847" t="str">
        <f>""</f>
        <v/>
      </c>
      <c r="F1847" t="str">
        <f>""</f>
        <v/>
      </c>
      <c r="H1847" t="str">
        <f t="shared" si="21"/>
        <v>MEDICARE TAXES</v>
      </c>
    </row>
    <row r="1848" spans="1:8" x14ac:dyDescent="0.25">
      <c r="E1848" t="str">
        <f>"T4 202012220866"</f>
        <v>T4 202012220866</v>
      </c>
      <c r="F1848" t="str">
        <f>"MEDICARE TAXES"</f>
        <v>MEDICARE TAXES</v>
      </c>
      <c r="G1848" s="3">
        <v>933.86</v>
      </c>
      <c r="H1848" t="str">
        <f t="shared" si="21"/>
        <v>MEDICARE TAXES</v>
      </c>
    </row>
    <row r="1849" spans="1:8" x14ac:dyDescent="0.25">
      <c r="E1849" t="str">
        <f>""</f>
        <v/>
      </c>
      <c r="F1849" t="str">
        <f>""</f>
        <v/>
      </c>
      <c r="H1849" t="str">
        <f t="shared" si="21"/>
        <v>MEDICARE TAXES</v>
      </c>
    </row>
    <row r="1850" spans="1:8" x14ac:dyDescent="0.25">
      <c r="E1850" t="str">
        <f>"T4 202012220867"</f>
        <v>T4 202012220867</v>
      </c>
      <c r="F1850" t="str">
        <f>"MEDICARE TAXES"</f>
        <v>MEDICARE TAXES</v>
      </c>
      <c r="G1850" s="3">
        <v>1079.72</v>
      </c>
      <c r="H1850" t="str">
        <f t="shared" si="21"/>
        <v>MEDICARE TAXES</v>
      </c>
    </row>
    <row r="1851" spans="1:8" x14ac:dyDescent="0.25">
      <c r="E1851" t="str">
        <f>""</f>
        <v/>
      </c>
      <c r="F1851" t="str">
        <f>""</f>
        <v/>
      </c>
      <c r="H1851" t="str">
        <f t="shared" si="21"/>
        <v>MEDICARE TAXES</v>
      </c>
    </row>
    <row r="1852" spans="1:8" x14ac:dyDescent="0.25">
      <c r="A1852" t="s">
        <v>402</v>
      </c>
      <c r="B1852">
        <v>820</v>
      </c>
      <c r="C1852" s="3">
        <v>1935.1</v>
      </c>
      <c r="D1852" s="5">
        <v>44188</v>
      </c>
      <c r="E1852" t="str">
        <f>"DHM202012220867"</f>
        <v>DHM202012220867</v>
      </c>
      <c r="F1852" t="str">
        <f>"AP - DENTAL HMO"</f>
        <v>AP - DENTAL HMO</v>
      </c>
      <c r="G1852" s="3">
        <v>33.590000000000003</v>
      </c>
      <c r="H1852" t="str">
        <f>"AP - DENTAL HMO"</f>
        <v>AP - DENTAL HMO</v>
      </c>
    </row>
    <row r="1853" spans="1:8" x14ac:dyDescent="0.25">
      <c r="E1853" t="str">
        <f>"DTX202012220867"</f>
        <v>DTX202012220867</v>
      </c>
      <c r="F1853" t="str">
        <f>"AP - TEXAS DENTAL"</f>
        <v>AP - TEXAS DENTAL</v>
      </c>
      <c r="G1853" s="3">
        <v>359.12</v>
      </c>
      <c r="H1853" t="str">
        <f>"AP - TEXAS DENTAL"</f>
        <v>AP - TEXAS DENTAL</v>
      </c>
    </row>
    <row r="1854" spans="1:8" x14ac:dyDescent="0.25">
      <c r="E1854" t="str">
        <f>"FD 202012220867"</f>
        <v>FD 202012220867</v>
      </c>
      <c r="F1854" t="str">
        <f>"AP - FT DEARBORN PRE-TAX"</f>
        <v>AP - FT DEARBORN PRE-TAX</v>
      </c>
      <c r="G1854" s="3">
        <v>91.21</v>
      </c>
      <c r="H1854" t="str">
        <f>"AP - FT DEARBORN PRE-TAX"</f>
        <v>AP - FT DEARBORN PRE-TAX</v>
      </c>
    </row>
    <row r="1855" spans="1:8" x14ac:dyDescent="0.25">
      <c r="E1855" t="str">
        <f>"FDT202012220867"</f>
        <v>FDT202012220867</v>
      </c>
      <c r="F1855" t="str">
        <f>"AP - FT DEARBORN AFTER TAX"</f>
        <v>AP - FT DEARBORN AFTER TAX</v>
      </c>
      <c r="G1855" s="3">
        <v>65.209999999999994</v>
      </c>
      <c r="H1855" t="str">
        <f>"AP - FT DEARBORN AFTER TAX"</f>
        <v>AP - FT DEARBORN AFTER TAX</v>
      </c>
    </row>
    <row r="1856" spans="1:8" x14ac:dyDescent="0.25">
      <c r="E1856" t="str">
        <f>"FLX202012220867"</f>
        <v>FLX202012220867</v>
      </c>
      <c r="F1856" t="str">
        <f>"AP - TEX FLEX"</f>
        <v>AP - TEX FLEX</v>
      </c>
      <c r="G1856" s="3">
        <v>94.5</v>
      </c>
      <c r="H1856" t="str">
        <f>"AP - TEX FLEX"</f>
        <v>AP - TEX FLEX</v>
      </c>
    </row>
    <row r="1857" spans="1:8" x14ac:dyDescent="0.25">
      <c r="E1857" t="str">
        <f>"HSA202012220867"</f>
        <v>HSA202012220867</v>
      </c>
      <c r="F1857" t="str">
        <f>"AP- HSA"</f>
        <v>AP- HSA</v>
      </c>
      <c r="G1857" s="3">
        <v>20</v>
      </c>
      <c r="H1857" t="str">
        <f>"AP- HSA"</f>
        <v>AP- HSA</v>
      </c>
    </row>
    <row r="1858" spans="1:8" x14ac:dyDescent="0.25">
      <c r="E1858" t="str">
        <f>"MHS202012220867"</f>
        <v>MHS202012220867</v>
      </c>
      <c r="F1858" t="str">
        <f>"AP - HEALTH SELECT MEDICAL"</f>
        <v>AP - HEALTH SELECT MEDICAL</v>
      </c>
      <c r="G1858" s="3">
        <v>837.83</v>
      </c>
      <c r="H1858" t="str">
        <f>"AP - HEALTH SELECT MEDICAL"</f>
        <v>AP - HEALTH SELECT MEDICAL</v>
      </c>
    </row>
    <row r="1859" spans="1:8" x14ac:dyDescent="0.25">
      <c r="E1859" t="str">
        <f>"MSW202012220867"</f>
        <v>MSW202012220867</v>
      </c>
      <c r="F1859" t="str">
        <f>"AP - SCOTT &amp; WHITE MEDICAL"</f>
        <v>AP - SCOTT &amp; WHITE MEDICAL</v>
      </c>
      <c r="G1859" s="3">
        <v>372.42</v>
      </c>
      <c r="H1859" t="str">
        <f>"AP - SCOTT &amp; WHITE MEDICAL"</f>
        <v>AP - SCOTT &amp; WHITE MEDICAL</v>
      </c>
    </row>
    <row r="1860" spans="1:8" x14ac:dyDescent="0.25">
      <c r="E1860" t="str">
        <f>"SPE202012220867"</f>
        <v>SPE202012220867</v>
      </c>
      <c r="F1860" t="str">
        <f>"AP - STATE VISION"</f>
        <v>AP - STATE VISION</v>
      </c>
      <c r="G1860" s="3">
        <v>61.22</v>
      </c>
      <c r="H1860" t="str">
        <f>"AP - STATE VISION"</f>
        <v>AP - STATE VISION</v>
      </c>
    </row>
    <row r="1861" spans="1:8" x14ac:dyDescent="0.25">
      <c r="A1861" t="s">
        <v>403</v>
      </c>
      <c r="B1861">
        <v>821</v>
      </c>
      <c r="C1861" s="3">
        <v>7820.8</v>
      </c>
      <c r="D1861" s="5">
        <v>44188</v>
      </c>
      <c r="E1861" t="str">
        <f>"CPI202012220865"</f>
        <v>CPI202012220865</v>
      </c>
      <c r="F1861" t="str">
        <f>"DEFERRED COMP 457B PAYABLE"</f>
        <v>DEFERRED COMP 457B PAYABLE</v>
      </c>
      <c r="G1861" s="3">
        <v>7725.8</v>
      </c>
      <c r="H1861" t="str">
        <f>"DEFERRED COMP 457B PAYABLE"</f>
        <v>DEFERRED COMP 457B PAYABLE</v>
      </c>
    </row>
    <row r="1862" spans="1:8" x14ac:dyDescent="0.25">
      <c r="E1862" t="str">
        <f>"CPI202012220866"</f>
        <v>CPI202012220866</v>
      </c>
      <c r="F1862" t="str">
        <f>"DEFERRED COMP 457B PAYABLE"</f>
        <v>DEFERRED COMP 457B PAYABLE</v>
      </c>
      <c r="G1862" s="3">
        <v>95</v>
      </c>
      <c r="H1862" t="str">
        <f>"DEFERRED COMP 457B PAYABLE"</f>
        <v>DEFERRED COMP 457B PAYABLE</v>
      </c>
    </row>
    <row r="1863" spans="1:8" x14ac:dyDescent="0.25">
      <c r="A1863" t="s">
        <v>404</v>
      </c>
      <c r="B1863">
        <v>822</v>
      </c>
      <c r="C1863" s="3">
        <v>4494.3999999999996</v>
      </c>
      <c r="D1863" s="5">
        <v>44188</v>
      </c>
      <c r="E1863" t="str">
        <f>"C2 202012220866"</f>
        <v>C2 202012220866</v>
      </c>
      <c r="F1863" t="str">
        <f>"0012982132CCL7445"</f>
        <v>0012982132CCL7445</v>
      </c>
      <c r="G1863" s="3">
        <v>692.31</v>
      </c>
      <c r="H1863" t="str">
        <f>"0012982132CCL7445"</f>
        <v>0012982132CCL7445</v>
      </c>
    </row>
    <row r="1864" spans="1:8" x14ac:dyDescent="0.25">
      <c r="E1864" t="str">
        <f>"C20202012220865"</f>
        <v>C20202012220865</v>
      </c>
      <c r="F1864" t="str">
        <f>"001003981107-12252"</f>
        <v>001003981107-12252</v>
      </c>
      <c r="G1864" s="3">
        <v>115.39</v>
      </c>
      <c r="H1864" t="str">
        <f>"001003981107-12252"</f>
        <v>001003981107-12252</v>
      </c>
    </row>
    <row r="1865" spans="1:8" x14ac:dyDescent="0.25">
      <c r="E1865" t="str">
        <f>"C42202012220865"</f>
        <v>C42202012220865</v>
      </c>
      <c r="F1865" t="str">
        <f>"001236769211-14410"</f>
        <v>001236769211-14410</v>
      </c>
      <c r="G1865" s="3">
        <v>230.31</v>
      </c>
      <c r="H1865" t="str">
        <f>"001236769211-14410"</f>
        <v>001236769211-14410</v>
      </c>
    </row>
    <row r="1866" spans="1:8" x14ac:dyDescent="0.25">
      <c r="E1866" t="str">
        <f>"C46202012220865"</f>
        <v>C46202012220865</v>
      </c>
      <c r="F1866" t="str">
        <f>"CAUSE# 11-14911"</f>
        <v>CAUSE# 11-14911</v>
      </c>
      <c r="G1866" s="3">
        <v>238.62</v>
      </c>
      <c r="H1866" t="str">
        <f>"CAUSE# 11-14911"</f>
        <v>CAUSE# 11-14911</v>
      </c>
    </row>
    <row r="1867" spans="1:8" x14ac:dyDescent="0.25">
      <c r="E1867" t="str">
        <f>"C60202012220865"</f>
        <v>C60202012220865</v>
      </c>
      <c r="F1867" t="str">
        <f>"00130730762012V300"</f>
        <v>00130730762012V300</v>
      </c>
      <c r="G1867" s="3">
        <v>399.32</v>
      </c>
      <c r="H1867" t="str">
        <f>"00130730762012V300"</f>
        <v>00130730762012V300</v>
      </c>
    </row>
    <row r="1868" spans="1:8" x14ac:dyDescent="0.25">
      <c r="E1868" t="str">
        <f>"C62202012220865"</f>
        <v>C62202012220865</v>
      </c>
      <c r="F1868" t="str">
        <f>"# 0012128865"</f>
        <v># 0012128865</v>
      </c>
      <c r="G1868" s="3">
        <v>243.23</v>
      </c>
      <c r="H1868" t="str">
        <f>"# 0012128865"</f>
        <v># 0012128865</v>
      </c>
    </row>
    <row r="1869" spans="1:8" x14ac:dyDescent="0.25">
      <c r="E1869" t="str">
        <f>"C66202012220865"</f>
        <v>C66202012220865</v>
      </c>
      <c r="F1869" t="str">
        <f>"# 0012871801"</f>
        <v># 0012871801</v>
      </c>
      <c r="G1869" s="3">
        <v>90</v>
      </c>
      <c r="H1869" t="str">
        <f>"# 0012871801"</f>
        <v># 0012871801</v>
      </c>
    </row>
    <row r="1870" spans="1:8" x14ac:dyDescent="0.25">
      <c r="E1870" t="str">
        <f>"C67202012220865"</f>
        <v>C67202012220865</v>
      </c>
      <c r="F1870" t="str">
        <f>"13154657"</f>
        <v>13154657</v>
      </c>
      <c r="G1870" s="3">
        <v>101.99</v>
      </c>
      <c r="H1870" t="str">
        <f>"13154657"</f>
        <v>13154657</v>
      </c>
    </row>
    <row r="1871" spans="1:8" x14ac:dyDescent="0.25">
      <c r="E1871" t="str">
        <f>"C69202012220865"</f>
        <v>C69202012220865</v>
      </c>
      <c r="F1871" t="str">
        <f>"0012046911423672"</f>
        <v>0012046911423672</v>
      </c>
      <c r="G1871" s="3">
        <v>187.38</v>
      </c>
      <c r="H1871" t="str">
        <f>"0012046911423672"</f>
        <v>0012046911423672</v>
      </c>
    </row>
    <row r="1872" spans="1:8" x14ac:dyDescent="0.25">
      <c r="E1872" t="str">
        <f>"C71202012220865"</f>
        <v>C71202012220865</v>
      </c>
      <c r="F1872" t="str">
        <f>"00137390532018V215"</f>
        <v>00137390532018V215</v>
      </c>
      <c r="G1872" s="3">
        <v>264</v>
      </c>
      <c r="H1872" t="str">
        <f>"00137390532018V215"</f>
        <v>00137390532018V215</v>
      </c>
    </row>
    <row r="1873" spans="1:8" x14ac:dyDescent="0.25">
      <c r="E1873" t="str">
        <f>"C72202012220865"</f>
        <v>C72202012220865</v>
      </c>
      <c r="F1873" t="str">
        <f>"0012797601C20130529B"</f>
        <v>0012797601C20130529B</v>
      </c>
      <c r="G1873" s="3">
        <v>241.85</v>
      </c>
      <c r="H1873" t="str">
        <f>"0012797601C20130529B"</f>
        <v>0012797601C20130529B</v>
      </c>
    </row>
    <row r="1874" spans="1:8" x14ac:dyDescent="0.25">
      <c r="E1874" t="str">
        <f>"C78202012220865"</f>
        <v>C78202012220865</v>
      </c>
      <c r="F1874" t="str">
        <f>"00105115972005106221"</f>
        <v>00105115972005106221</v>
      </c>
      <c r="G1874" s="3">
        <v>144.68</v>
      </c>
      <c r="H1874" t="str">
        <f>"00105115972005106221"</f>
        <v>00105115972005106221</v>
      </c>
    </row>
    <row r="1875" spans="1:8" x14ac:dyDescent="0.25">
      <c r="E1875" t="str">
        <f>"C83202012220865"</f>
        <v>C83202012220865</v>
      </c>
      <c r="F1875" t="str">
        <f>"0013096953150533"</f>
        <v>0013096953150533</v>
      </c>
      <c r="G1875" s="3">
        <v>346.15</v>
      </c>
      <c r="H1875" t="str">
        <f>"0013096953150533"</f>
        <v>0013096953150533</v>
      </c>
    </row>
    <row r="1876" spans="1:8" x14ac:dyDescent="0.25">
      <c r="E1876" t="str">
        <f>"C84202012220865"</f>
        <v>C84202012220865</v>
      </c>
      <c r="F1876" t="str">
        <f>"00128499834232566"</f>
        <v>00128499834232566</v>
      </c>
      <c r="G1876" s="3">
        <v>439.94</v>
      </c>
      <c r="H1876" t="str">
        <f>"00128499834232566"</f>
        <v>00128499834232566</v>
      </c>
    </row>
    <row r="1877" spans="1:8" x14ac:dyDescent="0.25">
      <c r="E1877" t="str">
        <f>"C85202012220865"</f>
        <v>C85202012220865</v>
      </c>
      <c r="F1877" t="str">
        <f>"0012469425201770874"</f>
        <v>0012469425201770874</v>
      </c>
      <c r="G1877" s="3">
        <v>138.46</v>
      </c>
      <c r="H1877" t="str">
        <f>"0012469425201770874"</f>
        <v>0012469425201770874</v>
      </c>
    </row>
    <row r="1878" spans="1:8" x14ac:dyDescent="0.25">
      <c r="E1878" t="str">
        <f>"C86202012220865"</f>
        <v>C86202012220865</v>
      </c>
      <c r="F1878" t="str">
        <f>"0013854015101285F"</f>
        <v>0013854015101285F</v>
      </c>
      <c r="G1878" s="3">
        <v>241.85</v>
      </c>
      <c r="H1878" t="str">
        <f>"0013854015101285F"</f>
        <v>0013854015101285F</v>
      </c>
    </row>
    <row r="1879" spans="1:8" x14ac:dyDescent="0.25">
      <c r="E1879" t="str">
        <f>"C87202012220865"</f>
        <v>C87202012220865</v>
      </c>
      <c r="F1879" t="str">
        <f>"0012963634L130019CVB"</f>
        <v>0012963634L130019CVB</v>
      </c>
      <c r="G1879" s="3">
        <v>249.23</v>
      </c>
      <c r="H1879" t="str">
        <f>"0012963634L130019CVB"</f>
        <v>0012963634L130019CVB</v>
      </c>
    </row>
    <row r="1880" spans="1:8" x14ac:dyDescent="0.25">
      <c r="E1880" t="str">
        <f>"C89202012220865"</f>
        <v>C89202012220865</v>
      </c>
      <c r="F1880" t="str">
        <f>"00127760434232477"</f>
        <v>00127760434232477</v>
      </c>
      <c r="G1880" s="3">
        <v>129.69</v>
      </c>
      <c r="H1880" t="str">
        <f>"00127760434232477"</f>
        <v>00127760434232477</v>
      </c>
    </row>
    <row r="1881" spans="1:8" x14ac:dyDescent="0.25">
      <c r="A1881" t="s">
        <v>405</v>
      </c>
      <c r="B1881">
        <v>823</v>
      </c>
      <c r="C1881" s="3">
        <v>8707.58</v>
      </c>
      <c r="D1881" s="5">
        <v>44188</v>
      </c>
      <c r="E1881" t="str">
        <f>"FSA202012220865"</f>
        <v>FSA202012220865</v>
      </c>
      <c r="F1881" t="str">
        <f>"TASC FSA"</f>
        <v>TASC FSA</v>
      </c>
      <c r="G1881" s="3">
        <v>7134.26</v>
      </c>
      <c r="H1881" t="str">
        <f>"TASC FSA"</f>
        <v>TASC FSA</v>
      </c>
    </row>
    <row r="1882" spans="1:8" x14ac:dyDescent="0.25">
      <c r="E1882" t="str">
        <f>"FSA202012220866"</f>
        <v>FSA202012220866</v>
      </c>
      <c r="F1882" t="str">
        <f>"TASC FSA"</f>
        <v>TASC FSA</v>
      </c>
      <c r="G1882" s="3">
        <v>443.32</v>
      </c>
      <c r="H1882" t="str">
        <f>"TASC FSA"</f>
        <v>TASC FSA</v>
      </c>
    </row>
    <row r="1883" spans="1:8" x14ac:dyDescent="0.25">
      <c r="E1883" t="str">
        <f>"FSC202012220865"</f>
        <v>FSC202012220865</v>
      </c>
      <c r="F1883" t="str">
        <f>"TASC DEPENDENT CARE"</f>
        <v>TASC DEPENDENT CARE</v>
      </c>
      <c r="G1883" s="3">
        <v>50</v>
      </c>
      <c r="H1883" t="str">
        <f>"TASC DEPENDENT CARE"</f>
        <v>TASC DEPENDENT CARE</v>
      </c>
    </row>
    <row r="1884" spans="1:8" x14ac:dyDescent="0.25">
      <c r="E1884" t="str">
        <f>"FSF202012220865"</f>
        <v>FSF202012220865</v>
      </c>
      <c r="F1884" t="str">
        <f>"TASC - FSA  FEES"</f>
        <v>TASC - FSA  FEES</v>
      </c>
      <c r="G1884" s="3">
        <v>241.2</v>
      </c>
      <c r="H1884" t="str">
        <f t="shared" ref="H1884:H1923" si="22">"TASC - FSA  FEES"</f>
        <v>TASC - FSA  FEES</v>
      </c>
    </row>
    <row r="1885" spans="1:8" x14ac:dyDescent="0.25">
      <c r="E1885" t="str">
        <f>""</f>
        <v/>
      </c>
      <c r="F1885" t="str">
        <f>""</f>
        <v/>
      </c>
      <c r="H1885" t="str">
        <f t="shared" si="22"/>
        <v>TASC - FSA  FEES</v>
      </c>
    </row>
    <row r="1886" spans="1:8" x14ac:dyDescent="0.25">
      <c r="E1886" t="str">
        <f>""</f>
        <v/>
      </c>
      <c r="F1886" t="str">
        <f>""</f>
        <v/>
      </c>
      <c r="H1886" t="str">
        <f t="shared" si="22"/>
        <v>TASC - FSA  FEES</v>
      </c>
    </row>
    <row r="1887" spans="1:8" x14ac:dyDescent="0.25">
      <c r="E1887" t="str">
        <f>""</f>
        <v/>
      </c>
      <c r="F1887" t="str">
        <f>""</f>
        <v/>
      </c>
      <c r="H1887" t="str">
        <f t="shared" si="22"/>
        <v>TASC - FSA  FEES</v>
      </c>
    </row>
    <row r="1888" spans="1:8" x14ac:dyDescent="0.25">
      <c r="E1888" t="str">
        <f>""</f>
        <v/>
      </c>
      <c r="F1888" t="str">
        <f>""</f>
        <v/>
      </c>
      <c r="H1888" t="str">
        <f t="shared" si="22"/>
        <v>TASC - FSA  FEES</v>
      </c>
    </row>
    <row r="1889" spans="5:8" x14ac:dyDescent="0.25">
      <c r="E1889" t="str">
        <f>""</f>
        <v/>
      </c>
      <c r="F1889" t="str">
        <f>""</f>
        <v/>
      </c>
      <c r="H1889" t="str">
        <f t="shared" si="22"/>
        <v>TASC - FSA  FEES</v>
      </c>
    </row>
    <row r="1890" spans="5:8" x14ac:dyDescent="0.25">
      <c r="E1890" t="str">
        <f>""</f>
        <v/>
      </c>
      <c r="F1890" t="str">
        <f>""</f>
        <v/>
      </c>
      <c r="H1890" t="str">
        <f t="shared" si="22"/>
        <v>TASC - FSA  FEES</v>
      </c>
    </row>
    <row r="1891" spans="5:8" x14ac:dyDescent="0.25">
      <c r="E1891" t="str">
        <f>""</f>
        <v/>
      </c>
      <c r="F1891" t="str">
        <f>""</f>
        <v/>
      </c>
      <c r="H1891" t="str">
        <f t="shared" si="22"/>
        <v>TASC - FSA  FEES</v>
      </c>
    </row>
    <row r="1892" spans="5:8" x14ac:dyDescent="0.25">
      <c r="E1892" t="str">
        <f>""</f>
        <v/>
      </c>
      <c r="F1892" t="str">
        <f>""</f>
        <v/>
      </c>
      <c r="H1892" t="str">
        <f t="shared" si="22"/>
        <v>TASC - FSA  FEES</v>
      </c>
    </row>
    <row r="1893" spans="5:8" x14ac:dyDescent="0.25">
      <c r="E1893" t="str">
        <f>""</f>
        <v/>
      </c>
      <c r="F1893" t="str">
        <f>""</f>
        <v/>
      </c>
      <c r="H1893" t="str">
        <f t="shared" si="22"/>
        <v>TASC - FSA  FEES</v>
      </c>
    </row>
    <row r="1894" spans="5:8" x14ac:dyDescent="0.25">
      <c r="E1894" t="str">
        <f>""</f>
        <v/>
      </c>
      <c r="F1894" t="str">
        <f>""</f>
        <v/>
      </c>
      <c r="H1894" t="str">
        <f t="shared" si="22"/>
        <v>TASC - FSA  FEES</v>
      </c>
    </row>
    <row r="1895" spans="5:8" x14ac:dyDescent="0.25">
      <c r="E1895" t="str">
        <f>""</f>
        <v/>
      </c>
      <c r="F1895" t="str">
        <f>""</f>
        <v/>
      </c>
      <c r="H1895" t="str">
        <f t="shared" si="22"/>
        <v>TASC - FSA  FEES</v>
      </c>
    </row>
    <row r="1896" spans="5:8" x14ac:dyDescent="0.25">
      <c r="E1896" t="str">
        <f>""</f>
        <v/>
      </c>
      <c r="F1896" t="str">
        <f>""</f>
        <v/>
      </c>
      <c r="H1896" t="str">
        <f t="shared" si="22"/>
        <v>TASC - FSA  FEES</v>
      </c>
    </row>
    <row r="1897" spans="5:8" x14ac:dyDescent="0.25">
      <c r="E1897" t="str">
        <f>""</f>
        <v/>
      </c>
      <c r="F1897" t="str">
        <f>""</f>
        <v/>
      </c>
      <c r="H1897" t="str">
        <f t="shared" si="22"/>
        <v>TASC - FSA  FEES</v>
      </c>
    </row>
    <row r="1898" spans="5:8" x14ac:dyDescent="0.25">
      <c r="E1898" t="str">
        <f>""</f>
        <v/>
      </c>
      <c r="F1898" t="str">
        <f>""</f>
        <v/>
      </c>
      <c r="H1898" t="str">
        <f t="shared" si="22"/>
        <v>TASC - FSA  FEES</v>
      </c>
    </row>
    <row r="1899" spans="5:8" x14ac:dyDescent="0.25">
      <c r="E1899" t="str">
        <f>""</f>
        <v/>
      </c>
      <c r="F1899" t="str">
        <f>""</f>
        <v/>
      </c>
      <c r="H1899" t="str">
        <f t="shared" si="22"/>
        <v>TASC - FSA  FEES</v>
      </c>
    </row>
    <row r="1900" spans="5:8" x14ac:dyDescent="0.25">
      <c r="E1900" t="str">
        <f>""</f>
        <v/>
      </c>
      <c r="F1900" t="str">
        <f>""</f>
        <v/>
      </c>
      <c r="H1900" t="str">
        <f t="shared" si="22"/>
        <v>TASC - FSA  FEES</v>
      </c>
    </row>
    <row r="1901" spans="5:8" x14ac:dyDescent="0.25">
      <c r="E1901" t="str">
        <f>""</f>
        <v/>
      </c>
      <c r="F1901" t="str">
        <f>""</f>
        <v/>
      </c>
      <c r="H1901" t="str">
        <f t="shared" si="22"/>
        <v>TASC - FSA  FEES</v>
      </c>
    </row>
    <row r="1902" spans="5:8" x14ac:dyDescent="0.25">
      <c r="E1902" t="str">
        <f>""</f>
        <v/>
      </c>
      <c r="F1902" t="str">
        <f>""</f>
        <v/>
      </c>
      <c r="H1902" t="str">
        <f t="shared" si="22"/>
        <v>TASC - FSA  FEES</v>
      </c>
    </row>
    <row r="1903" spans="5:8" x14ac:dyDescent="0.25">
      <c r="E1903" t="str">
        <f>""</f>
        <v/>
      </c>
      <c r="F1903" t="str">
        <f>""</f>
        <v/>
      </c>
      <c r="H1903" t="str">
        <f t="shared" si="22"/>
        <v>TASC - FSA  FEES</v>
      </c>
    </row>
    <row r="1904" spans="5:8" x14ac:dyDescent="0.25">
      <c r="E1904" t="str">
        <f>""</f>
        <v/>
      </c>
      <c r="F1904" t="str">
        <f>""</f>
        <v/>
      </c>
      <c r="H1904" t="str">
        <f t="shared" si="22"/>
        <v>TASC - FSA  FEES</v>
      </c>
    </row>
    <row r="1905" spans="5:8" x14ac:dyDescent="0.25">
      <c r="E1905" t="str">
        <f>""</f>
        <v/>
      </c>
      <c r="F1905" t="str">
        <f>""</f>
        <v/>
      </c>
      <c r="H1905" t="str">
        <f t="shared" si="22"/>
        <v>TASC - FSA  FEES</v>
      </c>
    </row>
    <row r="1906" spans="5:8" x14ac:dyDescent="0.25">
      <c r="E1906" t="str">
        <f>""</f>
        <v/>
      </c>
      <c r="F1906" t="str">
        <f>""</f>
        <v/>
      </c>
      <c r="H1906" t="str">
        <f t="shared" si="22"/>
        <v>TASC - FSA  FEES</v>
      </c>
    </row>
    <row r="1907" spans="5:8" x14ac:dyDescent="0.25">
      <c r="E1907" t="str">
        <f>""</f>
        <v/>
      </c>
      <c r="F1907" t="str">
        <f>""</f>
        <v/>
      </c>
      <c r="H1907" t="str">
        <f t="shared" si="22"/>
        <v>TASC - FSA  FEES</v>
      </c>
    </row>
    <row r="1908" spans="5:8" x14ac:dyDescent="0.25">
      <c r="E1908" t="str">
        <f>""</f>
        <v/>
      </c>
      <c r="F1908" t="str">
        <f>""</f>
        <v/>
      </c>
      <c r="H1908" t="str">
        <f t="shared" si="22"/>
        <v>TASC - FSA  FEES</v>
      </c>
    </row>
    <row r="1909" spans="5:8" x14ac:dyDescent="0.25">
      <c r="E1909" t="str">
        <f>""</f>
        <v/>
      </c>
      <c r="F1909" t="str">
        <f>""</f>
        <v/>
      </c>
      <c r="H1909" t="str">
        <f t="shared" si="22"/>
        <v>TASC - FSA  FEES</v>
      </c>
    </row>
    <row r="1910" spans="5:8" x14ac:dyDescent="0.25">
      <c r="E1910" t="str">
        <f>""</f>
        <v/>
      </c>
      <c r="F1910" t="str">
        <f>""</f>
        <v/>
      </c>
      <c r="H1910" t="str">
        <f t="shared" si="22"/>
        <v>TASC - FSA  FEES</v>
      </c>
    </row>
    <row r="1911" spans="5:8" x14ac:dyDescent="0.25">
      <c r="E1911" t="str">
        <f>""</f>
        <v/>
      </c>
      <c r="F1911" t="str">
        <f>""</f>
        <v/>
      </c>
      <c r="H1911" t="str">
        <f t="shared" si="22"/>
        <v>TASC - FSA  FEES</v>
      </c>
    </row>
    <row r="1912" spans="5:8" x14ac:dyDescent="0.25">
      <c r="E1912" t="str">
        <f>""</f>
        <v/>
      </c>
      <c r="F1912" t="str">
        <f>""</f>
        <v/>
      </c>
      <c r="H1912" t="str">
        <f t="shared" si="22"/>
        <v>TASC - FSA  FEES</v>
      </c>
    </row>
    <row r="1913" spans="5:8" x14ac:dyDescent="0.25">
      <c r="E1913" t="str">
        <f>""</f>
        <v/>
      </c>
      <c r="F1913" t="str">
        <f>""</f>
        <v/>
      </c>
      <c r="H1913" t="str">
        <f t="shared" si="22"/>
        <v>TASC - FSA  FEES</v>
      </c>
    </row>
    <row r="1914" spans="5:8" x14ac:dyDescent="0.25">
      <c r="E1914" t="str">
        <f>""</f>
        <v/>
      </c>
      <c r="F1914" t="str">
        <f>""</f>
        <v/>
      </c>
      <c r="H1914" t="str">
        <f t="shared" si="22"/>
        <v>TASC - FSA  FEES</v>
      </c>
    </row>
    <row r="1915" spans="5:8" x14ac:dyDescent="0.25">
      <c r="E1915" t="str">
        <f>""</f>
        <v/>
      </c>
      <c r="F1915" t="str">
        <f>""</f>
        <v/>
      </c>
      <c r="H1915" t="str">
        <f t="shared" si="22"/>
        <v>TASC - FSA  FEES</v>
      </c>
    </row>
    <row r="1916" spans="5:8" x14ac:dyDescent="0.25">
      <c r="E1916" t="str">
        <f>""</f>
        <v/>
      </c>
      <c r="F1916" t="str">
        <f>""</f>
        <v/>
      </c>
      <c r="H1916" t="str">
        <f t="shared" si="22"/>
        <v>TASC - FSA  FEES</v>
      </c>
    </row>
    <row r="1917" spans="5:8" x14ac:dyDescent="0.25">
      <c r="E1917" t="str">
        <f>""</f>
        <v/>
      </c>
      <c r="F1917" t="str">
        <f>""</f>
        <v/>
      </c>
      <c r="H1917" t="str">
        <f t="shared" si="22"/>
        <v>TASC - FSA  FEES</v>
      </c>
    </row>
    <row r="1918" spans="5:8" x14ac:dyDescent="0.25">
      <c r="E1918" t="str">
        <f>""</f>
        <v/>
      </c>
      <c r="F1918" t="str">
        <f>""</f>
        <v/>
      </c>
      <c r="H1918" t="str">
        <f t="shared" si="22"/>
        <v>TASC - FSA  FEES</v>
      </c>
    </row>
    <row r="1919" spans="5:8" x14ac:dyDescent="0.25">
      <c r="E1919" t="str">
        <f>""</f>
        <v/>
      </c>
      <c r="F1919" t="str">
        <f>""</f>
        <v/>
      </c>
      <c r="H1919" t="str">
        <f t="shared" si="22"/>
        <v>TASC - FSA  FEES</v>
      </c>
    </row>
    <row r="1920" spans="5:8" x14ac:dyDescent="0.25">
      <c r="E1920" t="str">
        <f>""</f>
        <v/>
      </c>
      <c r="F1920" t="str">
        <f>""</f>
        <v/>
      </c>
      <c r="H1920" t="str">
        <f t="shared" si="22"/>
        <v>TASC - FSA  FEES</v>
      </c>
    </row>
    <row r="1921" spans="5:8" x14ac:dyDescent="0.25">
      <c r="E1921" t="str">
        <f>""</f>
        <v/>
      </c>
      <c r="F1921" t="str">
        <f>""</f>
        <v/>
      </c>
      <c r="H1921" t="str">
        <f t="shared" si="22"/>
        <v>TASC - FSA  FEES</v>
      </c>
    </row>
    <row r="1922" spans="5:8" x14ac:dyDescent="0.25">
      <c r="E1922" t="str">
        <f>""</f>
        <v/>
      </c>
      <c r="F1922" t="str">
        <f>""</f>
        <v/>
      </c>
      <c r="H1922" t="str">
        <f t="shared" si="22"/>
        <v>TASC - FSA  FEES</v>
      </c>
    </row>
    <row r="1923" spans="5:8" x14ac:dyDescent="0.25">
      <c r="E1923" t="str">
        <f>"FSF202012220866"</f>
        <v>FSF202012220866</v>
      </c>
      <c r="F1923" t="str">
        <f>"TASC - FSA  FEES"</f>
        <v>TASC - FSA  FEES</v>
      </c>
      <c r="G1923" s="3">
        <v>12.6</v>
      </c>
      <c r="H1923" t="str">
        <f t="shared" si="22"/>
        <v>TASC - FSA  FEES</v>
      </c>
    </row>
    <row r="1924" spans="5:8" x14ac:dyDescent="0.25">
      <c r="E1924" t="str">
        <f>"HRF202012220865"</f>
        <v>HRF202012220865</v>
      </c>
      <c r="F1924" t="str">
        <f>"TASC - HRA FEES"</f>
        <v>TASC - HRA FEES</v>
      </c>
      <c r="G1924" s="3">
        <v>799.2</v>
      </c>
      <c r="H1924" t="str">
        <f t="shared" ref="H1924:H1955" si="23">"TASC - HRA FEES"</f>
        <v>TASC - HRA FEES</v>
      </c>
    </row>
    <row r="1925" spans="5:8" x14ac:dyDescent="0.25">
      <c r="E1925" t="str">
        <f>""</f>
        <v/>
      </c>
      <c r="F1925" t="str">
        <f>""</f>
        <v/>
      </c>
      <c r="H1925" t="str">
        <f t="shared" si="23"/>
        <v>TASC - HRA FEES</v>
      </c>
    </row>
    <row r="1926" spans="5:8" x14ac:dyDescent="0.25">
      <c r="E1926" t="str">
        <f>""</f>
        <v/>
      </c>
      <c r="F1926" t="str">
        <f>""</f>
        <v/>
      </c>
      <c r="H1926" t="str">
        <f t="shared" si="23"/>
        <v>TASC - HRA FEES</v>
      </c>
    </row>
    <row r="1927" spans="5:8" x14ac:dyDescent="0.25">
      <c r="E1927" t="str">
        <f>""</f>
        <v/>
      </c>
      <c r="F1927" t="str">
        <f>""</f>
        <v/>
      </c>
      <c r="H1927" t="str">
        <f t="shared" si="23"/>
        <v>TASC - HRA FEES</v>
      </c>
    </row>
    <row r="1928" spans="5:8" x14ac:dyDescent="0.25">
      <c r="E1928" t="str">
        <f>""</f>
        <v/>
      </c>
      <c r="F1928" t="str">
        <f>""</f>
        <v/>
      </c>
      <c r="H1928" t="str">
        <f t="shared" si="23"/>
        <v>TASC - HRA FEES</v>
      </c>
    </row>
    <row r="1929" spans="5:8" x14ac:dyDescent="0.25">
      <c r="E1929" t="str">
        <f>""</f>
        <v/>
      </c>
      <c r="F1929" t="str">
        <f>""</f>
        <v/>
      </c>
      <c r="H1929" t="str">
        <f t="shared" si="23"/>
        <v>TASC - HRA FEES</v>
      </c>
    </row>
    <row r="1930" spans="5:8" x14ac:dyDescent="0.25">
      <c r="E1930" t="str">
        <f>""</f>
        <v/>
      </c>
      <c r="F1930" t="str">
        <f>""</f>
        <v/>
      </c>
      <c r="H1930" t="str">
        <f t="shared" si="23"/>
        <v>TASC - HRA FEES</v>
      </c>
    </row>
    <row r="1931" spans="5:8" x14ac:dyDescent="0.25">
      <c r="E1931" t="str">
        <f>""</f>
        <v/>
      </c>
      <c r="F1931" t="str">
        <f>""</f>
        <v/>
      </c>
      <c r="H1931" t="str">
        <f t="shared" si="23"/>
        <v>TASC - HRA FEES</v>
      </c>
    </row>
    <row r="1932" spans="5:8" x14ac:dyDescent="0.25">
      <c r="E1932" t="str">
        <f>""</f>
        <v/>
      </c>
      <c r="F1932" t="str">
        <f>""</f>
        <v/>
      </c>
      <c r="H1932" t="str">
        <f t="shared" si="23"/>
        <v>TASC - HRA FEES</v>
      </c>
    </row>
    <row r="1933" spans="5:8" x14ac:dyDescent="0.25">
      <c r="E1933" t="str">
        <f>""</f>
        <v/>
      </c>
      <c r="F1933" t="str">
        <f>""</f>
        <v/>
      </c>
      <c r="H1933" t="str">
        <f t="shared" si="23"/>
        <v>TASC - HRA FEES</v>
      </c>
    </row>
    <row r="1934" spans="5:8" x14ac:dyDescent="0.25">
      <c r="E1934" t="str">
        <f>""</f>
        <v/>
      </c>
      <c r="F1934" t="str">
        <f>""</f>
        <v/>
      </c>
      <c r="H1934" t="str">
        <f t="shared" si="23"/>
        <v>TASC - HRA FEES</v>
      </c>
    </row>
    <row r="1935" spans="5:8" x14ac:dyDescent="0.25">
      <c r="E1935" t="str">
        <f>""</f>
        <v/>
      </c>
      <c r="F1935" t="str">
        <f>""</f>
        <v/>
      </c>
      <c r="H1935" t="str">
        <f t="shared" si="23"/>
        <v>TASC - HRA FEES</v>
      </c>
    </row>
    <row r="1936" spans="5:8" x14ac:dyDescent="0.25">
      <c r="E1936" t="str">
        <f>""</f>
        <v/>
      </c>
      <c r="F1936" t="str">
        <f>""</f>
        <v/>
      </c>
      <c r="H1936" t="str">
        <f t="shared" si="23"/>
        <v>TASC - HRA FEES</v>
      </c>
    </row>
    <row r="1937" spans="5:8" x14ac:dyDescent="0.25">
      <c r="E1937" t="str">
        <f>""</f>
        <v/>
      </c>
      <c r="F1937" t="str">
        <f>""</f>
        <v/>
      </c>
      <c r="H1937" t="str">
        <f t="shared" si="23"/>
        <v>TASC - HRA FEES</v>
      </c>
    </row>
    <row r="1938" spans="5:8" x14ac:dyDescent="0.25">
      <c r="E1938" t="str">
        <f>""</f>
        <v/>
      </c>
      <c r="F1938" t="str">
        <f>""</f>
        <v/>
      </c>
      <c r="H1938" t="str">
        <f t="shared" si="23"/>
        <v>TASC - HRA FEES</v>
      </c>
    </row>
    <row r="1939" spans="5:8" x14ac:dyDescent="0.25">
      <c r="E1939" t="str">
        <f>""</f>
        <v/>
      </c>
      <c r="F1939" t="str">
        <f>""</f>
        <v/>
      </c>
      <c r="H1939" t="str">
        <f t="shared" si="23"/>
        <v>TASC - HRA FEES</v>
      </c>
    </row>
    <row r="1940" spans="5:8" x14ac:dyDescent="0.25">
      <c r="E1940" t="str">
        <f>""</f>
        <v/>
      </c>
      <c r="F1940" t="str">
        <f>""</f>
        <v/>
      </c>
      <c r="H1940" t="str">
        <f t="shared" si="23"/>
        <v>TASC - HRA FEES</v>
      </c>
    </row>
    <row r="1941" spans="5:8" x14ac:dyDescent="0.25">
      <c r="E1941" t="str">
        <f>""</f>
        <v/>
      </c>
      <c r="F1941" t="str">
        <f>""</f>
        <v/>
      </c>
      <c r="H1941" t="str">
        <f t="shared" si="23"/>
        <v>TASC - HRA FEES</v>
      </c>
    </row>
    <row r="1942" spans="5:8" x14ac:dyDescent="0.25">
      <c r="E1942" t="str">
        <f>""</f>
        <v/>
      </c>
      <c r="F1942" t="str">
        <f>""</f>
        <v/>
      </c>
      <c r="H1942" t="str">
        <f t="shared" si="23"/>
        <v>TASC - HRA FEES</v>
      </c>
    </row>
    <row r="1943" spans="5:8" x14ac:dyDescent="0.25">
      <c r="E1943" t="str">
        <f>""</f>
        <v/>
      </c>
      <c r="F1943" t="str">
        <f>""</f>
        <v/>
      </c>
      <c r="H1943" t="str">
        <f t="shared" si="23"/>
        <v>TASC - HRA FEES</v>
      </c>
    </row>
    <row r="1944" spans="5:8" x14ac:dyDescent="0.25">
      <c r="E1944" t="str">
        <f>""</f>
        <v/>
      </c>
      <c r="F1944" t="str">
        <f>""</f>
        <v/>
      </c>
      <c r="H1944" t="str">
        <f t="shared" si="23"/>
        <v>TASC - HRA FEES</v>
      </c>
    </row>
    <row r="1945" spans="5:8" x14ac:dyDescent="0.25">
      <c r="E1945" t="str">
        <f>""</f>
        <v/>
      </c>
      <c r="F1945" t="str">
        <f>""</f>
        <v/>
      </c>
      <c r="H1945" t="str">
        <f t="shared" si="23"/>
        <v>TASC - HRA FEES</v>
      </c>
    </row>
    <row r="1946" spans="5:8" x14ac:dyDescent="0.25">
      <c r="E1946" t="str">
        <f>""</f>
        <v/>
      </c>
      <c r="F1946" t="str">
        <f>""</f>
        <v/>
      </c>
      <c r="H1946" t="str">
        <f t="shared" si="23"/>
        <v>TASC - HRA FEES</v>
      </c>
    </row>
    <row r="1947" spans="5:8" x14ac:dyDescent="0.25">
      <c r="E1947" t="str">
        <f>""</f>
        <v/>
      </c>
      <c r="F1947" t="str">
        <f>""</f>
        <v/>
      </c>
      <c r="H1947" t="str">
        <f t="shared" si="23"/>
        <v>TASC - HRA FEES</v>
      </c>
    </row>
    <row r="1948" spans="5:8" x14ac:dyDescent="0.25">
      <c r="E1948" t="str">
        <f>""</f>
        <v/>
      </c>
      <c r="F1948" t="str">
        <f>""</f>
        <v/>
      </c>
      <c r="H1948" t="str">
        <f t="shared" si="23"/>
        <v>TASC - HRA FEES</v>
      </c>
    </row>
    <row r="1949" spans="5:8" x14ac:dyDescent="0.25">
      <c r="E1949" t="str">
        <f>""</f>
        <v/>
      </c>
      <c r="F1949" t="str">
        <f>""</f>
        <v/>
      </c>
      <c r="H1949" t="str">
        <f t="shared" si="23"/>
        <v>TASC - HRA FEES</v>
      </c>
    </row>
    <row r="1950" spans="5:8" x14ac:dyDescent="0.25">
      <c r="E1950" t="str">
        <f>""</f>
        <v/>
      </c>
      <c r="F1950" t="str">
        <f>""</f>
        <v/>
      </c>
      <c r="H1950" t="str">
        <f t="shared" si="23"/>
        <v>TASC - HRA FEES</v>
      </c>
    </row>
    <row r="1951" spans="5:8" x14ac:dyDescent="0.25">
      <c r="E1951" t="str">
        <f>""</f>
        <v/>
      </c>
      <c r="F1951" t="str">
        <f>""</f>
        <v/>
      </c>
      <c r="H1951" t="str">
        <f t="shared" si="23"/>
        <v>TASC - HRA FEES</v>
      </c>
    </row>
    <row r="1952" spans="5:8" x14ac:dyDescent="0.25">
      <c r="E1952" t="str">
        <f>""</f>
        <v/>
      </c>
      <c r="F1952" t="str">
        <f>""</f>
        <v/>
      </c>
      <c r="H1952" t="str">
        <f t="shared" si="23"/>
        <v>TASC - HRA FEES</v>
      </c>
    </row>
    <row r="1953" spans="5:8" x14ac:dyDescent="0.25">
      <c r="E1953" t="str">
        <f>""</f>
        <v/>
      </c>
      <c r="F1953" t="str">
        <f>""</f>
        <v/>
      </c>
      <c r="H1953" t="str">
        <f t="shared" si="23"/>
        <v>TASC - HRA FEES</v>
      </c>
    </row>
    <row r="1954" spans="5:8" x14ac:dyDescent="0.25">
      <c r="E1954" t="str">
        <f>""</f>
        <v/>
      </c>
      <c r="F1954" t="str">
        <f>""</f>
        <v/>
      </c>
      <c r="H1954" t="str">
        <f t="shared" si="23"/>
        <v>TASC - HRA FEES</v>
      </c>
    </row>
    <row r="1955" spans="5:8" x14ac:dyDescent="0.25">
      <c r="E1955" t="str">
        <f>""</f>
        <v/>
      </c>
      <c r="F1955" t="str">
        <f>""</f>
        <v/>
      </c>
      <c r="H1955" t="str">
        <f t="shared" si="23"/>
        <v>TASC - HRA FEES</v>
      </c>
    </row>
    <row r="1956" spans="5:8" x14ac:dyDescent="0.25">
      <c r="E1956" t="str">
        <f>""</f>
        <v/>
      </c>
      <c r="F1956" t="str">
        <f>""</f>
        <v/>
      </c>
      <c r="H1956" t="str">
        <f t="shared" ref="H1956:H1975" si="24">"TASC - HRA FEES"</f>
        <v>TASC - HRA FEES</v>
      </c>
    </row>
    <row r="1957" spans="5:8" x14ac:dyDescent="0.25">
      <c r="E1957" t="str">
        <f>""</f>
        <v/>
      </c>
      <c r="F1957" t="str">
        <f>""</f>
        <v/>
      </c>
      <c r="H1957" t="str">
        <f t="shared" si="24"/>
        <v>TASC - HRA FEES</v>
      </c>
    </row>
    <row r="1958" spans="5:8" x14ac:dyDescent="0.25">
      <c r="E1958" t="str">
        <f>""</f>
        <v/>
      </c>
      <c r="F1958" t="str">
        <f>""</f>
        <v/>
      </c>
      <c r="H1958" t="str">
        <f t="shared" si="24"/>
        <v>TASC - HRA FEES</v>
      </c>
    </row>
    <row r="1959" spans="5:8" x14ac:dyDescent="0.25">
      <c r="E1959" t="str">
        <f>""</f>
        <v/>
      </c>
      <c r="F1959" t="str">
        <f>""</f>
        <v/>
      </c>
      <c r="H1959" t="str">
        <f t="shared" si="24"/>
        <v>TASC - HRA FEES</v>
      </c>
    </row>
    <row r="1960" spans="5:8" x14ac:dyDescent="0.25">
      <c r="E1960" t="str">
        <f>""</f>
        <v/>
      </c>
      <c r="F1960" t="str">
        <f>""</f>
        <v/>
      </c>
      <c r="H1960" t="str">
        <f t="shared" si="24"/>
        <v>TASC - HRA FEES</v>
      </c>
    </row>
    <row r="1961" spans="5:8" x14ac:dyDescent="0.25">
      <c r="E1961" t="str">
        <f>""</f>
        <v/>
      </c>
      <c r="F1961" t="str">
        <f>""</f>
        <v/>
      </c>
      <c r="H1961" t="str">
        <f t="shared" si="24"/>
        <v>TASC - HRA FEES</v>
      </c>
    </row>
    <row r="1962" spans="5:8" x14ac:dyDescent="0.25">
      <c r="E1962" t="str">
        <f>""</f>
        <v/>
      </c>
      <c r="F1962" t="str">
        <f>""</f>
        <v/>
      </c>
      <c r="H1962" t="str">
        <f t="shared" si="24"/>
        <v>TASC - HRA FEES</v>
      </c>
    </row>
    <row r="1963" spans="5:8" x14ac:dyDescent="0.25">
      <c r="E1963" t="str">
        <f>""</f>
        <v/>
      </c>
      <c r="F1963" t="str">
        <f>""</f>
        <v/>
      </c>
      <c r="H1963" t="str">
        <f t="shared" si="24"/>
        <v>TASC - HRA FEES</v>
      </c>
    </row>
    <row r="1964" spans="5:8" x14ac:dyDescent="0.25">
      <c r="E1964" t="str">
        <f>""</f>
        <v/>
      </c>
      <c r="F1964" t="str">
        <f>""</f>
        <v/>
      </c>
      <c r="H1964" t="str">
        <f t="shared" si="24"/>
        <v>TASC - HRA FEES</v>
      </c>
    </row>
    <row r="1965" spans="5:8" x14ac:dyDescent="0.25">
      <c r="E1965" t="str">
        <f>""</f>
        <v/>
      </c>
      <c r="F1965" t="str">
        <f>""</f>
        <v/>
      </c>
      <c r="H1965" t="str">
        <f t="shared" si="24"/>
        <v>TASC - HRA FEES</v>
      </c>
    </row>
    <row r="1966" spans="5:8" x14ac:dyDescent="0.25">
      <c r="E1966" t="str">
        <f>""</f>
        <v/>
      </c>
      <c r="F1966" t="str">
        <f>""</f>
        <v/>
      </c>
      <c r="H1966" t="str">
        <f t="shared" si="24"/>
        <v>TASC - HRA FEES</v>
      </c>
    </row>
    <row r="1967" spans="5:8" x14ac:dyDescent="0.25">
      <c r="E1967" t="str">
        <f>""</f>
        <v/>
      </c>
      <c r="F1967" t="str">
        <f>""</f>
        <v/>
      </c>
      <c r="H1967" t="str">
        <f t="shared" si="24"/>
        <v>TASC - HRA FEES</v>
      </c>
    </row>
    <row r="1968" spans="5:8" x14ac:dyDescent="0.25">
      <c r="E1968" t="str">
        <f>""</f>
        <v/>
      </c>
      <c r="F1968" t="str">
        <f>""</f>
        <v/>
      </c>
      <c r="H1968" t="str">
        <f t="shared" si="24"/>
        <v>TASC - HRA FEES</v>
      </c>
    </row>
    <row r="1969" spans="1:8" x14ac:dyDescent="0.25">
      <c r="E1969" t="str">
        <f>""</f>
        <v/>
      </c>
      <c r="F1969" t="str">
        <f>""</f>
        <v/>
      </c>
      <c r="H1969" t="str">
        <f t="shared" si="24"/>
        <v>TASC - HRA FEES</v>
      </c>
    </row>
    <row r="1970" spans="1:8" x14ac:dyDescent="0.25">
      <c r="E1970" t="str">
        <f>""</f>
        <v/>
      </c>
      <c r="F1970" t="str">
        <f>""</f>
        <v/>
      </c>
      <c r="H1970" t="str">
        <f t="shared" si="24"/>
        <v>TASC - HRA FEES</v>
      </c>
    </row>
    <row r="1971" spans="1:8" x14ac:dyDescent="0.25">
      <c r="E1971" t="str">
        <f>""</f>
        <v/>
      </c>
      <c r="F1971" t="str">
        <f>""</f>
        <v/>
      </c>
      <c r="H1971" t="str">
        <f t="shared" si="24"/>
        <v>TASC - HRA FEES</v>
      </c>
    </row>
    <row r="1972" spans="1:8" x14ac:dyDescent="0.25">
      <c r="E1972" t="str">
        <f>""</f>
        <v/>
      </c>
      <c r="F1972" t="str">
        <f>""</f>
        <v/>
      </c>
      <c r="H1972" t="str">
        <f t="shared" si="24"/>
        <v>TASC - HRA FEES</v>
      </c>
    </row>
    <row r="1973" spans="1:8" x14ac:dyDescent="0.25">
      <c r="E1973" t="str">
        <f>""</f>
        <v/>
      </c>
      <c r="F1973" t="str">
        <f>""</f>
        <v/>
      </c>
      <c r="H1973" t="str">
        <f t="shared" si="24"/>
        <v>TASC - HRA FEES</v>
      </c>
    </row>
    <row r="1974" spans="1:8" x14ac:dyDescent="0.25">
      <c r="E1974" t="str">
        <f>""</f>
        <v/>
      </c>
      <c r="F1974" t="str">
        <f>""</f>
        <v/>
      </c>
      <c r="H1974" t="str">
        <f t="shared" si="24"/>
        <v>TASC - HRA FEES</v>
      </c>
    </row>
    <row r="1975" spans="1:8" x14ac:dyDescent="0.25">
      <c r="E1975" t="str">
        <f>"HRF202012220866"</f>
        <v>HRF202012220866</v>
      </c>
      <c r="F1975" t="str">
        <f>"TASC - HRA FEES"</f>
        <v>TASC - HRA FEES</v>
      </c>
      <c r="G1975" s="3">
        <v>27</v>
      </c>
      <c r="H1975" t="str">
        <f t="shared" si="24"/>
        <v>TASC - HRA FEES</v>
      </c>
    </row>
    <row r="1976" spans="1:8" x14ac:dyDescent="0.25">
      <c r="A1976" t="s">
        <v>406</v>
      </c>
      <c r="B1976">
        <v>824</v>
      </c>
      <c r="C1976" s="3">
        <v>386619.63</v>
      </c>
      <c r="D1976" s="5">
        <v>44188</v>
      </c>
      <c r="E1976" t="str">
        <f>"RET202012090689"</f>
        <v>RET202012090689</v>
      </c>
      <c r="F1976" t="str">
        <f>"TEXAS COUNTY &amp; DISTRICT RET"</f>
        <v>TEXAS COUNTY &amp; DISTRICT RET</v>
      </c>
      <c r="G1976" s="3">
        <v>179369.14</v>
      </c>
      <c r="H1976" t="str">
        <f t="shared" ref="H1976:H2007" si="25">"TEXAS COUNTY &amp; DISTRICT RET"</f>
        <v>TEXAS COUNTY &amp; DISTRICT RET</v>
      </c>
    </row>
    <row r="1977" spans="1:8" x14ac:dyDescent="0.25">
      <c r="E1977" t="str">
        <f>""</f>
        <v/>
      </c>
      <c r="F1977" t="str">
        <f>""</f>
        <v/>
      </c>
      <c r="H1977" t="str">
        <f t="shared" si="25"/>
        <v>TEXAS COUNTY &amp; DISTRICT RET</v>
      </c>
    </row>
    <row r="1978" spans="1:8" x14ac:dyDescent="0.25">
      <c r="E1978" t="str">
        <f>""</f>
        <v/>
      </c>
      <c r="F1978" t="str">
        <f>""</f>
        <v/>
      </c>
      <c r="H1978" t="str">
        <f t="shared" si="25"/>
        <v>TEXAS COUNTY &amp; DISTRICT RET</v>
      </c>
    </row>
    <row r="1979" spans="1:8" x14ac:dyDescent="0.25">
      <c r="E1979" t="str">
        <f>""</f>
        <v/>
      </c>
      <c r="F1979" t="str">
        <f>""</f>
        <v/>
      </c>
      <c r="H1979" t="str">
        <f t="shared" si="25"/>
        <v>TEXAS COUNTY &amp; DISTRICT RET</v>
      </c>
    </row>
    <row r="1980" spans="1:8" x14ac:dyDescent="0.25">
      <c r="E1980" t="str">
        <f>""</f>
        <v/>
      </c>
      <c r="F1980" t="str">
        <f>""</f>
        <v/>
      </c>
      <c r="H1980" t="str">
        <f t="shared" si="25"/>
        <v>TEXAS COUNTY &amp; DISTRICT RET</v>
      </c>
    </row>
    <row r="1981" spans="1:8" x14ac:dyDescent="0.25">
      <c r="E1981" t="str">
        <f>""</f>
        <v/>
      </c>
      <c r="F1981" t="str">
        <f>""</f>
        <v/>
      </c>
      <c r="H1981" t="str">
        <f t="shared" si="25"/>
        <v>TEXAS COUNTY &amp; DISTRICT RET</v>
      </c>
    </row>
    <row r="1982" spans="1:8" x14ac:dyDescent="0.25">
      <c r="E1982" t="str">
        <f>""</f>
        <v/>
      </c>
      <c r="F1982" t="str">
        <f>""</f>
        <v/>
      </c>
      <c r="H1982" t="str">
        <f t="shared" si="25"/>
        <v>TEXAS COUNTY &amp; DISTRICT RET</v>
      </c>
    </row>
    <row r="1983" spans="1:8" x14ac:dyDescent="0.25">
      <c r="E1983" t="str">
        <f>""</f>
        <v/>
      </c>
      <c r="F1983" t="str">
        <f>""</f>
        <v/>
      </c>
      <c r="H1983" t="str">
        <f t="shared" si="25"/>
        <v>TEXAS COUNTY &amp; DISTRICT RET</v>
      </c>
    </row>
    <row r="1984" spans="1:8" x14ac:dyDescent="0.25">
      <c r="E1984" t="str">
        <f>""</f>
        <v/>
      </c>
      <c r="F1984" t="str">
        <f>""</f>
        <v/>
      </c>
      <c r="H1984" t="str">
        <f t="shared" si="25"/>
        <v>TEXAS COUNTY &amp; DISTRICT RET</v>
      </c>
    </row>
    <row r="1985" spans="5:8" x14ac:dyDescent="0.25">
      <c r="E1985" t="str">
        <f>""</f>
        <v/>
      </c>
      <c r="F1985" t="str">
        <f>""</f>
        <v/>
      </c>
      <c r="H1985" t="str">
        <f t="shared" si="25"/>
        <v>TEXAS COUNTY &amp; DISTRICT RET</v>
      </c>
    </row>
    <row r="1986" spans="5:8" x14ac:dyDescent="0.25">
      <c r="E1986" t="str">
        <f>""</f>
        <v/>
      </c>
      <c r="F1986" t="str">
        <f>""</f>
        <v/>
      </c>
      <c r="H1986" t="str">
        <f t="shared" si="25"/>
        <v>TEXAS COUNTY &amp; DISTRICT RET</v>
      </c>
    </row>
    <row r="1987" spans="5:8" x14ac:dyDescent="0.25">
      <c r="E1987" t="str">
        <f>""</f>
        <v/>
      </c>
      <c r="F1987" t="str">
        <f>""</f>
        <v/>
      </c>
      <c r="H1987" t="str">
        <f t="shared" si="25"/>
        <v>TEXAS COUNTY &amp; DISTRICT RET</v>
      </c>
    </row>
    <row r="1988" spans="5:8" x14ac:dyDescent="0.25">
      <c r="E1988" t="str">
        <f>""</f>
        <v/>
      </c>
      <c r="F1988" t="str">
        <f>""</f>
        <v/>
      </c>
      <c r="H1988" t="str">
        <f t="shared" si="25"/>
        <v>TEXAS COUNTY &amp; DISTRICT RET</v>
      </c>
    </row>
    <row r="1989" spans="5:8" x14ac:dyDescent="0.25">
      <c r="E1989" t="str">
        <f>""</f>
        <v/>
      </c>
      <c r="F1989" t="str">
        <f>""</f>
        <v/>
      </c>
      <c r="H1989" t="str">
        <f t="shared" si="25"/>
        <v>TEXAS COUNTY &amp; DISTRICT RET</v>
      </c>
    </row>
    <row r="1990" spans="5:8" x14ac:dyDescent="0.25">
      <c r="E1990" t="str">
        <f>""</f>
        <v/>
      </c>
      <c r="F1990" t="str">
        <f>""</f>
        <v/>
      </c>
      <c r="H1990" t="str">
        <f t="shared" si="25"/>
        <v>TEXAS COUNTY &amp; DISTRICT RET</v>
      </c>
    </row>
    <row r="1991" spans="5:8" x14ac:dyDescent="0.25">
      <c r="E1991" t="str">
        <f>""</f>
        <v/>
      </c>
      <c r="F1991" t="str">
        <f>""</f>
        <v/>
      </c>
      <c r="H1991" t="str">
        <f t="shared" si="25"/>
        <v>TEXAS COUNTY &amp; DISTRICT RET</v>
      </c>
    </row>
    <row r="1992" spans="5:8" x14ac:dyDescent="0.25">
      <c r="E1992" t="str">
        <f>""</f>
        <v/>
      </c>
      <c r="F1992" t="str">
        <f>""</f>
        <v/>
      </c>
      <c r="H1992" t="str">
        <f t="shared" si="25"/>
        <v>TEXAS COUNTY &amp; DISTRICT RET</v>
      </c>
    </row>
    <row r="1993" spans="5:8" x14ac:dyDescent="0.25">
      <c r="E1993" t="str">
        <f>""</f>
        <v/>
      </c>
      <c r="F1993" t="str">
        <f>""</f>
        <v/>
      </c>
      <c r="H1993" t="str">
        <f t="shared" si="25"/>
        <v>TEXAS COUNTY &amp; DISTRICT RET</v>
      </c>
    </row>
    <row r="1994" spans="5:8" x14ac:dyDescent="0.25">
      <c r="E1994" t="str">
        <f>""</f>
        <v/>
      </c>
      <c r="F1994" t="str">
        <f>""</f>
        <v/>
      </c>
      <c r="H1994" t="str">
        <f t="shared" si="25"/>
        <v>TEXAS COUNTY &amp; DISTRICT RET</v>
      </c>
    </row>
    <row r="1995" spans="5:8" x14ac:dyDescent="0.25">
      <c r="E1995" t="str">
        <f>""</f>
        <v/>
      </c>
      <c r="F1995" t="str">
        <f>""</f>
        <v/>
      </c>
      <c r="H1995" t="str">
        <f t="shared" si="25"/>
        <v>TEXAS COUNTY &amp; DISTRICT RET</v>
      </c>
    </row>
    <row r="1996" spans="5:8" x14ac:dyDescent="0.25">
      <c r="E1996" t="str">
        <f>""</f>
        <v/>
      </c>
      <c r="F1996" t="str">
        <f>""</f>
        <v/>
      </c>
      <c r="H1996" t="str">
        <f t="shared" si="25"/>
        <v>TEXAS COUNTY &amp; DISTRICT RET</v>
      </c>
    </row>
    <row r="1997" spans="5:8" x14ac:dyDescent="0.25">
      <c r="E1997" t="str">
        <f>""</f>
        <v/>
      </c>
      <c r="F1997" t="str">
        <f>""</f>
        <v/>
      </c>
      <c r="H1997" t="str">
        <f t="shared" si="25"/>
        <v>TEXAS COUNTY &amp; DISTRICT RET</v>
      </c>
    </row>
    <row r="1998" spans="5:8" x14ac:dyDescent="0.25">
      <c r="E1998" t="str">
        <f>""</f>
        <v/>
      </c>
      <c r="F1998" t="str">
        <f>""</f>
        <v/>
      </c>
      <c r="H1998" t="str">
        <f t="shared" si="25"/>
        <v>TEXAS COUNTY &amp; DISTRICT RET</v>
      </c>
    </row>
    <row r="1999" spans="5:8" x14ac:dyDescent="0.25">
      <c r="E1999" t="str">
        <f>""</f>
        <v/>
      </c>
      <c r="F1999" t="str">
        <f>""</f>
        <v/>
      </c>
      <c r="H1999" t="str">
        <f t="shared" si="25"/>
        <v>TEXAS COUNTY &amp; DISTRICT RET</v>
      </c>
    </row>
    <row r="2000" spans="5:8" x14ac:dyDescent="0.25">
      <c r="E2000" t="str">
        <f>""</f>
        <v/>
      </c>
      <c r="F2000" t="str">
        <f>""</f>
        <v/>
      </c>
      <c r="H2000" t="str">
        <f t="shared" si="25"/>
        <v>TEXAS COUNTY &amp; DISTRICT RET</v>
      </c>
    </row>
    <row r="2001" spans="5:8" x14ac:dyDescent="0.25">
      <c r="E2001" t="str">
        <f>""</f>
        <v/>
      </c>
      <c r="F2001" t="str">
        <f>""</f>
        <v/>
      </c>
      <c r="H2001" t="str">
        <f t="shared" si="25"/>
        <v>TEXAS COUNTY &amp; DISTRICT RET</v>
      </c>
    </row>
    <row r="2002" spans="5:8" x14ac:dyDescent="0.25">
      <c r="E2002" t="str">
        <f>""</f>
        <v/>
      </c>
      <c r="F2002" t="str">
        <f>""</f>
        <v/>
      </c>
      <c r="H2002" t="str">
        <f t="shared" si="25"/>
        <v>TEXAS COUNTY &amp; DISTRICT RET</v>
      </c>
    </row>
    <row r="2003" spans="5:8" x14ac:dyDescent="0.25">
      <c r="E2003" t="str">
        <f>""</f>
        <v/>
      </c>
      <c r="F2003" t="str">
        <f>""</f>
        <v/>
      </c>
      <c r="H2003" t="str">
        <f t="shared" si="25"/>
        <v>TEXAS COUNTY &amp; DISTRICT RET</v>
      </c>
    </row>
    <row r="2004" spans="5:8" x14ac:dyDescent="0.25">
      <c r="E2004" t="str">
        <f>""</f>
        <v/>
      </c>
      <c r="F2004" t="str">
        <f>""</f>
        <v/>
      </c>
      <c r="H2004" t="str">
        <f t="shared" si="25"/>
        <v>TEXAS COUNTY &amp; DISTRICT RET</v>
      </c>
    </row>
    <row r="2005" spans="5:8" x14ac:dyDescent="0.25">
      <c r="E2005" t="str">
        <f>""</f>
        <v/>
      </c>
      <c r="F2005" t="str">
        <f>""</f>
        <v/>
      </c>
      <c r="H2005" t="str">
        <f t="shared" si="25"/>
        <v>TEXAS COUNTY &amp; DISTRICT RET</v>
      </c>
    </row>
    <row r="2006" spans="5:8" x14ac:dyDescent="0.25">
      <c r="E2006" t="str">
        <f>""</f>
        <v/>
      </c>
      <c r="F2006" t="str">
        <f>""</f>
        <v/>
      </c>
      <c r="H2006" t="str">
        <f t="shared" si="25"/>
        <v>TEXAS COUNTY &amp; DISTRICT RET</v>
      </c>
    </row>
    <row r="2007" spans="5:8" x14ac:dyDescent="0.25">
      <c r="E2007" t="str">
        <f>""</f>
        <v/>
      </c>
      <c r="F2007" t="str">
        <f>""</f>
        <v/>
      </c>
      <c r="H2007" t="str">
        <f t="shared" si="25"/>
        <v>TEXAS COUNTY &amp; DISTRICT RET</v>
      </c>
    </row>
    <row r="2008" spans="5:8" x14ac:dyDescent="0.25">
      <c r="E2008" t="str">
        <f>""</f>
        <v/>
      </c>
      <c r="F2008" t="str">
        <f>""</f>
        <v/>
      </c>
      <c r="H2008" t="str">
        <f t="shared" ref="H2008:H2027" si="26">"TEXAS COUNTY &amp; DISTRICT RET"</f>
        <v>TEXAS COUNTY &amp; DISTRICT RET</v>
      </c>
    </row>
    <row r="2009" spans="5:8" x14ac:dyDescent="0.25">
      <c r="E2009" t="str">
        <f>""</f>
        <v/>
      </c>
      <c r="F2009" t="str">
        <f>""</f>
        <v/>
      </c>
      <c r="H2009" t="str">
        <f t="shared" si="26"/>
        <v>TEXAS COUNTY &amp; DISTRICT RET</v>
      </c>
    </row>
    <row r="2010" spans="5:8" x14ac:dyDescent="0.25">
      <c r="E2010" t="str">
        <f>""</f>
        <v/>
      </c>
      <c r="F2010" t="str">
        <f>""</f>
        <v/>
      </c>
      <c r="H2010" t="str">
        <f t="shared" si="26"/>
        <v>TEXAS COUNTY &amp; DISTRICT RET</v>
      </c>
    </row>
    <row r="2011" spans="5:8" x14ac:dyDescent="0.25">
      <c r="E2011" t="str">
        <f>""</f>
        <v/>
      </c>
      <c r="F2011" t="str">
        <f>""</f>
        <v/>
      </c>
      <c r="H2011" t="str">
        <f t="shared" si="26"/>
        <v>TEXAS COUNTY &amp; DISTRICT RET</v>
      </c>
    </row>
    <row r="2012" spans="5:8" x14ac:dyDescent="0.25">
      <c r="E2012" t="str">
        <f>""</f>
        <v/>
      </c>
      <c r="F2012" t="str">
        <f>""</f>
        <v/>
      </c>
      <c r="H2012" t="str">
        <f t="shared" si="26"/>
        <v>TEXAS COUNTY &amp; DISTRICT RET</v>
      </c>
    </row>
    <row r="2013" spans="5:8" x14ac:dyDescent="0.25">
      <c r="E2013" t="str">
        <f>""</f>
        <v/>
      </c>
      <c r="F2013" t="str">
        <f>""</f>
        <v/>
      </c>
      <c r="H2013" t="str">
        <f t="shared" si="26"/>
        <v>TEXAS COUNTY &amp; DISTRICT RET</v>
      </c>
    </row>
    <row r="2014" spans="5:8" x14ac:dyDescent="0.25">
      <c r="E2014" t="str">
        <f>""</f>
        <v/>
      </c>
      <c r="F2014" t="str">
        <f>""</f>
        <v/>
      </c>
      <c r="H2014" t="str">
        <f t="shared" si="26"/>
        <v>TEXAS COUNTY &amp; DISTRICT RET</v>
      </c>
    </row>
    <row r="2015" spans="5:8" x14ac:dyDescent="0.25">
      <c r="E2015" t="str">
        <f>""</f>
        <v/>
      </c>
      <c r="F2015" t="str">
        <f>""</f>
        <v/>
      </c>
      <c r="H2015" t="str">
        <f t="shared" si="26"/>
        <v>TEXAS COUNTY &amp; DISTRICT RET</v>
      </c>
    </row>
    <row r="2016" spans="5:8" x14ac:dyDescent="0.25">
      <c r="E2016" t="str">
        <f>""</f>
        <v/>
      </c>
      <c r="F2016" t="str">
        <f>""</f>
        <v/>
      </c>
      <c r="H2016" t="str">
        <f t="shared" si="26"/>
        <v>TEXAS COUNTY &amp; DISTRICT RET</v>
      </c>
    </row>
    <row r="2017" spans="5:8" x14ac:dyDescent="0.25">
      <c r="E2017" t="str">
        <f>""</f>
        <v/>
      </c>
      <c r="F2017" t="str">
        <f>""</f>
        <v/>
      </c>
      <c r="H2017" t="str">
        <f t="shared" si="26"/>
        <v>TEXAS COUNTY &amp; DISTRICT RET</v>
      </c>
    </row>
    <row r="2018" spans="5:8" x14ac:dyDescent="0.25">
      <c r="E2018" t="str">
        <f>""</f>
        <v/>
      </c>
      <c r="F2018" t="str">
        <f>""</f>
        <v/>
      </c>
      <c r="H2018" t="str">
        <f t="shared" si="26"/>
        <v>TEXAS COUNTY &amp; DISTRICT RET</v>
      </c>
    </row>
    <row r="2019" spans="5:8" x14ac:dyDescent="0.25">
      <c r="E2019" t="str">
        <f>""</f>
        <v/>
      </c>
      <c r="F2019" t="str">
        <f>""</f>
        <v/>
      </c>
      <c r="H2019" t="str">
        <f t="shared" si="26"/>
        <v>TEXAS COUNTY &amp; DISTRICT RET</v>
      </c>
    </row>
    <row r="2020" spans="5:8" x14ac:dyDescent="0.25">
      <c r="E2020" t="str">
        <f>""</f>
        <v/>
      </c>
      <c r="F2020" t="str">
        <f>""</f>
        <v/>
      </c>
      <c r="H2020" t="str">
        <f t="shared" si="26"/>
        <v>TEXAS COUNTY &amp; DISTRICT RET</v>
      </c>
    </row>
    <row r="2021" spans="5:8" x14ac:dyDescent="0.25">
      <c r="E2021" t="str">
        <f>""</f>
        <v/>
      </c>
      <c r="F2021" t="str">
        <f>""</f>
        <v/>
      </c>
      <c r="H2021" t="str">
        <f t="shared" si="26"/>
        <v>TEXAS COUNTY &amp; DISTRICT RET</v>
      </c>
    </row>
    <row r="2022" spans="5:8" x14ac:dyDescent="0.25">
      <c r="E2022" t="str">
        <f>""</f>
        <v/>
      </c>
      <c r="F2022" t="str">
        <f>""</f>
        <v/>
      </c>
      <c r="H2022" t="str">
        <f t="shared" si="26"/>
        <v>TEXAS COUNTY &amp; DISTRICT RET</v>
      </c>
    </row>
    <row r="2023" spans="5:8" x14ac:dyDescent="0.25">
      <c r="E2023" t="str">
        <f>""</f>
        <v/>
      </c>
      <c r="F2023" t="str">
        <f>""</f>
        <v/>
      </c>
      <c r="H2023" t="str">
        <f t="shared" si="26"/>
        <v>TEXAS COUNTY &amp; DISTRICT RET</v>
      </c>
    </row>
    <row r="2024" spans="5:8" x14ac:dyDescent="0.25">
      <c r="E2024" t="str">
        <f>""</f>
        <v/>
      </c>
      <c r="F2024" t="str">
        <f>""</f>
        <v/>
      </c>
      <c r="H2024" t="str">
        <f t="shared" si="26"/>
        <v>TEXAS COUNTY &amp; DISTRICT RET</v>
      </c>
    </row>
    <row r="2025" spans="5:8" x14ac:dyDescent="0.25">
      <c r="E2025" t="str">
        <f>""</f>
        <v/>
      </c>
      <c r="F2025" t="str">
        <f>""</f>
        <v/>
      </c>
      <c r="H2025" t="str">
        <f t="shared" si="26"/>
        <v>TEXAS COUNTY &amp; DISTRICT RET</v>
      </c>
    </row>
    <row r="2026" spans="5:8" x14ac:dyDescent="0.25">
      <c r="E2026" t="str">
        <f>""</f>
        <v/>
      </c>
      <c r="F2026" t="str">
        <f>""</f>
        <v/>
      </c>
      <c r="H2026" t="str">
        <f t="shared" si="26"/>
        <v>TEXAS COUNTY &amp; DISTRICT RET</v>
      </c>
    </row>
    <row r="2027" spans="5:8" x14ac:dyDescent="0.25">
      <c r="E2027" t="str">
        <f>""</f>
        <v/>
      </c>
      <c r="F2027" t="str">
        <f>""</f>
        <v/>
      </c>
      <c r="H2027" t="str">
        <f t="shared" si="26"/>
        <v>TEXAS COUNTY &amp; DISTRICT RET</v>
      </c>
    </row>
    <row r="2028" spans="5:8" x14ac:dyDescent="0.25">
      <c r="E2028" t="str">
        <f>"RET202012090690"</f>
        <v>RET202012090690</v>
      </c>
      <c r="F2028" t="str">
        <f>"TEXAS COUNTY  DISTRICT RET"</f>
        <v>TEXAS COUNTY  DISTRICT RET</v>
      </c>
      <c r="G2028" s="3">
        <v>6116.89</v>
      </c>
      <c r="H2028" t="str">
        <f>"TEXAS COUNTY  DISTRICT RET"</f>
        <v>TEXAS COUNTY  DISTRICT RET</v>
      </c>
    </row>
    <row r="2029" spans="5:8" x14ac:dyDescent="0.25">
      <c r="E2029" t="str">
        <f>""</f>
        <v/>
      </c>
      <c r="F2029" t="str">
        <f>""</f>
        <v/>
      </c>
      <c r="H2029" t="str">
        <f>"TEXAS COUNTY  DISTRICT RET"</f>
        <v>TEXAS COUNTY  DISTRICT RET</v>
      </c>
    </row>
    <row r="2030" spans="5:8" x14ac:dyDescent="0.25">
      <c r="E2030" t="str">
        <f>"RET202012090691"</f>
        <v>RET202012090691</v>
      </c>
      <c r="F2030" t="str">
        <f>"TEXAS COUNTY &amp; DISTRICT RET"</f>
        <v>TEXAS COUNTY &amp; DISTRICT RET</v>
      </c>
      <c r="G2030" s="3">
        <v>7264.39</v>
      </c>
      <c r="H2030" t="str">
        <f t="shared" ref="H2030:H2061" si="27">"TEXAS COUNTY &amp; DISTRICT RET"</f>
        <v>TEXAS COUNTY &amp; DISTRICT RET</v>
      </c>
    </row>
    <row r="2031" spans="5:8" x14ac:dyDescent="0.25">
      <c r="E2031" t="str">
        <f>""</f>
        <v/>
      </c>
      <c r="F2031" t="str">
        <f>""</f>
        <v/>
      </c>
      <c r="H2031" t="str">
        <f t="shared" si="27"/>
        <v>TEXAS COUNTY &amp; DISTRICT RET</v>
      </c>
    </row>
    <row r="2032" spans="5:8" x14ac:dyDescent="0.25">
      <c r="E2032" t="str">
        <f>"RET202012140698"</f>
        <v>RET202012140698</v>
      </c>
      <c r="F2032" t="str">
        <f>"TEXAS COUNTY &amp; DISTRICT RET"</f>
        <v>TEXAS COUNTY &amp; DISTRICT RET</v>
      </c>
      <c r="G2032" s="3">
        <v>114.86</v>
      </c>
      <c r="H2032" t="str">
        <f t="shared" si="27"/>
        <v>TEXAS COUNTY &amp; DISTRICT RET</v>
      </c>
    </row>
    <row r="2033" spans="5:8" x14ac:dyDescent="0.25">
      <c r="E2033" t="str">
        <f>""</f>
        <v/>
      </c>
      <c r="F2033" t="str">
        <f>""</f>
        <v/>
      </c>
      <c r="H2033" t="str">
        <f t="shared" si="27"/>
        <v>TEXAS COUNTY &amp; DISTRICT RET</v>
      </c>
    </row>
    <row r="2034" spans="5:8" x14ac:dyDescent="0.25">
      <c r="E2034" t="str">
        <f>"RET202012220865"</f>
        <v>RET202012220865</v>
      </c>
      <c r="F2034" t="str">
        <f>"TEXAS COUNTY &amp; DISTRICT RET"</f>
        <v>TEXAS COUNTY &amp; DISTRICT RET</v>
      </c>
      <c r="G2034" s="3">
        <v>180613.67</v>
      </c>
      <c r="H2034" t="str">
        <f t="shared" si="27"/>
        <v>TEXAS COUNTY &amp; DISTRICT RET</v>
      </c>
    </row>
    <row r="2035" spans="5:8" x14ac:dyDescent="0.25">
      <c r="E2035" t="str">
        <f>""</f>
        <v/>
      </c>
      <c r="F2035" t="str">
        <f>""</f>
        <v/>
      </c>
      <c r="H2035" t="str">
        <f t="shared" si="27"/>
        <v>TEXAS COUNTY &amp; DISTRICT RET</v>
      </c>
    </row>
    <row r="2036" spans="5:8" x14ac:dyDescent="0.25">
      <c r="E2036" t="str">
        <f>""</f>
        <v/>
      </c>
      <c r="F2036" t="str">
        <f>""</f>
        <v/>
      </c>
      <c r="H2036" t="str">
        <f t="shared" si="27"/>
        <v>TEXAS COUNTY &amp; DISTRICT RET</v>
      </c>
    </row>
    <row r="2037" spans="5:8" x14ac:dyDescent="0.25">
      <c r="E2037" t="str">
        <f>""</f>
        <v/>
      </c>
      <c r="F2037" t="str">
        <f>""</f>
        <v/>
      </c>
      <c r="H2037" t="str">
        <f t="shared" si="27"/>
        <v>TEXAS COUNTY &amp; DISTRICT RET</v>
      </c>
    </row>
    <row r="2038" spans="5:8" x14ac:dyDescent="0.25">
      <c r="E2038" t="str">
        <f>""</f>
        <v/>
      </c>
      <c r="F2038" t="str">
        <f>""</f>
        <v/>
      </c>
      <c r="H2038" t="str">
        <f t="shared" si="27"/>
        <v>TEXAS COUNTY &amp; DISTRICT RET</v>
      </c>
    </row>
    <row r="2039" spans="5:8" x14ac:dyDescent="0.25">
      <c r="E2039" t="str">
        <f>""</f>
        <v/>
      </c>
      <c r="F2039" t="str">
        <f>""</f>
        <v/>
      </c>
      <c r="H2039" t="str">
        <f t="shared" si="27"/>
        <v>TEXAS COUNTY &amp; DISTRICT RET</v>
      </c>
    </row>
    <row r="2040" spans="5:8" x14ac:dyDescent="0.25">
      <c r="E2040" t="str">
        <f>""</f>
        <v/>
      </c>
      <c r="F2040" t="str">
        <f>""</f>
        <v/>
      </c>
      <c r="H2040" t="str">
        <f t="shared" si="27"/>
        <v>TEXAS COUNTY &amp; DISTRICT RET</v>
      </c>
    </row>
    <row r="2041" spans="5:8" x14ac:dyDescent="0.25">
      <c r="E2041" t="str">
        <f>""</f>
        <v/>
      </c>
      <c r="F2041" t="str">
        <f>""</f>
        <v/>
      </c>
      <c r="H2041" t="str">
        <f t="shared" si="27"/>
        <v>TEXAS COUNTY &amp; DISTRICT RET</v>
      </c>
    </row>
    <row r="2042" spans="5:8" x14ac:dyDescent="0.25">
      <c r="E2042" t="str">
        <f>""</f>
        <v/>
      </c>
      <c r="F2042" t="str">
        <f>""</f>
        <v/>
      </c>
      <c r="H2042" t="str">
        <f t="shared" si="27"/>
        <v>TEXAS COUNTY &amp; DISTRICT RET</v>
      </c>
    </row>
    <row r="2043" spans="5:8" x14ac:dyDescent="0.25">
      <c r="E2043" t="str">
        <f>""</f>
        <v/>
      </c>
      <c r="F2043" t="str">
        <f>""</f>
        <v/>
      </c>
      <c r="H2043" t="str">
        <f t="shared" si="27"/>
        <v>TEXAS COUNTY &amp; DISTRICT RET</v>
      </c>
    </row>
    <row r="2044" spans="5:8" x14ac:dyDescent="0.25">
      <c r="E2044" t="str">
        <f>""</f>
        <v/>
      </c>
      <c r="F2044" t="str">
        <f>""</f>
        <v/>
      </c>
      <c r="H2044" t="str">
        <f t="shared" si="27"/>
        <v>TEXAS COUNTY &amp; DISTRICT RET</v>
      </c>
    </row>
    <row r="2045" spans="5:8" x14ac:dyDescent="0.25">
      <c r="E2045" t="str">
        <f>""</f>
        <v/>
      </c>
      <c r="F2045" t="str">
        <f>""</f>
        <v/>
      </c>
      <c r="H2045" t="str">
        <f t="shared" si="27"/>
        <v>TEXAS COUNTY &amp; DISTRICT RET</v>
      </c>
    </row>
    <row r="2046" spans="5:8" x14ac:dyDescent="0.25">
      <c r="E2046" t="str">
        <f>""</f>
        <v/>
      </c>
      <c r="F2046" t="str">
        <f>""</f>
        <v/>
      </c>
      <c r="H2046" t="str">
        <f t="shared" si="27"/>
        <v>TEXAS COUNTY &amp; DISTRICT RET</v>
      </c>
    </row>
    <row r="2047" spans="5:8" x14ac:dyDescent="0.25">
      <c r="E2047" t="str">
        <f>""</f>
        <v/>
      </c>
      <c r="F2047" t="str">
        <f>""</f>
        <v/>
      </c>
      <c r="H2047" t="str">
        <f t="shared" si="27"/>
        <v>TEXAS COUNTY &amp; DISTRICT RET</v>
      </c>
    </row>
    <row r="2048" spans="5:8" x14ac:dyDescent="0.25">
      <c r="E2048" t="str">
        <f>""</f>
        <v/>
      </c>
      <c r="F2048" t="str">
        <f>""</f>
        <v/>
      </c>
      <c r="H2048" t="str">
        <f t="shared" si="27"/>
        <v>TEXAS COUNTY &amp; DISTRICT RET</v>
      </c>
    </row>
    <row r="2049" spans="5:8" x14ac:dyDescent="0.25">
      <c r="E2049" t="str">
        <f>""</f>
        <v/>
      </c>
      <c r="F2049" t="str">
        <f>""</f>
        <v/>
      </c>
      <c r="H2049" t="str">
        <f t="shared" si="27"/>
        <v>TEXAS COUNTY &amp; DISTRICT RET</v>
      </c>
    </row>
    <row r="2050" spans="5:8" x14ac:dyDescent="0.25">
      <c r="E2050" t="str">
        <f>""</f>
        <v/>
      </c>
      <c r="F2050" t="str">
        <f>""</f>
        <v/>
      </c>
      <c r="H2050" t="str">
        <f t="shared" si="27"/>
        <v>TEXAS COUNTY &amp; DISTRICT RET</v>
      </c>
    </row>
    <row r="2051" spans="5:8" x14ac:dyDescent="0.25">
      <c r="E2051" t="str">
        <f>""</f>
        <v/>
      </c>
      <c r="F2051" t="str">
        <f>""</f>
        <v/>
      </c>
      <c r="H2051" t="str">
        <f t="shared" si="27"/>
        <v>TEXAS COUNTY &amp; DISTRICT RET</v>
      </c>
    </row>
    <row r="2052" spans="5:8" x14ac:dyDescent="0.25">
      <c r="E2052" t="str">
        <f>""</f>
        <v/>
      </c>
      <c r="F2052" t="str">
        <f>""</f>
        <v/>
      </c>
      <c r="H2052" t="str">
        <f t="shared" si="27"/>
        <v>TEXAS COUNTY &amp; DISTRICT RET</v>
      </c>
    </row>
    <row r="2053" spans="5:8" x14ac:dyDescent="0.25">
      <c r="E2053" t="str">
        <f>""</f>
        <v/>
      </c>
      <c r="F2053" t="str">
        <f>""</f>
        <v/>
      </c>
      <c r="H2053" t="str">
        <f t="shared" si="27"/>
        <v>TEXAS COUNTY &amp; DISTRICT RET</v>
      </c>
    </row>
    <row r="2054" spans="5:8" x14ac:dyDescent="0.25">
      <c r="E2054" t="str">
        <f>""</f>
        <v/>
      </c>
      <c r="F2054" t="str">
        <f>""</f>
        <v/>
      </c>
      <c r="H2054" t="str">
        <f t="shared" si="27"/>
        <v>TEXAS COUNTY &amp; DISTRICT RET</v>
      </c>
    </row>
    <row r="2055" spans="5:8" x14ac:dyDescent="0.25">
      <c r="E2055" t="str">
        <f>""</f>
        <v/>
      </c>
      <c r="F2055" t="str">
        <f>""</f>
        <v/>
      </c>
      <c r="H2055" t="str">
        <f t="shared" si="27"/>
        <v>TEXAS COUNTY &amp; DISTRICT RET</v>
      </c>
    </row>
    <row r="2056" spans="5:8" x14ac:dyDescent="0.25">
      <c r="E2056" t="str">
        <f>""</f>
        <v/>
      </c>
      <c r="F2056" t="str">
        <f>""</f>
        <v/>
      </c>
      <c r="H2056" t="str">
        <f t="shared" si="27"/>
        <v>TEXAS COUNTY &amp; DISTRICT RET</v>
      </c>
    </row>
    <row r="2057" spans="5:8" x14ac:dyDescent="0.25">
      <c r="E2057" t="str">
        <f>""</f>
        <v/>
      </c>
      <c r="F2057" t="str">
        <f>""</f>
        <v/>
      </c>
      <c r="H2057" t="str">
        <f t="shared" si="27"/>
        <v>TEXAS COUNTY &amp; DISTRICT RET</v>
      </c>
    </row>
    <row r="2058" spans="5:8" x14ac:dyDescent="0.25">
      <c r="E2058" t="str">
        <f>""</f>
        <v/>
      </c>
      <c r="F2058" t="str">
        <f>""</f>
        <v/>
      </c>
      <c r="H2058" t="str">
        <f t="shared" si="27"/>
        <v>TEXAS COUNTY &amp; DISTRICT RET</v>
      </c>
    </row>
    <row r="2059" spans="5:8" x14ac:dyDescent="0.25">
      <c r="E2059" t="str">
        <f>""</f>
        <v/>
      </c>
      <c r="F2059" t="str">
        <f>""</f>
        <v/>
      </c>
      <c r="H2059" t="str">
        <f t="shared" si="27"/>
        <v>TEXAS COUNTY &amp; DISTRICT RET</v>
      </c>
    </row>
    <row r="2060" spans="5:8" x14ac:dyDescent="0.25">
      <c r="E2060" t="str">
        <f>""</f>
        <v/>
      </c>
      <c r="F2060" t="str">
        <f>""</f>
        <v/>
      </c>
      <c r="H2060" t="str">
        <f t="shared" si="27"/>
        <v>TEXAS COUNTY &amp; DISTRICT RET</v>
      </c>
    </row>
    <row r="2061" spans="5:8" x14ac:dyDescent="0.25">
      <c r="E2061" t="str">
        <f>""</f>
        <v/>
      </c>
      <c r="F2061" t="str">
        <f>""</f>
        <v/>
      </c>
      <c r="H2061" t="str">
        <f t="shared" si="27"/>
        <v>TEXAS COUNTY &amp; DISTRICT RET</v>
      </c>
    </row>
    <row r="2062" spans="5:8" x14ac:dyDescent="0.25">
      <c r="E2062" t="str">
        <f>""</f>
        <v/>
      </c>
      <c r="F2062" t="str">
        <f>""</f>
        <v/>
      </c>
      <c r="H2062" t="str">
        <f t="shared" ref="H2062:H2085" si="28">"TEXAS COUNTY &amp; DISTRICT RET"</f>
        <v>TEXAS COUNTY &amp; DISTRICT RET</v>
      </c>
    </row>
    <row r="2063" spans="5:8" x14ac:dyDescent="0.25">
      <c r="E2063" t="str">
        <f>""</f>
        <v/>
      </c>
      <c r="F2063" t="str">
        <f>""</f>
        <v/>
      </c>
      <c r="H2063" t="str">
        <f t="shared" si="28"/>
        <v>TEXAS COUNTY &amp; DISTRICT RET</v>
      </c>
    </row>
    <row r="2064" spans="5:8" x14ac:dyDescent="0.25">
      <c r="E2064" t="str">
        <f>""</f>
        <v/>
      </c>
      <c r="F2064" t="str">
        <f>""</f>
        <v/>
      </c>
      <c r="H2064" t="str">
        <f t="shared" si="28"/>
        <v>TEXAS COUNTY &amp; DISTRICT RET</v>
      </c>
    </row>
    <row r="2065" spans="5:8" x14ac:dyDescent="0.25">
      <c r="E2065" t="str">
        <f>""</f>
        <v/>
      </c>
      <c r="F2065" t="str">
        <f>""</f>
        <v/>
      </c>
      <c r="H2065" t="str">
        <f t="shared" si="28"/>
        <v>TEXAS COUNTY &amp; DISTRICT RET</v>
      </c>
    </row>
    <row r="2066" spans="5:8" x14ac:dyDescent="0.25">
      <c r="E2066" t="str">
        <f>""</f>
        <v/>
      </c>
      <c r="F2066" t="str">
        <f>""</f>
        <v/>
      </c>
      <c r="H2066" t="str">
        <f t="shared" si="28"/>
        <v>TEXAS COUNTY &amp; DISTRICT RET</v>
      </c>
    </row>
    <row r="2067" spans="5:8" x14ac:dyDescent="0.25">
      <c r="E2067" t="str">
        <f>""</f>
        <v/>
      </c>
      <c r="F2067" t="str">
        <f>""</f>
        <v/>
      </c>
      <c r="H2067" t="str">
        <f t="shared" si="28"/>
        <v>TEXAS COUNTY &amp; DISTRICT RET</v>
      </c>
    </row>
    <row r="2068" spans="5:8" x14ac:dyDescent="0.25">
      <c r="E2068" t="str">
        <f>""</f>
        <v/>
      </c>
      <c r="F2068" t="str">
        <f>""</f>
        <v/>
      </c>
      <c r="H2068" t="str">
        <f t="shared" si="28"/>
        <v>TEXAS COUNTY &amp; DISTRICT RET</v>
      </c>
    </row>
    <row r="2069" spans="5:8" x14ac:dyDescent="0.25">
      <c r="E2069" t="str">
        <f>""</f>
        <v/>
      </c>
      <c r="F2069" t="str">
        <f>""</f>
        <v/>
      </c>
      <c r="H2069" t="str">
        <f t="shared" si="28"/>
        <v>TEXAS COUNTY &amp; DISTRICT RET</v>
      </c>
    </row>
    <row r="2070" spans="5:8" x14ac:dyDescent="0.25">
      <c r="E2070" t="str">
        <f>""</f>
        <v/>
      </c>
      <c r="F2070" t="str">
        <f>""</f>
        <v/>
      </c>
      <c r="H2070" t="str">
        <f t="shared" si="28"/>
        <v>TEXAS COUNTY &amp; DISTRICT RET</v>
      </c>
    </row>
    <row r="2071" spans="5:8" x14ac:dyDescent="0.25">
      <c r="E2071" t="str">
        <f>""</f>
        <v/>
      </c>
      <c r="F2071" t="str">
        <f>""</f>
        <v/>
      </c>
      <c r="H2071" t="str">
        <f t="shared" si="28"/>
        <v>TEXAS COUNTY &amp; DISTRICT RET</v>
      </c>
    </row>
    <row r="2072" spans="5:8" x14ac:dyDescent="0.25">
      <c r="E2072" t="str">
        <f>""</f>
        <v/>
      </c>
      <c r="F2072" t="str">
        <f>""</f>
        <v/>
      </c>
      <c r="H2072" t="str">
        <f t="shared" si="28"/>
        <v>TEXAS COUNTY &amp; DISTRICT RET</v>
      </c>
    </row>
    <row r="2073" spans="5:8" x14ac:dyDescent="0.25">
      <c r="E2073" t="str">
        <f>""</f>
        <v/>
      </c>
      <c r="F2073" t="str">
        <f>""</f>
        <v/>
      </c>
      <c r="H2073" t="str">
        <f t="shared" si="28"/>
        <v>TEXAS COUNTY &amp; DISTRICT RET</v>
      </c>
    </row>
    <row r="2074" spans="5:8" x14ac:dyDescent="0.25">
      <c r="E2074" t="str">
        <f>""</f>
        <v/>
      </c>
      <c r="F2074" t="str">
        <f>""</f>
        <v/>
      </c>
      <c r="H2074" t="str">
        <f t="shared" si="28"/>
        <v>TEXAS COUNTY &amp; DISTRICT RET</v>
      </c>
    </row>
    <row r="2075" spans="5:8" x14ac:dyDescent="0.25">
      <c r="E2075" t="str">
        <f>""</f>
        <v/>
      </c>
      <c r="F2075" t="str">
        <f>""</f>
        <v/>
      </c>
      <c r="H2075" t="str">
        <f t="shared" si="28"/>
        <v>TEXAS COUNTY &amp; DISTRICT RET</v>
      </c>
    </row>
    <row r="2076" spans="5:8" x14ac:dyDescent="0.25">
      <c r="E2076" t="str">
        <f>""</f>
        <v/>
      </c>
      <c r="F2076" t="str">
        <f>""</f>
        <v/>
      </c>
      <c r="H2076" t="str">
        <f t="shared" si="28"/>
        <v>TEXAS COUNTY &amp; DISTRICT RET</v>
      </c>
    </row>
    <row r="2077" spans="5:8" x14ac:dyDescent="0.25">
      <c r="E2077" t="str">
        <f>""</f>
        <v/>
      </c>
      <c r="F2077" t="str">
        <f>""</f>
        <v/>
      </c>
      <c r="H2077" t="str">
        <f t="shared" si="28"/>
        <v>TEXAS COUNTY &amp; DISTRICT RET</v>
      </c>
    </row>
    <row r="2078" spans="5:8" x14ac:dyDescent="0.25">
      <c r="E2078" t="str">
        <f>""</f>
        <v/>
      </c>
      <c r="F2078" t="str">
        <f>""</f>
        <v/>
      </c>
      <c r="H2078" t="str">
        <f t="shared" si="28"/>
        <v>TEXAS COUNTY &amp; DISTRICT RET</v>
      </c>
    </row>
    <row r="2079" spans="5:8" x14ac:dyDescent="0.25">
      <c r="E2079" t="str">
        <f>""</f>
        <v/>
      </c>
      <c r="F2079" t="str">
        <f>""</f>
        <v/>
      </c>
      <c r="H2079" t="str">
        <f t="shared" si="28"/>
        <v>TEXAS COUNTY &amp; DISTRICT RET</v>
      </c>
    </row>
    <row r="2080" spans="5:8" x14ac:dyDescent="0.25">
      <c r="E2080" t="str">
        <f>""</f>
        <v/>
      </c>
      <c r="F2080" t="str">
        <f>""</f>
        <v/>
      </c>
      <c r="H2080" t="str">
        <f t="shared" si="28"/>
        <v>TEXAS COUNTY &amp; DISTRICT RET</v>
      </c>
    </row>
    <row r="2081" spans="1:8" x14ac:dyDescent="0.25">
      <c r="E2081" t="str">
        <f>""</f>
        <v/>
      </c>
      <c r="F2081" t="str">
        <f>""</f>
        <v/>
      </c>
      <c r="H2081" t="str">
        <f t="shared" si="28"/>
        <v>TEXAS COUNTY &amp; DISTRICT RET</v>
      </c>
    </row>
    <row r="2082" spans="1:8" x14ac:dyDescent="0.25">
      <c r="E2082" t="str">
        <f>""</f>
        <v/>
      </c>
      <c r="F2082" t="str">
        <f>""</f>
        <v/>
      </c>
      <c r="H2082" t="str">
        <f t="shared" si="28"/>
        <v>TEXAS COUNTY &amp; DISTRICT RET</v>
      </c>
    </row>
    <row r="2083" spans="1:8" x14ac:dyDescent="0.25">
      <c r="E2083" t="str">
        <f>""</f>
        <v/>
      </c>
      <c r="F2083" t="str">
        <f>""</f>
        <v/>
      </c>
      <c r="H2083" t="str">
        <f t="shared" si="28"/>
        <v>TEXAS COUNTY &amp; DISTRICT RET</v>
      </c>
    </row>
    <row r="2084" spans="1:8" x14ac:dyDescent="0.25">
      <c r="E2084" t="str">
        <f>""</f>
        <v/>
      </c>
      <c r="F2084" t="str">
        <f>""</f>
        <v/>
      </c>
      <c r="H2084" t="str">
        <f t="shared" si="28"/>
        <v>TEXAS COUNTY &amp; DISTRICT RET</v>
      </c>
    </row>
    <row r="2085" spans="1:8" x14ac:dyDescent="0.25">
      <c r="E2085" t="str">
        <f>""</f>
        <v/>
      </c>
      <c r="F2085" t="str">
        <f>""</f>
        <v/>
      </c>
      <c r="H2085" t="str">
        <f t="shared" si="28"/>
        <v>TEXAS COUNTY &amp; DISTRICT RET</v>
      </c>
    </row>
    <row r="2086" spans="1:8" x14ac:dyDescent="0.25">
      <c r="E2086" t="str">
        <f>"RET202012220866"</f>
        <v>RET202012220866</v>
      </c>
      <c r="F2086" t="str">
        <f>"TEXAS COUNTY  DISTRICT RET"</f>
        <v>TEXAS COUNTY  DISTRICT RET</v>
      </c>
      <c r="G2086" s="3">
        <v>6079.25</v>
      </c>
      <c r="H2086" t="str">
        <f>"TEXAS COUNTY  DISTRICT RET"</f>
        <v>TEXAS COUNTY  DISTRICT RET</v>
      </c>
    </row>
    <row r="2087" spans="1:8" x14ac:dyDescent="0.25">
      <c r="E2087" t="str">
        <f>""</f>
        <v/>
      </c>
      <c r="F2087" t="str">
        <f>""</f>
        <v/>
      </c>
      <c r="H2087" t="str">
        <f>"TEXAS COUNTY  DISTRICT RET"</f>
        <v>TEXAS COUNTY  DISTRICT RET</v>
      </c>
    </row>
    <row r="2088" spans="1:8" x14ac:dyDescent="0.25">
      <c r="E2088" t="str">
        <f>"RET202012220867"</f>
        <v>RET202012220867</v>
      </c>
      <c r="F2088" t="str">
        <f>"TEXAS COUNTY &amp; DISTRICT RET"</f>
        <v>TEXAS COUNTY &amp; DISTRICT RET</v>
      </c>
      <c r="G2088" s="3">
        <v>7061.43</v>
      </c>
      <c r="H2088" t="str">
        <f>"TEXAS COUNTY &amp; DISTRICT RET"</f>
        <v>TEXAS COUNTY &amp; DISTRICT RET</v>
      </c>
    </row>
    <row r="2089" spans="1:8" x14ac:dyDescent="0.25">
      <c r="E2089" t="str">
        <f>""</f>
        <v/>
      </c>
      <c r="F2089" t="str">
        <f>""</f>
        <v/>
      </c>
      <c r="H2089" t="str">
        <f>"TEXAS COUNTY &amp; DISTRICT RET"</f>
        <v>TEXAS COUNTY &amp; DISTRICT RET</v>
      </c>
    </row>
    <row r="2090" spans="1:8" x14ac:dyDescent="0.25">
      <c r="A2090" t="s">
        <v>407</v>
      </c>
      <c r="B2090">
        <v>827</v>
      </c>
      <c r="C2090" s="3">
        <v>26375.919999999998</v>
      </c>
      <c r="D2090" s="5">
        <v>44193</v>
      </c>
      <c r="E2090" t="str">
        <f>"202012280914"</f>
        <v>202012280914</v>
      </c>
      <c r="F2090" t="str">
        <f>"AmWINS Group Benefits  Inc."</f>
        <v>AmWINS Group Benefits  Inc.</v>
      </c>
      <c r="G2090" s="3">
        <v>26375.919999999998</v>
      </c>
      <c r="H2090" t="str">
        <f>"AmWINS Group Benefits  Inc."</f>
        <v>AmWINS Group Benefits  Inc.</v>
      </c>
    </row>
    <row r="2091" spans="1:8" x14ac:dyDescent="0.25">
      <c r="A2091" t="s">
        <v>408</v>
      </c>
      <c r="B2091">
        <v>828</v>
      </c>
      <c r="C2091" s="3">
        <v>42024.6</v>
      </c>
      <c r="D2091" s="5">
        <v>44193</v>
      </c>
      <c r="E2091" t="str">
        <f>"202012280911"</f>
        <v>202012280911</v>
      </c>
      <c r="F2091" t="str">
        <f>"GUARDIAN Dental/Vision Dec 20"</f>
        <v>GUARDIAN Dental/Vision Dec 20</v>
      </c>
      <c r="G2091" s="3">
        <v>3207.26</v>
      </c>
      <c r="H2091" t="str">
        <f>"GUARDIAN Dental/Vision Dec 20"</f>
        <v>GUARDIAN Dental/Vision Dec 20</v>
      </c>
    </row>
    <row r="2092" spans="1:8" x14ac:dyDescent="0.25">
      <c r="E2092" t="str">
        <f>"202012280912"</f>
        <v>202012280912</v>
      </c>
      <c r="F2092" t="str">
        <f>"GUARDIAN COBRA Dec"</f>
        <v>GUARDIAN COBRA Dec</v>
      </c>
      <c r="G2092" s="3">
        <v>382.9</v>
      </c>
      <c r="H2092" t="str">
        <f>"GUARDIAN COBRA Dec"</f>
        <v>GUARDIAN COBRA Dec</v>
      </c>
    </row>
    <row r="2093" spans="1:8" x14ac:dyDescent="0.25">
      <c r="E2093" t="str">
        <f>"202012280913"</f>
        <v>202012280913</v>
      </c>
      <c r="F2093" t="str">
        <f>"GUARDIAN Rounding"</f>
        <v>GUARDIAN Rounding</v>
      </c>
      <c r="G2093" s="3">
        <v>0.38</v>
      </c>
      <c r="H2093" t="str">
        <f>"GUARDIAN Rounding"</f>
        <v>GUARDIAN Rounding</v>
      </c>
    </row>
    <row r="2094" spans="1:8" x14ac:dyDescent="0.25">
      <c r="E2094" t="str">
        <f>"ADC202012090689"</f>
        <v>ADC202012090689</v>
      </c>
      <c r="F2094" t="str">
        <f t="shared" ref="F2094:F2106" si="29">"GUARDIAN"</f>
        <v>GUARDIAN</v>
      </c>
      <c r="G2094" s="3">
        <v>4.62</v>
      </c>
      <c r="H2094" t="str">
        <f t="shared" ref="H2094:H2157" si="30">"GUARDIAN"</f>
        <v>GUARDIAN</v>
      </c>
    </row>
    <row r="2095" spans="1:8" x14ac:dyDescent="0.25">
      <c r="E2095" t="str">
        <f>"ADC202012090690"</f>
        <v>ADC202012090690</v>
      </c>
      <c r="F2095" t="str">
        <f t="shared" si="29"/>
        <v>GUARDIAN</v>
      </c>
      <c r="G2095" s="3">
        <v>0.16</v>
      </c>
      <c r="H2095" t="str">
        <f t="shared" si="30"/>
        <v>GUARDIAN</v>
      </c>
    </row>
    <row r="2096" spans="1:8" x14ac:dyDescent="0.25">
      <c r="E2096" t="str">
        <f>"ADC202012220865"</f>
        <v>ADC202012220865</v>
      </c>
      <c r="F2096" t="str">
        <f t="shared" si="29"/>
        <v>GUARDIAN</v>
      </c>
      <c r="G2096" s="3">
        <v>4.62</v>
      </c>
      <c r="H2096" t="str">
        <f t="shared" si="30"/>
        <v>GUARDIAN</v>
      </c>
    </row>
    <row r="2097" spans="5:8" x14ac:dyDescent="0.25">
      <c r="E2097" t="str">
        <f>"ADC202012220866"</f>
        <v>ADC202012220866</v>
      </c>
      <c r="F2097" t="str">
        <f t="shared" si="29"/>
        <v>GUARDIAN</v>
      </c>
      <c r="G2097" s="3">
        <v>0.16</v>
      </c>
      <c r="H2097" t="str">
        <f t="shared" si="30"/>
        <v>GUARDIAN</v>
      </c>
    </row>
    <row r="2098" spans="5:8" x14ac:dyDescent="0.25">
      <c r="E2098" t="str">
        <f>"ADE202012090689"</f>
        <v>ADE202012090689</v>
      </c>
      <c r="F2098" t="str">
        <f t="shared" si="29"/>
        <v>GUARDIAN</v>
      </c>
      <c r="G2098" s="3">
        <v>227.23</v>
      </c>
      <c r="H2098" t="str">
        <f t="shared" si="30"/>
        <v>GUARDIAN</v>
      </c>
    </row>
    <row r="2099" spans="5:8" x14ac:dyDescent="0.25">
      <c r="E2099" t="str">
        <f>"ADE202012090690"</f>
        <v>ADE202012090690</v>
      </c>
      <c r="F2099" t="str">
        <f t="shared" si="29"/>
        <v>GUARDIAN</v>
      </c>
      <c r="G2099" s="3">
        <v>6.3</v>
      </c>
      <c r="H2099" t="str">
        <f t="shared" si="30"/>
        <v>GUARDIAN</v>
      </c>
    </row>
    <row r="2100" spans="5:8" x14ac:dyDescent="0.25">
      <c r="E2100" t="str">
        <f>"ADE202012220865"</f>
        <v>ADE202012220865</v>
      </c>
      <c r="F2100" t="str">
        <f t="shared" si="29"/>
        <v>GUARDIAN</v>
      </c>
      <c r="G2100" s="3">
        <v>227.23</v>
      </c>
      <c r="H2100" t="str">
        <f t="shared" si="30"/>
        <v>GUARDIAN</v>
      </c>
    </row>
    <row r="2101" spans="5:8" x14ac:dyDescent="0.25">
      <c r="E2101" t="str">
        <f>"ADE202012220866"</f>
        <v>ADE202012220866</v>
      </c>
      <c r="F2101" t="str">
        <f t="shared" si="29"/>
        <v>GUARDIAN</v>
      </c>
      <c r="G2101" s="3">
        <v>6.3</v>
      </c>
      <c r="H2101" t="str">
        <f t="shared" si="30"/>
        <v>GUARDIAN</v>
      </c>
    </row>
    <row r="2102" spans="5:8" x14ac:dyDescent="0.25">
      <c r="E2102" t="str">
        <f>"ADS202012090689"</f>
        <v>ADS202012090689</v>
      </c>
      <c r="F2102" t="str">
        <f t="shared" si="29"/>
        <v>GUARDIAN</v>
      </c>
      <c r="G2102" s="3">
        <v>40.840000000000003</v>
      </c>
      <c r="H2102" t="str">
        <f t="shared" si="30"/>
        <v>GUARDIAN</v>
      </c>
    </row>
    <row r="2103" spans="5:8" x14ac:dyDescent="0.25">
      <c r="E2103" t="str">
        <f>"ADS202012090690"</f>
        <v>ADS202012090690</v>
      </c>
      <c r="F2103" t="str">
        <f t="shared" si="29"/>
        <v>GUARDIAN</v>
      </c>
      <c r="G2103" s="3">
        <v>0.53</v>
      </c>
      <c r="H2103" t="str">
        <f t="shared" si="30"/>
        <v>GUARDIAN</v>
      </c>
    </row>
    <row r="2104" spans="5:8" x14ac:dyDescent="0.25">
      <c r="E2104" t="str">
        <f>"ADS202012220865"</f>
        <v>ADS202012220865</v>
      </c>
      <c r="F2104" t="str">
        <f t="shared" si="29"/>
        <v>GUARDIAN</v>
      </c>
      <c r="G2104" s="3">
        <v>40.840000000000003</v>
      </c>
      <c r="H2104" t="str">
        <f t="shared" si="30"/>
        <v>GUARDIAN</v>
      </c>
    </row>
    <row r="2105" spans="5:8" x14ac:dyDescent="0.25">
      <c r="E2105" t="str">
        <f>"ADS202012220866"</f>
        <v>ADS202012220866</v>
      </c>
      <c r="F2105" t="str">
        <f t="shared" si="29"/>
        <v>GUARDIAN</v>
      </c>
      <c r="G2105" s="3">
        <v>0.53</v>
      </c>
      <c r="H2105" t="str">
        <f t="shared" si="30"/>
        <v>GUARDIAN</v>
      </c>
    </row>
    <row r="2106" spans="5:8" x14ac:dyDescent="0.25">
      <c r="E2106" t="str">
        <f>"GDC202012090689"</f>
        <v>GDC202012090689</v>
      </c>
      <c r="F2106" t="str">
        <f t="shared" si="29"/>
        <v>GUARDIAN</v>
      </c>
      <c r="G2106" s="3">
        <v>2682.84</v>
      </c>
      <c r="H2106" t="str">
        <f t="shared" si="30"/>
        <v>GUARDIAN</v>
      </c>
    </row>
    <row r="2107" spans="5:8" x14ac:dyDescent="0.25">
      <c r="E2107" t="str">
        <f>""</f>
        <v/>
      </c>
      <c r="F2107" t="str">
        <f>""</f>
        <v/>
      </c>
      <c r="H2107" t="str">
        <f t="shared" si="30"/>
        <v>GUARDIAN</v>
      </c>
    </row>
    <row r="2108" spans="5:8" x14ac:dyDescent="0.25">
      <c r="E2108" t="str">
        <f>""</f>
        <v/>
      </c>
      <c r="F2108" t="str">
        <f>""</f>
        <v/>
      </c>
      <c r="H2108" t="str">
        <f t="shared" si="30"/>
        <v>GUARDIAN</v>
      </c>
    </row>
    <row r="2109" spans="5:8" x14ac:dyDescent="0.25">
      <c r="E2109" t="str">
        <f>""</f>
        <v/>
      </c>
      <c r="F2109" t="str">
        <f>""</f>
        <v/>
      </c>
      <c r="H2109" t="str">
        <f t="shared" si="30"/>
        <v>GUARDIAN</v>
      </c>
    </row>
    <row r="2110" spans="5:8" x14ac:dyDescent="0.25">
      <c r="E2110" t="str">
        <f>""</f>
        <v/>
      </c>
      <c r="F2110" t="str">
        <f>""</f>
        <v/>
      </c>
      <c r="H2110" t="str">
        <f t="shared" si="30"/>
        <v>GUARDIAN</v>
      </c>
    </row>
    <row r="2111" spans="5:8" x14ac:dyDescent="0.25">
      <c r="E2111" t="str">
        <f>""</f>
        <v/>
      </c>
      <c r="F2111" t="str">
        <f>""</f>
        <v/>
      </c>
      <c r="H2111" t="str">
        <f t="shared" si="30"/>
        <v>GUARDIAN</v>
      </c>
    </row>
    <row r="2112" spans="5:8" x14ac:dyDescent="0.25">
      <c r="E2112" t="str">
        <f>""</f>
        <v/>
      </c>
      <c r="F2112" t="str">
        <f>""</f>
        <v/>
      </c>
      <c r="H2112" t="str">
        <f t="shared" si="30"/>
        <v>GUARDIAN</v>
      </c>
    </row>
    <row r="2113" spans="5:8" x14ac:dyDescent="0.25">
      <c r="E2113" t="str">
        <f>""</f>
        <v/>
      </c>
      <c r="F2113" t="str">
        <f>""</f>
        <v/>
      </c>
      <c r="H2113" t="str">
        <f t="shared" si="30"/>
        <v>GUARDIAN</v>
      </c>
    </row>
    <row r="2114" spans="5:8" x14ac:dyDescent="0.25">
      <c r="E2114" t="str">
        <f>""</f>
        <v/>
      </c>
      <c r="F2114" t="str">
        <f>""</f>
        <v/>
      </c>
      <c r="H2114" t="str">
        <f t="shared" si="30"/>
        <v>GUARDIAN</v>
      </c>
    </row>
    <row r="2115" spans="5:8" x14ac:dyDescent="0.25">
      <c r="E2115" t="str">
        <f>""</f>
        <v/>
      </c>
      <c r="F2115" t="str">
        <f>""</f>
        <v/>
      </c>
      <c r="H2115" t="str">
        <f t="shared" si="30"/>
        <v>GUARDIAN</v>
      </c>
    </row>
    <row r="2116" spans="5:8" x14ac:dyDescent="0.25">
      <c r="E2116" t="str">
        <f>""</f>
        <v/>
      </c>
      <c r="F2116" t="str">
        <f>""</f>
        <v/>
      </c>
      <c r="H2116" t="str">
        <f t="shared" si="30"/>
        <v>GUARDIAN</v>
      </c>
    </row>
    <row r="2117" spans="5:8" x14ac:dyDescent="0.25">
      <c r="E2117" t="str">
        <f>""</f>
        <v/>
      </c>
      <c r="F2117" t="str">
        <f>""</f>
        <v/>
      </c>
      <c r="H2117" t="str">
        <f t="shared" si="30"/>
        <v>GUARDIAN</v>
      </c>
    </row>
    <row r="2118" spans="5:8" x14ac:dyDescent="0.25">
      <c r="E2118" t="str">
        <f>""</f>
        <v/>
      </c>
      <c r="F2118" t="str">
        <f>""</f>
        <v/>
      </c>
      <c r="H2118" t="str">
        <f t="shared" si="30"/>
        <v>GUARDIAN</v>
      </c>
    </row>
    <row r="2119" spans="5:8" x14ac:dyDescent="0.25">
      <c r="E2119" t="str">
        <f>""</f>
        <v/>
      </c>
      <c r="F2119" t="str">
        <f>""</f>
        <v/>
      </c>
      <c r="H2119" t="str">
        <f t="shared" si="30"/>
        <v>GUARDIAN</v>
      </c>
    </row>
    <row r="2120" spans="5:8" x14ac:dyDescent="0.25">
      <c r="E2120" t="str">
        <f>""</f>
        <v/>
      </c>
      <c r="F2120" t="str">
        <f>""</f>
        <v/>
      </c>
      <c r="H2120" t="str">
        <f t="shared" si="30"/>
        <v>GUARDIAN</v>
      </c>
    </row>
    <row r="2121" spans="5:8" x14ac:dyDescent="0.25">
      <c r="E2121" t="str">
        <f>""</f>
        <v/>
      </c>
      <c r="F2121" t="str">
        <f>""</f>
        <v/>
      </c>
      <c r="H2121" t="str">
        <f t="shared" si="30"/>
        <v>GUARDIAN</v>
      </c>
    </row>
    <row r="2122" spans="5:8" x14ac:dyDescent="0.25">
      <c r="E2122" t="str">
        <f>""</f>
        <v/>
      </c>
      <c r="F2122" t="str">
        <f>""</f>
        <v/>
      </c>
      <c r="H2122" t="str">
        <f t="shared" si="30"/>
        <v>GUARDIAN</v>
      </c>
    </row>
    <row r="2123" spans="5:8" x14ac:dyDescent="0.25">
      <c r="E2123" t="str">
        <f>""</f>
        <v/>
      </c>
      <c r="F2123" t="str">
        <f>""</f>
        <v/>
      </c>
      <c r="H2123" t="str">
        <f t="shared" si="30"/>
        <v>GUARDIAN</v>
      </c>
    </row>
    <row r="2124" spans="5:8" x14ac:dyDescent="0.25">
      <c r="E2124" t="str">
        <f>""</f>
        <v/>
      </c>
      <c r="F2124" t="str">
        <f>""</f>
        <v/>
      </c>
      <c r="H2124" t="str">
        <f t="shared" si="30"/>
        <v>GUARDIAN</v>
      </c>
    </row>
    <row r="2125" spans="5:8" x14ac:dyDescent="0.25">
      <c r="E2125" t="str">
        <f>""</f>
        <v/>
      </c>
      <c r="F2125" t="str">
        <f>""</f>
        <v/>
      </c>
      <c r="H2125" t="str">
        <f t="shared" si="30"/>
        <v>GUARDIAN</v>
      </c>
    </row>
    <row r="2126" spans="5:8" x14ac:dyDescent="0.25">
      <c r="E2126" t="str">
        <f>""</f>
        <v/>
      </c>
      <c r="F2126" t="str">
        <f>""</f>
        <v/>
      </c>
      <c r="H2126" t="str">
        <f t="shared" si="30"/>
        <v>GUARDIAN</v>
      </c>
    </row>
    <row r="2127" spans="5:8" x14ac:dyDescent="0.25">
      <c r="E2127" t="str">
        <f>""</f>
        <v/>
      </c>
      <c r="F2127" t="str">
        <f>""</f>
        <v/>
      </c>
      <c r="H2127" t="str">
        <f t="shared" si="30"/>
        <v>GUARDIAN</v>
      </c>
    </row>
    <row r="2128" spans="5:8" x14ac:dyDescent="0.25">
      <c r="E2128" t="str">
        <f>""</f>
        <v/>
      </c>
      <c r="F2128" t="str">
        <f>""</f>
        <v/>
      </c>
      <c r="H2128" t="str">
        <f t="shared" si="30"/>
        <v>GUARDIAN</v>
      </c>
    </row>
    <row r="2129" spans="5:8" x14ac:dyDescent="0.25">
      <c r="E2129" t="str">
        <f>""</f>
        <v/>
      </c>
      <c r="F2129" t="str">
        <f>""</f>
        <v/>
      </c>
      <c r="H2129" t="str">
        <f t="shared" si="30"/>
        <v>GUARDIAN</v>
      </c>
    </row>
    <row r="2130" spans="5:8" x14ac:dyDescent="0.25">
      <c r="E2130" t="str">
        <f>""</f>
        <v/>
      </c>
      <c r="F2130" t="str">
        <f>""</f>
        <v/>
      </c>
      <c r="H2130" t="str">
        <f t="shared" si="30"/>
        <v>GUARDIAN</v>
      </c>
    </row>
    <row r="2131" spans="5:8" x14ac:dyDescent="0.25">
      <c r="E2131" t="str">
        <f>""</f>
        <v/>
      </c>
      <c r="F2131" t="str">
        <f>""</f>
        <v/>
      </c>
      <c r="H2131" t="str">
        <f t="shared" si="30"/>
        <v>GUARDIAN</v>
      </c>
    </row>
    <row r="2132" spans="5:8" x14ac:dyDescent="0.25">
      <c r="E2132" t="str">
        <f>""</f>
        <v/>
      </c>
      <c r="F2132" t="str">
        <f>""</f>
        <v/>
      </c>
      <c r="H2132" t="str">
        <f t="shared" si="30"/>
        <v>GUARDIAN</v>
      </c>
    </row>
    <row r="2133" spans="5:8" x14ac:dyDescent="0.25">
      <c r="E2133" t="str">
        <f>""</f>
        <v/>
      </c>
      <c r="F2133" t="str">
        <f>""</f>
        <v/>
      </c>
      <c r="H2133" t="str">
        <f t="shared" si="30"/>
        <v>GUARDIAN</v>
      </c>
    </row>
    <row r="2134" spans="5:8" x14ac:dyDescent="0.25">
      <c r="E2134" t="str">
        <f>""</f>
        <v/>
      </c>
      <c r="F2134" t="str">
        <f>""</f>
        <v/>
      </c>
      <c r="H2134" t="str">
        <f t="shared" si="30"/>
        <v>GUARDIAN</v>
      </c>
    </row>
    <row r="2135" spans="5:8" x14ac:dyDescent="0.25">
      <c r="E2135" t="str">
        <f>""</f>
        <v/>
      </c>
      <c r="F2135" t="str">
        <f>""</f>
        <v/>
      </c>
      <c r="H2135" t="str">
        <f t="shared" si="30"/>
        <v>GUARDIAN</v>
      </c>
    </row>
    <row r="2136" spans="5:8" x14ac:dyDescent="0.25">
      <c r="E2136" t="str">
        <f>""</f>
        <v/>
      </c>
      <c r="F2136" t="str">
        <f>""</f>
        <v/>
      </c>
      <c r="H2136" t="str">
        <f t="shared" si="30"/>
        <v>GUARDIAN</v>
      </c>
    </row>
    <row r="2137" spans="5:8" x14ac:dyDescent="0.25">
      <c r="E2137" t="str">
        <f>"GDC202012090690"</f>
        <v>GDC202012090690</v>
      </c>
      <c r="F2137" t="str">
        <f>"GUARDIAN"</f>
        <v>GUARDIAN</v>
      </c>
      <c r="G2137" s="3">
        <v>135.84</v>
      </c>
      <c r="H2137" t="str">
        <f t="shared" si="30"/>
        <v>GUARDIAN</v>
      </c>
    </row>
    <row r="2138" spans="5:8" x14ac:dyDescent="0.25">
      <c r="E2138" t="str">
        <f>""</f>
        <v/>
      </c>
      <c r="F2138" t="str">
        <f>""</f>
        <v/>
      </c>
      <c r="H2138" t="str">
        <f t="shared" si="30"/>
        <v>GUARDIAN</v>
      </c>
    </row>
    <row r="2139" spans="5:8" x14ac:dyDescent="0.25">
      <c r="E2139" t="str">
        <f>"GDC202012220865"</f>
        <v>GDC202012220865</v>
      </c>
      <c r="F2139" t="str">
        <f>"GUARDIAN"</f>
        <v>GUARDIAN</v>
      </c>
      <c r="G2139" s="3">
        <v>2682.84</v>
      </c>
      <c r="H2139" t="str">
        <f t="shared" si="30"/>
        <v>GUARDIAN</v>
      </c>
    </row>
    <row r="2140" spans="5:8" x14ac:dyDescent="0.25">
      <c r="E2140" t="str">
        <f>""</f>
        <v/>
      </c>
      <c r="F2140" t="str">
        <f>""</f>
        <v/>
      </c>
      <c r="H2140" t="str">
        <f t="shared" si="30"/>
        <v>GUARDIAN</v>
      </c>
    </row>
    <row r="2141" spans="5:8" x14ac:dyDescent="0.25">
      <c r="E2141" t="str">
        <f>""</f>
        <v/>
      </c>
      <c r="F2141" t="str">
        <f>""</f>
        <v/>
      </c>
      <c r="H2141" t="str">
        <f t="shared" si="30"/>
        <v>GUARDIAN</v>
      </c>
    </row>
    <row r="2142" spans="5:8" x14ac:dyDescent="0.25">
      <c r="E2142" t="str">
        <f>""</f>
        <v/>
      </c>
      <c r="F2142" t="str">
        <f>""</f>
        <v/>
      </c>
      <c r="H2142" t="str">
        <f t="shared" si="30"/>
        <v>GUARDIAN</v>
      </c>
    </row>
    <row r="2143" spans="5:8" x14ac:dyDescent="0.25">
      <c r="E2143" t="str">
        <f>""</f>
        <v/>
      </c>
      <c r="F2143" t="str">
        <f>""</f>
        <v/>
      </c>
      <c r="H2143" t="str">
        <f t="shared" si="30"/>
        <v>GUARDIAN</v>
      </c>
    </row>
    <row r="2144" spans="5:8" x14ac:dyDescent="0.25">
      <c r="E2144" t="str">
        <f>""</f>
        <v/>
      </c>
      <c r="F2144" t="str">
        <f>""</f>
        <v/>
      </c>
      <c r="H2144" t="str">
        <f t="shared" si="30"/>
        <v>GUARDIAN</v>
      </c>
    </row>
    <row r="2145" spans="5:8" x14ac:dyDescent="0.25">
      <c r="E2145" t="str">
        <f>""</f>
        <v/>
      </c>
      <c r="F2145" t="str">
        <f>""</f>
        <v/>
      </c>
      <c r="H2145" t="str">
        <f t="shared" si="30"/>
        <v>GUARDIAN</v>
      </c>
    </row>
    <row r="2146" spans="5:8" x14ac:dyDescent="0.25">
      <c r="E2146" t="str">
        <f>""</f>
        <v/>
      </c>
      <c r="F2146" t="str">
        <f>""</f>
        <v/>
      </c>
      <c r="H2146" t="str">
        <f t="shared" si="30"/>
        <v>GUARDIAN</v>
      </c>
    </row>
    <row r="2147" spans="5:8" x14ac:dyDescent="0.25">
      <c r="E2147" t="str">
        <f>""</f>
        <v/>
      </c>
      <c r="F2147" t="str">
        <f>""</f>
        <v/>
      </c>
      <c r="H2147" t="str">
        <f t="shared" si="30"/>
        <v>GUARDIAN</v>
      </c>
    </row>
    <row r="2148" spans="5:8" x14ac:dyDescent="0.25">
      <c r="E2148" t="str">
        <f>""</f>
        <v/>
      </c>
      <c r="F2148" t="str">
        <f>""</f>
        <v/>
      </c>
      <c r="H2148" t="str">
        <f t="shared" si="30"/>
        <v>GUARDIAN</v>
      </c>
    </row>
    <row r="2149" spans="5:8" x14ac:dyDescent="0.25">
      <c r="E2149" t="str">
        <f>""</f>
        <v/>
      </c>
      <c r="F2149" t="str">
        <f>""</f>
        <v/>
      </c>
      <c r="H2149" t="str">
        <f t="shared" si="30"/>
        <v>GUARDIAN</v>
      </c>
    </row>
    <row r="2150" spans="5:8" x14ac:dyDescent="0.25">
      <c r="E2150" t="str">
        <f>""</f>
        <v/>
      </c>
      <c r="F2150" t="str">
        <f>""</f>
        <v/>
      </c>
      <c r="H2150" t="str">
        <f t="shared" si="30"/>
        <v>GUARDIAN</v>
      </c>
    </row>
    <row r="2151" spans="5:8" x14ac:dyDescent="0.25">
      <c r="E2151" t="str">
        <f>""</f>
        <v/>
      </c>
      <c r="F2151" t="str">
        <f>""</f>
        <v/>
      </c>
      <c r="H2151" t="str">
        <f t="shared" si="30"/>
        <v>GUARDIAN</v>
      </c>
    </row>
    <row r="2152" spans="5:8" x14ac:dyDescent="0.25">
      <c r="E2152" t="str">
        <f>""</f>
        <v/>
      </c>
      <c r="F2152" t="str">
        <f>""</f>
        <v/>
      </c>
      <c r="H2152" t="str">
        <f t="shared" si="30"/>
        <v>GUARDIAN</v>
      </c>
    </row>
    <row r="2153" spans="5:8" x14ac:dyDescent="0.25">
      <c r="E2153" t="str">
        <f>""</f>
        <v/>
      </c>
      <c r="F2153" t="str">
        <f>""</f>
        <v/>
      </c>
      <c r="H2153" t="str">
        <f t="shared" si="30"/>
        <v>GUARDIAN</v>
      </c>
    </row>
    <row r="2154" spans="5:8" x14ac:dyDescent="0.25">
      <c r="E2154" t="str">
        <f>""</f>
        <v/>
      </c>
      <c r="F2154" t="str">
        <f>""</f>
        <v/>
      </c>
      <c r="H2154" t="str">
        <f t="shared" si="30"/>
        <v>GUARDIAN</v>
      </c>
    </row>
    <row r="2155" spans="5:8" x14ac:dyDescent="0.25">
      <c r="E2155" t="str">
        <f>""</f>
        <v/>
      </c>
      <c r="F2155" t="str">
        <f>""</f>
        <v/>
      </c>
      <c r="H2155" t="str">
        <f t="shared" si="30"/>
        <v>GUARDIAN</v>
      </c>
    </row>
    <row r="2156" spans="5:8" x14ac:dyDescent="0.25">
      <c r="E2156" t="str">
        <f>""</f>
        <v/>
      </c>
      <c r="F2156" t="str">
        <f>""</f>
        <v/>
      </c>
      <c r="H2156" t="str">
        <f t="shared" si="30"/>
        <v>GUARDIAN</v>
      </c>
    </row>
    <row r="2157" spans="5:8" x14ac:dyDescent="0.25">
      <c r="E2157" t="str">
        <f>""</f>
        <v/>
      </c>
      <c r="F2157" t="str">
        <f>""</f>
        <v/>
      </c>
      <c r="H2157" t="str">
        <f t="shared" si="30"/>
        <v>GUARDIAN</v>
      </c>
    </row>
    <row r="2158" spans="5:8" x14ac:dyDescent="0.25">
      <c r="E2158" t="str">
        <f>""</f>
        <v/>
      </c>
      <c r="F2158" t="str">
        <f>""</f>
        <v/>
      </c>
      <c r="H2158" t="str">
        <f t="shared" ref="H2158:H2221" si="31">"GUARDIAN"</f>
        <v>GUARDIAN</v>
      </c>
    </row>
    <row r="2159" spans="5:8" x14ac:dyDescent="0.25">
      <c r="E2159" t="str">
        <f>""</f>
        <v/>
      </c>
      <c r="F2159" t="str">
        <f>""</f>
        <v/>
      </c>
      <c r="H2159" t="str">
        <f t="shared" si="31"/>
        <v>GUARDIAN</v>
      </c>
    </row>
    <row r="2160" spans="5:8" x14ac:dyDescent="0.25">
      <c r="E2160" t="str">
        <f>""</f>
        <v/>
      </c>
      <c r="F2160" t="str">
        <f>""</f>
        <v/>
      </c>
      <c r="H2160" t="str">
        <f t="shared" si="31"/>
        <v>GUARDIAN</v>
      </c>
    </row>
    <row r="2161" spans="5:8" x14ac:dyDescent="0.25">
      <c r="E2161" t="str">
        <f>""</f>
        <v/>
      </c>
      <c r="F2161" t="str">
        <f>""</f>
        <v/>
      </c>
      <c r="H2161" t="str">
        <f t="shared" si="31"/>
        <v>GUARDIAN</v>
      </c>
    </row>
    <row r="2162" spans="5:8" x14ac:dyDescent="0.25">
      <c r="E2162" t="str">
        <f>""</f>
        <v/>
      </c>
      <c r="F2162" t="str">
        <f>""</f>
        <v/>
      </c>
      <c r="H2162" t="str">
        <f t="shared" si="31"/>
        <v>GUARDIAN</v>
      </c>
    </row>
    <row r="2163" spans="5:8" x14ac:dyDescent="0.25">
      <c r="E2163" t="str">
        <f>""</f>
        <v/>
      </c>
      <c r="F2163" t="str">
        <f>""</f>
        <v/>
      </c>
      <c r="H2163" t="str">
        <f t="shared" si="31"/>
        <v>GUARDIAN</v>
      </c>
    </row>
    <row r="2164" spans="5:8" x14ac:dyDescent="0.25">
      <c r="E2164" t="str">
        <f>""</f>
        <v/>
      </c>
      <c r="F2164" t="str">
        <f>""</f>
        <v/>
      </c>
      <c r="H2164" t="str">
        <f t="shared" si="31"/>
        <v>GUARDIAN</v>
      </c>
    </row>
    <row r="2165" spans="5:8" x14ac:dyDescent="0.25">
      <c r="E2165" t="str">
        <f>""</f>
        <v/>
      </c>
      <c r="F2165" t="str">
        <f>""</f>
        <v/>
      </c>
      <c r="H2165" t="str">
        <f t="shared" si="31"/>
        <v>GUARDIAN</v>
      </c>
    </row>
    <row r="2166" spans="5:8" x14ac:dyDescent="0.25">
      <c r="E2166" t="str">
        <f>""</f>
        <v/>
      </c>
      <c r="F2166" t="str">
        <f>""</f>
        <v/>
      </c>
      <c r="H2166" t="str">
        <f t="shared" si="31"/>
        <v>GUARDIAN</v>
      </c>
    </row>
    <row r="2167" spans="5:8" x14ac:dyDescent="0.25">
      <c r="E2167" t="str">
        <f>""</f>
        <v/>
      </c>
      <c r="F2167" t="str">
        <f>""</f>
        <v/>
      </c>
      <c r="H2167" t="str">
        <f t="shared" si="31"/>
        <v>GUARDIAN</v>
      </c>
    </row>
    <row r="2168" spans="5:8" x14ac:dyDescent="0.25">
      <c r="E2168" t="str">
        <f>""</f>
        <v/>
      </c>
      <c r="F2168" t="str">
        <f>""</f>
        <v/>
      </c>
      <c r="H2168" t="str">
        <f t="shared" si="31"/>
        <v>GUARDIAN</v>
      </c>
    </row>
    <row r="2169" spans="5:8" x14ac:dyDescent="0.25">
      <c r="E2169" t="str">
        <f>""</f>
        <v/>
      </c>
      <c r="F2169" t="str">
        <f>""</f>
        <v/>
      </c>
      <c r="H2169" t="str">
        <f t="shared" si="31"/>
        <v>GUARDIAN</v>
      </c>
    </row>
    <row r="2170" spans="5:8" x14ac:dyDescent="0.25">
      <c r="E2170" t="str">
        <f>"GDC202012220866"</f>
        <v>GDC202012220866</v>
      </c>
      <c r="F2170" t="str">
        <f>"GUARDIAN"</f>
        <v>GUARDIAN</v>
      </c>
      <c r="G2170" s="3">
        <v>135.84</v>
      </c>
      <c r="H2170" t="str">
        <f t="shared" si="31"/>
        <v>GUARDIAN</v>
      </c>
    </row>
    <row r="2171" spans="5:8" x14ac:dyDescent="0.25">
      <c r="E2171" t="str">
        <f>""</f>
        <v/>
      </c>
      <c r="F2171" t="str">
        <f>""</f>
        <v/>
      </c>
      <c r="H2171" t="str">
        <f t="shared" si="31"/>
        <v>GUARDIAN</v>
      </c>
    </row>
    <row r="2172" spans="5:8" x14ac:dyDescent="0.25">
      <c r="E2172" t="str">
        <f>"GDE202012090689"</f>
        <v>GDE202012090689</v>
      </c>
      <c r="F2172" t="str">
        <f>"GUARDIAN"</f>
        <v>GUARDIAN</v>
      </c>
      <c r="G2172" s="3">
        <v>4416.93</v>
      </c>
      <c r="H2172" t="str">
        <f t="shared" si="31"/>
        <v>GUARDIAN</v>
      </c>
    </row>
    <row r="2173" spans="5:8" x14ac:dyDescent="0.25">
      <c r="E2173" t="str">
        <f>""</f>
        <v/>
      </c>
      <c r="F2173" t="str">
        <f>""</f>
        <v/>
      </c>
      <c r="H2173" t="str">
        <f t="shared" si="31"/>
        <v>GUARDIAN</v>
      </c>
    </row>
    <row r="2174" spans="5:8" x14ac:dyDescent="0.25">
      <c r="E2174" t="str">
        <f>""</f>
        <v/>
      </c>
      <c r="F2174" t="str">
        <f>""</f>
        <v/>
      </c>
      <c r="H2174" t="str">
        <f t="shared" si="31"/>
        <v>GUARDIAN</v>
      </c>
    </row>
    <row r="2175" spans="5:8" x14ac:dyDescent="0.25">
      <c r="E2175" t="str">
        <f>""</f>
        <v/>
      </c>
      <c r="F2175" t="str">
        <f>""</f>
        <v/>
      </c>
      <c r="H2175" t="str">
        <f t="shared" si="31"/>
        <v>GUARDIAN</v>
      </c>
    </row>
    <row r="2176" spans="5:8" x14ac:dyDescent="0.25">
      <c r="E2176" t="str">
        <f>""</f>
        <v/>
      </c>
      <c r="F2176" t="str">
        <f>""</f>
        <v/>
      </c>
      <c r="H2176" t="str">
        <f t="shared" si="31"/>
        <v>GUARDIAN</v>
      </c>
    </row>
    <row r="2177" spans="5:8" x14ac:dyDescent="0.25">
      <c r="E2177" t="str">
        <f>""</f>
        <v/>
      </c>
      <c r="F2177" t="str">
        <f>""</f>
        <v/>
      </c>
      <c r="H2177" t="str">
        <f t="shared" si="31"/>
        <v>GUARDIAN</v>
      </c>
    </row>
    <row r="2178" spans="5:8" x14ac:dyDescent="0.25">
      <c r="E2178" t="str">
        <f>""</f>
        <v/>
      </c>
      <c r="F2178" t="str">
        <f>""</f>
        <v/>
      </c>
      <c r="H2178" t="str">
        <f t="shared" si="31"/>
        <v>GUARDIAN</v>
      </c>
    </row>
    <row r="2179" spans="5:8" x14ac:dyDescent="0.25">
      <c r="E2179" t="str">
        <f>""</f>
        <v/>
      </c>
      <c r="F2179" t="str">
        <f>""</f>
        <v/>
      </c>
      <c r="H2179" t="str">
        <f t="shared" si="31"/>
        <v>GUARDIAN</v>
      </c>
    </row>
    <row r="2180" spans="5:8" x14ac:dyDescent="0.25">
      <c r="E2180" t="str">
        <f>""</f>
        <v/>
      </c>
      <c r="F2180" t="str">
        <f>""</f>
        <v/>
      </c>
      <c r="H2180" t="str">
        <f t="shared" si="31"/>
        <v>GUARDIAN</v>
      </c>
    </row>
    <row r="2181" spans="5:8" x14ac:dyDescent="0.25">
      <c r="E2181" t="str">
        <f>""</f>
        <v/>
      </c>
      <c r="F2181" t="str">
        <f>""</f>
        <v/>
      </c>
      <c r="H2181" t="str">
        <f t="shared" si="31"/>
        <v>GUARDIAN</v>
      </c>
    </row>
    <row r="2182" spans="5:8" x14ac:dyDescent="0.25">
      <c r="E2182" t="str">
        <f>""</f>
        <v/>
      </c>
      <c r="F2182" t="str">
        <f>""</f>
        <v/>
      </c>
      <c r="H2182" t="str">
        <f t="shared" si="31"/>
        <v>GUARDIAN</v>
      </c>
    </row>
    <row r="2183" spans="5:8" x14ac:dyDescent="0.25">
      <c r="E2183" t="str">
        <f>""</f>
        <v/>
      </c>
      <c r="F2183" t="str">
        <f>""</f>
        <v/>
      </c>
      <c r="H2183" t="str">
        <f t="shared" si="31"/>
        <v>GUARDIAN</v>
      </c>
    </row>
    <row r="2184" spans="5:8" x14ac:dyDescent="0.25">
      <c r="E2184" t="str">
        <f>""</f>
        <v/>
      </c>
      <c r="F2184" t="str">
        <f>""</f>
        <v/>
      </c>
      <c r="H2184" t="str">
        <f t="shared" si="31"/>
        <v>GUARDIAN</v>
      </c>
    </row>
    <row r="2185" spans="5:8" x14ac:dyDescent="0.25">
      <c r="E2185" t="str">
        <f>""</f>
        <v/>
      </c>
      <c r="F2185" t="str">
        <f>""</f>
        <v/>
      </c>
      <c r="H2185" t="str">
        <f t="shared" si="31"/>
        <v>GUARDIAN</v>
      </c>
    </row>
    <row r="2186" spans="5:8" x14ac:dyDescent="0.25">
      <c r="E2186" t="str">
        <f>""</f>
        <v/>
      </c>
      <c r="F2186" t="str">
        <f>""</f>
        <v/>
      </c>
      <c r="H2186" t="str">
        <f t="shared" si="31"/>
        <v>GUARDIAN</v>
      </c>
    </row>
    <row r="2187" spans="5:8" x14ac:dyDescent="0.25">
      <c r="E2187" t="str">
        <f>""</f>
        <v/>
      </c>
      <c r="F2187" t="str">
        <f>""</f>
        <v/>
      </c>
      <c r="H2187" t="str">
        <f t="shared" si="31"/>
        <v>GUARDIAN</v>
      </c>
    </row>
    <row r="2188" spans="5:8" x14ac:dyDescent="0.25">
      <c r="E2188" t="str">
        <f>""</f>
        <v/>
      </c>
      <c r="F2188" t="str">
        <f>""</f>
        <v/>
      </c>
      <c r="H2188" t="str">
        <f t="shared" si="31"/>
        <v>GUARDIAN</v>
      </c>
    </row>
    <row r="2189" spans="5:8" x14ac:dyDescent="0.25">
      <c r="E2189" t="str">
        <f>""</f>
        <v/>
      </c>
      <c r="F2189" t="str">
        <f>""</f>
        <v/>
      </c>
      <c r="H2189" t="str">
        <f t="shared" si="31"/>
        <v>GUARDIAN</v>
      </c>
    </row>
    <row r="2190" spans="5:8" x14ac:dyDescent="0.25">
      <c r="E2190" t="str">
        <f>""</f>
        <v/>
      </c>
      <c r="F2190" t="str">
        <f>""</f>
        <v/>
      </c>
      <c r="H2190" t="str">
        <f t="shared" si="31"/>
        <v>GUARDIAN</v>
      </c>
    </row>
    <row r="2191" spans="5:8" x14ac:dyDescent="0.25">
      <c r="E2191" t="str">
        <f>""</f>
        <v/>
      </c>
      <c r="F2191" t="str">
        <f>""</f>
        <v/>
      </c>
      <c r="H2191" t="str">
        <f t="shared" si="31"/>
        <v>GUARDIAN</v>
      </c>
    </row>
    <row r="2192" spans="5:8" x14ac:dyDescent="0.25">
      <c r="E2192" t="str">
        <f>""</f>
        <v/>
      </c>
      <c r="F2192" t="str">
        <f>""</f>
        <v/>
      </c>
      <c r="H2192" t="str">
        <f t="shared" si="31"/>
        <v>GUARDIAN</v>
      </c>
    </row>
    <row r="2193" spans="5:8" x14ac:dyDescent="0.25">
      <c r="E2193" t="str">
        <f>""</f>
        <v/>
      </c>
      <c r="F2193" t="str">
        <f>""</f>
        <v/>
      </c>
      <c r="H2193" t="str">
        <f t="shared" si="31"/>
        <v>GUARDIAN</v>
      </c>
    </row>
    <row r="2194" spans="5:8" x14ac:dyDescent="0.25">
      <c r="E2194" t="str">
        <f>""</f>
        <v/>
      </c>
      <c r="F2194" t="str">
        <f>""</f>
        <v/>
      </c>
      <c r="H2194" t="str">
        <f t="shared" si="31"/>
        <v>GUARDIAN</v>
      </c>
    </row>
    <row r="2195" spans="5:8" x14ac:dyDescent="0.25">
      <c r="E2195" t="str">
        <f>""</f>
        <v/>
      </c>
      <c r="F2195" t="str">
        <f>""</f>
        <v/>
      </c>
      <c r="H2195" t="str">
        <f t="shared" si="31"/>
        <v>GUARDIAN</v>
      </c>
    </row>
    <row r="2196" spans="5:8" x14ac:dyDescent="0.25">
      <c r="E2196" t="str">
        <f>""</f>
        <v/>
      </c>
      <c r="F2196" t="str">
        <f>""</f>
        <v/>
      </c>
      <c r="H2196" t="str">
        <f t="shared" si="31"/>
        <v>GUARDIAN</v>
      </c>
    </row>
    <row r="2197" spans="5:8" x14ac:dyDescent="0.25">
      <c r="E2197" t="str">
        <f>""</f>
        <v/>
      </c>
      <c r="F2197" t="str">
        <f>""</f>
        <v/>
      </c>
      <c r="H2197" t="str">
        <f t="shared" si="31"/>
        <v>GUARDIAN</v>
      </c>
    </row>
    <row r="2198" spans="5:8" x14ac:dyDescent="0.25">
      <c r="E2198" t="str">
        <f>""</f>
        <v/>
      </c>
      <c r="F2198" t="str">
        <f>""</f>
        <v/>
      </c>
      <c r="H2198" t="str">
        <f t="shared" si="31"/>
        <v>GUARDIAN</v>
      </c>
    </row>
    <row r="2199" spans="5:8" x14ac:dyDescent="0.25">
      <c r="E2199" t="str">
        <f>""</f>
        <v/>
      </c>
      <c r="F2199" t="str">
        <f>""</f>
        <v/>
      </c>
      <c r="H2199" t="str">
        <f t="shared" si="31"/>
        <v>GUARDIAN</v>
      </c>
    </row>
    <row r="2200" spans="5:8" x14ac:dyDescent="0.25">
      <c r="E2200" t="str">
        <f>""</f>
        <v/>
      </c>
      <c r="F2200" t="str">
        <f>""</f>
        <v/>
      </c>
      <c r="H2200" t="str">
        <f t="shared" si="31"/>
        <v>GUARDIAN</v>
      </c>
    </row>
    <row r="2201" spans="5:8" x14ac:dyDescent="0.25">
      <c r="E2201" t="str">
        <f>""</f>
        <v/>
      </c>
      <c r="F2201" t="str">
        <f>""</f>
        <v/>
      </c>
      <c r="H2201" t="str">
        <f t="shared" si="31"/>
        <v>GUARDIAN</v>
      </c>
    </row>
    <row r="2202" spans="5:8" x14ac:dyDescent="0.25">
      <c r="E2202" t="str">
        <f>""</f>
        <v/>
      </c>
      <c r="F2202" t="str">
        <f>""</f>
        <v/>
      </c>
      <c r="H2202" t="str">
        <f t="shared" si="31"/>
        <v>GUARDIAN</v>
      </c>
    </row>
    <row r="2203" spans="5:8" x14ac:dyDescent="0.25">
      <c r="E2203" t="str">
        <f>""</f>
        <v/>
      </c>
      <c r="F2203" t="str">
        <f>""</f>
        <v/>
      </c>
      <c r="H2203" t="str">
        <f t="shared" si="31"/>
        <v>GUARDIAN</v>
      </c>
    </row>
    <row r="2204" spans="5:8" x14ac:dyDescent="0.25">
      <c r="E2204" t="str">
        <f>""</f>
        <v/>
      </c>
      <c r="F2204" t="str">
        <f>""</f>
        <v/>
      </c>
      <c r="H2204" t="str">
        <f t="shared" si="31"/>
        <v>GUARDIAN</v>
      </c>
    </row>
    <row r="2205" spans="5:8" x14ac:dyDescent="0.25">
      <c r="E2205" t="str">
        <f>""</f>
        <v/>
      </c>
      <c r="F2205" t="str">
        <f>""</f>
        <v/>
      </c>
      <c r="H2205" t="str">
        <f t="shared" si="31"/>
        <v>GUARDIAN</v>
      </c>
    </row>
    <row r="2206" spans="5:8" x14ac:dyDescent="0.25">
      <c r="E2206" t="str">
        <f>""</f>
        <v/>
      </c>
      <c r="F2206" t="str">
        <f>""</f>
        <v/>
      </c>
      <c r="H2206" t="str">
        <f t="shared" si="31"/>
        <v>GUARDIAN</v>
      </c>
    </row>
    <row r="2207" spans="5:8" x14ac:dyDescent="0.25">
      <c r="E2207" t="str">
        <f>""</f>
        <v/>
      </c>
      <c r="F2207" t="str">
        <f>""</f>
        <v/>
      </c>
      <c r="H2207" t="str">
        <f t="shared" si="31"/>
        <v>GUARDIAN</v>
      </c>
    </row>
    <row r="2208" spans="5:8" x14ac:dyDescent="0.25">
      <c r="E2208" t="str">
        <f>""</f>
        <v/>
      </c>
      <c r="F2208" t="str">
        <f>""</f>
        <v/>
      </c>
      <c r="H2208" t="str">
        <f t="shared" si="31"/>
        <v>GUARDIAN</v>
      </c>
    </row>
    <row r="2209" spans="5:8" x14ac:dyDescent="0.25">
      <c r="E2209" t="str">
        <f>""</f>
        <v/>
      </c>
      <c r="F2209" t="str">
        <f>""</f>
        <v/>
      </c>
      <c r="H2209" t="str">
        <f t="shared" si="31"/>
        <v>GUARDIAN</v>
      </c>
    </row>
    <row r="2210" spans="5:8" x14ac:dyDescent="0.25">
      <c r="E2210" t="str">
        <f>""</f>
        <v/>
      </c>
      <c r="F2210" t="str">
        <f>""</f>
        <v/>
      </c>
      <c r="H2210" t="str">
        <f t="shared" si="31"/>
        <v>GUARDIAN</v>
      </c>
    </row>
    <row r="2211" spans="5:8" x14ac:dyDescent="0.25">
      <c r="E2211" t="str">
        <f>""</f>
        <v/>
      </c>
      <c r="F2211" t="str">
        <f>""</f>
        <v/>
      </c>
      <c r="H2211" t="str">
        <f t="shared" si="31"/>
        <v>GUARDIAN</v>
      </c>
    </row>
    <row r="2212" spans="5:8" x14ac:dyDescent="0.25">
      <c r="E2212" t="str">
        <f>""</f>
        <v/>
      </c>
      <c r="F2212" t="str">
        <f>""</f>
        <v/>
      </c>
      <c r="H2212" t="str">
        <f t="shared" si="31"/>
        <v>GUARDIAN</v>
      </c>
    </row>
    <row r="2213" spans="5:8" x14ac:dyDescent="0.25">
      <c r="E2213" t="str">
        <f>""</f>
        <v/>
      </c>
      <c r="F2213" t="str">
        <f>""</f>
        <v/>
      </c>
      <c r="H2213" t="str">
        <f t="shared" si="31"/>
        <v>GUARDIAN</v>
      </c>
    </row>
    <row r="2214" spans="5:8" x14ac:dyDescent="0.25">
      <c r="E2214" t="str">
        <f>""</f>
        <v/>
      </c>
      <c r="F2214" t="str">
        <f>""</f>
        <v/>
      </c>
      <c r="H2214" t="str">
        <f t="shared" si="31"/>
        <v>GUARDIAN</v>
      </c>
    </row>
    <row r="2215" spans="5:8" x14ac:dyDescent="0.25">
      <c r="E2215" t="str">
        <f>""</f>
        <v/>
      </c>
      <c r="F2215" t="str">
        <f>""</f>
        <v/>
      </c>
      <c r="H2215" t="str">
        <f t="shared" si="31"/>
        <v>GUARDIAN</v>
      </c>
    </row>
    <row r="2216" spans="5:8" x14ac:dyDescent="0.25">
      <c r="E2216" t="str">
        <f>""</f>
        <v/>
      </c>
      <c r="F2216" t="str">
        <f>""</f>
        <v/>
      </c>
      <c r="H2216" t="str">
        <f t="shared" si="31"/>
        <v>GUARDIAN</v>
      </c>
    </row>
    <row r="2217" spans="5:8" x14ac:dyDescent="0.25">
      <c r="E2217" t="str">
        <f>"GDE202012090690"</f>
        <v>GDE202012090690</v>
      </c>
      <c r="F2217" t="str">
        <f>"GUARDIAN"</f>
        <v>GUARDIAN</v>
      </c>
      <c r="G2217" s="3">
        <v>153.9</v>
      </c>
      <c r="H2217" t="str">
        <f t="shared" si="31"/>
        <v>GUARDIAN</v>
      </c>
    </row>
    <row r="2218" spans="5:8" x14ac:dyDescent="0.25">
      <c r="E2218" t="str">
        <f>"GDE202012220865"</f>
        <v>GDE202012220865</v>
      </c>
      <c r="F2218" t="str">
        <f>"GUARDIAN"</f>
        <v>GUARDIAN</v>
      </c>
      <c r="G2218" s="3">
        <v>4416.93</v>
      </c>
      <c r="H2218" t="str">
        <f t="shared" si="31"/>
        <v>GUARDIAN</v>
      </c>
    </row>
    <row r="2219" spans="5:8" x14ac:dyDescent="0.25">
      <c r="E2219" t="str">
        <f>""</f>
        <v/>
      </c>
      <c r="F2219" t="str">
        <f>""</f>
        <v/>
      </c>
      <c r="H2219" t="str">
        <f t="shared" si="31"/>
        <v>GUARDIAN</v>
      </c>
    </row>
    <row r="2220" spans="5:8" x14ac:dyDescent="0.25">
      <c r="E2220" t="str">
        <f>""</f>
        <v/>
      </c>
      <c r="F2220" t="str">
        <f>""</f>
        <v/>
      </c>
      <c r="H2220" t="str">
        <f t="shared" si="31"/>
        <v>GUARDIAN</v>
      </c>
    </row>
    <row r="2221" spans="5:8" x14ac:dyDescent="0.25">
      <c r="E2221" t="str">
        <f>""</f>
        <v/>
      </c>
      <c r="F2221" t="str">
        <f>""</f>
        <v/>
      </c>
      <c r="H2221" t="str">
        <f t="shared" si="31"/>
        <v>GUARDIAN</v>
      </c>
    </row>
    <row r="2222" spans="5:8" x14ac:dyDescent="0.25">
      <c r="E2222" t="str">
        <f>""</f>
        <v/>
      </c>
      <c r="F2222" t="str">
        <f>""</f>
        <v/>
      </c>
      <c r="H2222" t="str">
        <f t="shared" ref="H2222:H2285" si="32">"GUARDIAN"</f>
        <v>GUARDIAN</v>
      </c>
    </row>
    <row r="2223" spans="5:8" x14ac:dyDescent="0.25">
      <c r="E2223" t="str">
        <f>""</f>
        <v/>
      </c>
      <c r="F2223" t="str">
        <f>""</f>
        <v/>
      </c>
      <c r="H2223" t="str">
        <f t="shared" si="32"/>
        <v>GUARDIAN</v>
      </c>
    </row>
    <row r="2224" spans="5:8" x14ac:dyDescent="0.25">
      <c r="E2224" t="str">
        <f>""</f>
        <v/>
      </c>
      <c r="F2224" t="str">
        <f>""</f>
        <v/>
      </c>
      <c r="H2224" t="str">
        <f t="shared" si="32"/>
        <v>GUARDIAN</v>
      </c>
    </row>
    <row r="2225" spans="5:8" x14ac:dyDescent="0.25">
      <c r="E2225" t="str">
        <f>""</f>
        <v/>
      </c>
      <c r="F2225" t="str">
        <f>""</f>
        <v/>
      </c>
      <c r="H2225" t="str">
        <f t="shared" si="32"/>
        <v>GUARDIAN</v>
      </c>
    </row>
    <row r="2226" spans="5:8" x14ac:dyDescent="0.25">
      <c r="E2226" t="str">
        <f>""</f>
        <v/>
      </c>
      <c r="F2226" t="str">
        <f>""</f>
        <v/>
      </c>
      <c r="H2226" t="str">
        <f t="shared" si="32"/>
        <v>GUARDIAN</v>
      </c>
    </row>
    <row r="2227" spans="5:8" x14ac:dyDescent="0.25">
      <c r="E2227" t="str">
        <f>""</f>
        <v/>
      </c>
      <c r="F2227" t="str">
        <f>""</f>
        <v/>
      </c>
      <c r="H2227" t="str">
        <f t="shared" si="32"/>
        <v>GUARDIAN</v>
      </c>
    </row>
    <row r="2228" spans="5:8" x14ac:dyDescent="0.25">
      <c r="E2228" t="str">
        <f>""</f>
        <v/>
      </c>
      <c r="F2228" t="str">
        <f>""</f>
        <v/>
      </c>
      <c r="H2228" t="str">
        <f t="shared" si="32"/>
        <v>GUARDIAN</v>
      </c>
    </row>
    <row r="2229" spans="5:8" x14ac:dyDescent="0.25">
      <c r="E2229" t="str">
        <f>""</f>
        <v/>
      </c>
      <c r="F2229" t="str">
        <f>""</f>
        <v/>
      </c>
      <c r="H2229" t="str">
        <f t="shared" si="32"/>
        <v>GUARDIAN</v>
      </c>
    </row>
    <row r="2230" spans="5:8" x14ac:dyDescent="0.25">
      <c r="E2230" t="str">
        <f>""</f>
        <v/>
      </c>
      <c r="F2230" t="str">
        <f>""</f>
        <v/>
      </c>
      <c r="H2230" t="str">
        <f t="shared" si="32"/>
        <v>GUARDIAN</v>
      </c>
    </row>
    <row r="2231" spans="5:8" x14ac:dyDescent="0.25">
      <c r="E2231" t="str">
        <f>""</f>
        <v/>
      </c>
      <c r="F2231" t="str">
        <f>""</f>
        <v/>
      </c>
      <c r="H2231" t="str">
        <f t="shared" si="32"/>
        <v>GUARDIAN</v>
      </c>
    </row>
    <row r="2232" spans="5:8" x14ac:dyDescent="0.25">
      <c r="E2232" t="str">
        <f>""</f>
        <v/>
      </c>
      <c r="F2232" t="str">
        <f>""</f>
        <v/>
      </c>
      <c r="H2232" t="str">
        <f t="shared" si="32"/>
        <v>GUARDIAN</v>
      </c>
    </row>
    <row r="2233" spans="5:8" x14ac:dyDescent="0.25">
      <c r="E2233" t="str">
        <f>""</f>
        <v/>
      </c>
      <c r="F2233" t="str">
        <f>""</f>
        <v/>
      </c>
      <c r="H2233" t="str">
        <f t="shared" si="32"/>
        <v>GUARDIAN</v>
      </c>
    </row>
    <row r="2234" spans="5:8" x14ac:dyDescent="0.25">
      <c r="E2234" t="str">
        <f>""</f>
        <v/>
      </c>
      <c r="F2234" t="str">
        <f>""</f>
        <v/>
      </c>
      <c r="H2234" t="str">
        <f t="shared" si="32"/>
        <v>GUARDIAN</v>
      </c>
    </row>
    <row r="2235" spans="5:8" x14ac:dyDescent="0.25">
      <c r="E2235" t="str">
        <f>""</f>
        <v/>
      </c>
      <c r="F2235" t="str">
        <f>""</f>
        <v/>
      </c>
      <c r="H2235" t="str">
        <f t="shared" si="32"/>
        <v>GUARDIAN</v>
      </c>
    </row>
    <row r="2236" spans="5:8" x14ac:dyDescent="0.25">
      <c r="E2236" t="str">
        <f>""</f>
        <v/>
      </c>
      <c r="F2236" t="str">
        <f>""</f>
        <v/>
      </c>
      <c r="H2236" t="str">
        <f t="shared" si="32"/>
        <v>GUARDIAN</v>
      </c>
    </row>
    <row r="2237" spans="5:8" x14ac:dyDescent="0.25">
      <c r="E2237" t="str">
        <f>""</f>
        <v/>
      </c>
      <c r="F2237" t="str">
        <f>""</f>
        <v/>
      </c>
      <c r="H2237" t="str">
        <f t="shared" si="32"/>
        <v>GUARDIAN</v>
      </c>
    </row>
    <row r="2238" spans="5:8" x14ac:dyDescent="0.25">
      <c r="E2238" t="str">
        <f>""</f>
        <v/>
      </c>
      <c r="F2238" t="str">
        <f>""</f>
        <v/>
      </c>
      <c r="H2238" t="str">
        <f t="shared" si="32"/>
        <v>GUARDIAN</v>
      </c>
    </row>
    <row r="2239" spans="5:8" x14ac:dyDescent="0.25">
      <c r="E2239" t="str">
        <f>""</f>
        <v/>
      </c>
      <c r="F2239" t="str">
        <f>""</f>
        <v/>
      </c>
      <c r="H2239" t="str">
        <f t="shared" si="32"/>
        <v>GUARDIAN</v>
      </c>
    </row>
    <row r="2240" spans="5:8" x14ac:dyDescent="0.25">
      <c r="E2240" t="str">
        <f>""</f>
        <v/>
      </c>
      <c r="F2240" t="str">
        <f>""</f>
        <v/>
      </c>
      <c r="H2240" t="str">
        <f t="shared" si="32"/>
        <v>GUARDIAN</v>
      </c>
    </row>
    <row r="2241" spans="5:8" x14ac:dyDescent="0.25">
      <c r="E2241" t="str">
        <f>""</f>
        <v/>
      </c>
      <c r="F2241" t="str">
        <f>""</f>
        <v/>
      </c>
      <c r="H2241" t="str">
        <f t="shared" si="32"/>
        <v>GUARDIAN</v>
      </c>
    </row>
    <row r="2242" spans="5:8" x14ac:dyDescent="0.25">
      <c r="E2242" t="str">
        <f>""</f>
        <v/>
      </c>
      <c r="F2242" t="str">
        <f>""</f>
        <v/>
      </c>
      <c r="H2242" t="str">
        <f t="shared" si="32"/>
        <v>GUARDIAN</v>
      </c>
    </row>
    <row r="2243" spans="5:8" x14ac:dyDescent="0.25">
      <c r="E2243" t="str">
        <f>""</f>
        <v/>
      </c>
      <c r="F2243" t="str">
        <f>""</f>
        <v/>
      </c>
      <c r="H2243" t="str">
        <f t="shared" si="32"/>
        <v>GUARDIAN</v>
      </c>
    </row>
    <row r="2244" spans="5:8" x14ac:dyDescent="0.25">
      <c r="E2244" t="str">
        <f>""</f>
        <v/>
      </c>
      <c r="F2244" t="str">
        <f>""</f>
        <v/>
      </c>
      <c r="H2244" t="str">
        <f t="shared" si="32"/>
        <v>GUARDIAN</v>
      </c>
    </row>
    <row r="2245" spans="5:8" x14ac:dyDescent="0.25">
      <c r="E2245" t="str">
        <f>""</f>
        <v/>
      </c>
      <c r="F2245" t="str">
        <f>""</f>
        <v/>
      </c>
      <c r="H2245" t="str">
        <f t="shared" si="32"/>
        <v>GUARDIAN</v>
      </c>
    </row>
    <row r="2246" spans="5:8" x14ac:dyDescent="0.25">
      <c r="E2246" t="str">
        <f>""</f>
        <v/>
      </c>
      <c r="F2246" t="str">
        <f>""</f>
        <v/>
      </c>
      <c r="H2246" t="str">
        <f t="shared" si="32"/>
        <v>GUARDIAN</v>
      </c>
    </row>
    <row r="2247" spans="5:8" x14ac:dyDescent="0.25">
      <c r="E2247" t="str">
        <f>""</f>
        <v/>
      </c>
      <c r="F2247" t="str">
        <f>""</f>
        <v/>
      </c>
      <c r="H2247" t="str">
        <f t="shared" si="32"/>
        <v>GUARDIAN</v>
      </c>
    </row>
    <row r="2248" spans="5:8" x14ac:dyDescent="0.25">
      <c r="E2248" t="str">
        <f>""</f>
        <v/>
      </c>
      <c r="F2248" t="str">
        <f>""</f>
        <v/>
      </c>
      <c r="H2248" t="str">
        <f t="shared" si="32"/>
        <v>GUARDIAN</v>
      </c>
    </row>
    <row r="2249" spans="5:8" x14ac:dyDescent="0.25">
      <c r="E2249" t="str">
        <f>""</f>
        <v/>
      </c>
      <c r="F2249" t="str">
        <f>""</f>
        <v/>
      </c>
      <c r="H2249" t="str">
        <f t="shared" si="32"/>
        <v>GUARDIAN</v>
      </c>
    </row>
    <row r="2250" spans="5:8" x14ac:dyDescent="0.25">
      <c r="E2250" t="str">
        <f>""</f>
        <v/>
      </c>
      <c r="F2250" t="str">
        <f>""</f>
        <v/>
      </c>
      <c r="H2250" t="str">
        <f t="shared" si="32"/>
        <v>GUARDIAN</v>
      </c>
    </row>
    <row r="2251" spans="5:8" x14ac:dyDescent="0.25">
      <c r="E2251" t="str">
        <f>""</f>
        <v/>
      </c>
      <c r="F2251" t="str">
        <f>""</f>
        <v/>
      </c>
      <c r="H2251" t="str">
        <f t="shared" si="32"/>
        <v>GUARDIAN</v>
      </c>
    </row>
    <row r="2252" spans="5:8" x14ac:dyDescent="0.25">
      <c r="E2252" t="str">
        <f>""</f>
        <v/>
      </c>
      <c r="F2252" t="str">
        <f>""</f>
        <v/>
      </c>
      <c r="H2252" t="str">
        <f t="shared" si="32"/>
        <v>GUARDIAN</v>
      </c>
    </row>
    <row r="2253" spans="5:8" x14ac:dyDescent="0.25">
      <c r="E2253" t="str">
        <f>""</f>
        <v/>
      </c>
      <c r="F2253" t="str">
        <f>""</f>
        <v/>
      </c>
      <c r="H2253" t="str">
        <f t="shared" si="32"/>
        <v>GUARDIAN</v>
      </c>
    </row>
    <row r="2254" spans="5:8" x14ac:dyDescent="0.25">
      <c r="E2254" t="str">
        <f>""</f>
        <v/>
      </c>
      <c r="F2254" t="str">
        <f>""</f>
        <v/>
      </c>
      <c r="H2254" t="str">
        <f t="shared" si="32"/>
        <v>GUARDIAN</v>
      </c>
    </row>
    <row r="2255" spans="5:8" x14ac:dyDescent="0.25">
      <c r="E2255" t="str">
        <f>""</f>
        <v/>
      </c>
      <c r="F2255" t="str">
        <f>""</f>
        <v/>
      </c>
      <c r="H2255" t="str">
        <f t="shared" si="32"/>
        <v>GUARDIAN</v>
      </c>
    </row>
    <row r="2256" spans="5:8" x14ac:dyDescent="0.25">
      <c r="E2256" t="str">
        <f>""</f>
        <v/>
      </c>
      <c r="F2256" t="str">
        <f>""</f>
        <v/>
      </c>
      <c r="H2256" t="str">
        <f t="shared" si="32"/>
        <v>GUARDIAN</v>
      </c>
    </row>
    <row r="2257" spans="5:8" x14ac:dyDescent="0.25">
      <c r="E2257" t="str">
        <f>""</f>
        <v/>
      </c>
      <c r="F2257" t="str">
        <f>""</f>
        <v/>
      </c>
      <c r="H2257" t="str">
        <f t="shared" si="32"/>
        <v>GUARDIAN</v>
      </c>
    </row>
    <row r="2258" spans="5:8" x14ac:dyDescent="0.25">
      <c r="E2258" t="str">
        <f>""</f>
        <v/>
      </c>
      <c r="F2258" t="str">
        <f>""</f>
        <v/>
      </c>
      <c r="H2258" t="str">
        <f t="shared" si="32"/>
        <v>GUARDIAN</v>
      </c>
    </row>
    <row r="2259" spans="5:8" x14ac:dyDescent="0.25">
      <c r="E2259" t="str">
        <f>""</f>
        <v/>
      </c>
      <c r="F2259" t="str">
        <f>""</f>
        <v/>
      </c>
      <c r="H2259" t="str">
        <f t="shared" si="32"/>
        <v>GUARDIAN</v>
      </c>
    </row>
    <row r="2260" spans="5:8" x14ac:dyDescent="0.25">
      <c r="E2260" t="str">
        <f>""</f>
        <v/>
      </c>
      <c r="F2260" t="str">
        <f>""</f>
        <v/>
      </c>
      <c r="H2260" t="str">
        <f t="shared" si="32"/>
        <v>GUARDIAN</v>
      </c>
    </row>
    <row r="2261" spans="5:8" x14ac:dyDescent="0.25">
      <c r="E2261" t="str">
        <f>""</f>
        <v/>
      </c>
      <c r="F2261" t="str">
        <f>""</f>
        <v/>
      </c>
      <c r="H2261" t="str">
        <f t="shared" si="32"/>
        <v>GUARDIAN</v>
      </c>
    </row>
    <row r="2262" spans="5:8" x14ac:dyDescent="0.25">
      <c r="E2262" t="str">
        <f>""</f>
        <v/>
      </c>
      <c r="F2262" t="str">
        <f>""</f>
        <v/>
      </c>
      <c r="H2262" t="str">
        <f t="shared" si="32"/>
        <v>GUARDIAN</v>
      </c>
    </row>
    <row r="2263" spans="5:8" x14ac:dyDescent="0.25">
      <c r="E2263" t="str">
        <f>"GDE202012220866"</f>
        <v>GDE202012220866</v>
      </c>
      <c r="F2263" t="str">
        <f>"GUARDIAN"</f>
        <v>GUARDIAN</v>
      </c>
      <c r="G2263" s="3">
        <v>153.9</v>
      </c>
      <c r="H2263" t="str">
        <f t="shared" si="32"/>
        <v>GUARDIAN</v>
      </c>
    </row>
    <row r="2264" spans="5:8" x14ac:dyDescent="0.25">
      <c r="E2264" t="str">
        <f>"GDF202012090689"</f>
        <v>GDF202012090689</v>
      </c>
      <c r="F2264" t="str">
        <f>"GUARDIAN"</f>
        <v>GUARDIAN</v>
      </c>
      <c r="G2264" s="3">
        <v>2108.8200000000002</v>
      </c>
      <c r="H2264" t="str">
        <f t="shared" si="32"/>
        <v>GUARDIAN</v>
      </c>
    </row>
    <row r="2265" spans="5:8" x14ac:dyDescent="0.25">
      <c r="E2265" t="str">
        <f>""</f>
        <v/>
      </c>
      <c r="F2265" t="str">
        <f>""</f>
        <v/>
      </c>
      <c r="H2265" t="str">
        <f t="shared" si="32"/>
        <v>GUARDIAN</v>
      </c>
    </row>
    <row r="2266" spans="5:8" x14ac:dyDescent="0.25">
      <c r="E2266" t="str">
        <f>""</f>
        <v/>
      </c>
      <c r="F2266" t="str">
        <f>""</f>
        <v/>
      </c>
      <c r="H2266" t="str">
        <f t="shared" si="32"/>
        <v>GUARDIAN</v>
      </c>
    </row>
    <row r="2267" spans="5:8" x14ac:dyDescent="0.25">
      <c r="E2267" t="str">
        <f>""</f>
        <v/>
      </c>
      <c r="F2267" t="str">
        <f>""</f>
        <v/>
      </c>
      <c r="H2267" t="str">
        <f t="shared" si="32"/>
        <v>GUARDIAN</v>
      </c>
    </row>
    <row r="2268" spans="5:8" x14ac:dyDescent="0.25">
      <c r="E2268" t="str">
        <f>""</f>
        <v/>
      </c>
      <c r="F2268" t="str">
        <f>""</f>
        <v/>
      </c>
      <c r="H2268" t="str">
        <f t="shared" si="32"/>
        <v>GUARDIAN</v>
      </c>
    </row>
    <row r="2269" spans="5:8" x14ac:dyDescent="0.25">
      <c r="E2269" t="str">
        <f>""</f>
        <v/>
      </c>
      <c r="F2269" t="str">
        <f>""</f>
        <v/>
      </c>
      <c r="H2269" t="str">
        <f t="shared" si="32"/>
        <v>GUARDIAN</v>
      </c>
    </row>
    <row r="2270" spans="5:8" x14ac:dyDescent="0.25">
      <c r="E2270" t="str">
        <f>""</f>
        <v/>
      </c>
      <c r="F2270" t="str">
        <f>""</f>
        <v/>
      </c>
      <c r="H2270" t="str">
        <f t="shared" si="32"/>
        <v>GUARDIAN</v>
      </c>
    </row>
    <row r="2271" spans="5:8" x14ac:dyDescent="0.25">
      <c r="E2271" t="str">
        <f>""</f>
        <v/>
      </c>
      <c r="F2271" t="str">
        <f>""</f>
        <v/>
      </c>
      <c r="H2271" t="str">
        <f t="shared" si="32"/>
        <v>GUARDIAN</v>
      </c>
    </row>
    <row r="2272" spans="5:8" x14ac:dyDescent="0.25">
      <c r="E2272" t="str">
        <f>""</f>
        <v/>
      </c>
      <c r="F2272" t="str">
        <f>""</f>
        <v/>
      </c>
      <c r="H2272" t="str">
        <f t="shared" si="32"/>
        <v>GUARDIAN</v>
      </c>
    </row>
    <row r="2273" spans="5:8" x14ac:dyDescent="0.25">
      <c r="E2273" t="str">
        <f>""</f>
        <v/>
      </c>
      <c r="F2273" t="str">
        <f>""</f>
        <v/>
      </c>
      <c r="H2273" t="str">
        <f t="shared" si="32"/>
        <v>GUARDIAN</v>
      </c>
    </row>
    <row r="2274" spans="5:8" x14ac:dyDescent="0.25">
      <c r="E2274" t="str">
        <f>""</f>
        <v/>
      </c>
      <c r="F2274" t="str">
        <f>""</f>
        <v/>
      </c>
      <c r="H2274" t="str">
        <f t="shared" si="32"/>
        <v>GUARDIAN</v>
      </c>
    </row>
    <row r="2275" spans="5:8" x14ac:dyDescent="0.25">
      <c r="E2275" t="str">
        <f>""</f>
        <v/>
      </c>
      <c r="F2275" t="str">
        <f>""</f>
        <v/>
      </c>
      <c r="H2275" t="str">
        <f t="shared" si="32"/>
        <v>GUARDIAN</v>
      </c>
    </row>
    <row r="2276" spans="5:8" x14ac:dyDescent="0.25">
      <c r="E2276" t="str">
        <f>""</f>
        <v/>
      </c>
      <c r="F2276" t="str">
        <f>""</f>
        <v/>
      </c>
      <c r="H2276" t="str">
        <f t="shared" si="32"/>
        <v>GUARDIAN</v>
      </c>
    </row>
    <row r="2277" spans="5:8" x14ac:dyDescent="0.25">
      <c r="E2277" t="str">
        <f>""</f>
        <v/>
      </c>
      <c r="F2277" t="str">
        <f>""</f>
        <v/>
      </c>
      <c r="H2277" t="str">
        <f t="shared" si="32"/>
        <v>GUARDIAN</v>
      </c>
    </row>
    <row r="2278" spans="5:8" x14ac:dyDescent="0.25">
      <c r="E2278" t="str">
        <f>""</f>
        <v/>
      </c>
      <c r="F2278" t="str">
        <f>""</f>
        <v/>
      </c>
      <c r="H2278" t="str">
        <f t="shared" si="32"/>
        <v>GUARDIAN</v>
      </c>
    </row>
    <row r="2279" spans="5:8" x14ac:dyDescent="0.25">
      <c r="E2279" t="str">
        <f>""</f>
        <v/>
      </c>
      <c r="F2279" t="str">
        <f>""</f>
        <v/>
      </c>
      <c r="H2279" t="str">
        <f t="shared" si="32"/>
        <v>GUARDIAN</v>
      </c>
    </row>
    <row r="2280" spans="5:8" x14ac:dyDescent="0.25">
      <c r="E2280" t="str">
        <f>""</f>
        <v/>
      </c>
      <c r="F2280" t="str">
        <f>""</f>
        <v/>
      </c>
      <c r="H2280" t="str">
        <f t="shared" si="32"/>
        <v>GUARDIAN</v>
      </c>
    </row>
    <row r="2281" spans="5:8" x14ac:dyDescent="0.25">
      <c r="E2281" t="str">
        <f>""</f>
        <v/>
      </c>
      <c r="F2281" t="str">
        <f>""</f>
        <v/>
      </c>
      <c r="H2281" t="str">
        <f t="shared" si="32"/>
        <v>GUARDIAN</v>
      </c>
    </row>
    <row r="2282" spans="5:8" x14ac:dyDescent="0.25">
      <c r="E2282" t="str">
        <f>""</f>
        <v/>
      </c>
      <c r="F2282" t="str">
        <f>""</f>
        <v/>
      </c>
      <c r="H2282" t="str">
        <f t="shared" si="32"/>
        <v>GUARDIAN</v>
      </c>
    </row>
    <row r="2283" spans="5:8" x14ac:dyDescent="0.25">
      <c r="E2283" t="str">
        <f>""</f>
        <v/>
      </c>
      <c r="F2283" t="str">
        <f>""</f>
        <v/>
      </c>
      <c r="H2283" t="str">
        <f t="shared" si="32"/>
        <v>GUARDIAN</v>
      </c>
    </row>
    <row r="2284" spans="5:8" x14ac:dyDescent="0.25">
      <c r="E2284" t="str">
        <f>""</f>
        <v/>
      </c>
      <c r="F2284" t="str">
        <f>""</f>
        <v/>
      </c>
      <c r="H2284" t="str">
        <f t="shared" si="32"/>
        <v>GUARDIAN</v>
      </c>
    </row>
    <row r="2285" spans="5:8" x14ac:dyDescent="0.25">
      <c r="E2285" t="str">
        <f>""</f>
        <v/>
      </c>
      <c r="F2285" t="str">
        <f>""</f>
        <v/>
      </c>
      <c r="H2285" t="str">
        <f t="shared" si="32"/>
        <v>GUARDIAN</v>
      </c>
    </row>
    <row r="2286" spans="5:8" x14ac:dyDescent="0.25">
      <c r="E2286" t="str">
        <f>""</f>
        <v/>
      </c>
      <c r="F2286" t="str">
        <f>""</f>
        <v/>
      </c>
      <c r="H2286" t="str">
        <f t="shared" ref="H2286:H2349" si="33">"GUARDIAN"</f>
        <v>GUARDIAN</v>
      </c>
    </row>
    <row r="2287" spans="5:8" x14ac:dyDescent="0.25">
      <c r="E2287" t="str">
        <f>""</f>
        <v/>
      </c>
      <c r="F2287" t="str">
        <f>""</f>
        <v/>
      </c>
      <c r="H2287" t="str">
        <f t="shared" si="33"/>
        <v>GUARDIAN</v>
      </c>
    </row>
    <row r="2288" spans="5:8" x14ac:dyDescent="0.25">
      <c r="E2288" t="str">
        <f>"GDF202012090690"</f>
        <v>GDF202012090690</v>
      </c>
      <c r="F2288" t="str">
        <f>"GUARDIAN"</f>
        <v>GUARDIAN</v>
      </c>
      <c r="G2288" s="3">
        <v>100.42</v>
      </c>
      <c r="H2288" t="str">
        <f t="shared" si="33"/>
        <v>GUARDIAN</v>
      </c>
    </row>
    <row r="2289" spans="5:8" x14ac:dyDescent="0.25">
      <c r="E2289" t="str">
        <f>""</f>
        <v/>
      </c>
      <c r="F2289" t="str">
        <f>""</f>
        <v/>
      </c>
      <c r="H2289" t="str">
        <f t="shared" si="33"/>
        <v>GUARDIAN</v>
      </c>
    </row>
    <row r="2290" spans="5:8" x14ac:dyDescent="0.25">
      <c r="E2290" t="str">
        <f>"GDF202012220865"</f>
        <v>GDF202012220865</v>
      </c>
      <c r="F2290" t="str">
        <f>"GUARDIAN"</f>
        <v>GUARDIAN</v>
      </c>
      <c r="G2290" s="3">
        <v>2108.8200000000002</v>
      </c>
      <c r="H2290" t="str">
        <f t="shared" si="33"/>
        <v>GUARDIAN</v>
      </c>
    </row>
    <row r="2291" spans="5:8" x14ac:dyDescent="0.25">
      <c r="E2291" t="str">
        <f>""</f>
        <v/>
      </c>
      <c r="F2291" t="str">
        <f>""</f>
        <v/>
      </c>
      <c r="H2291" t="str">
        <f t="shared" si="33"/>
        <v>GUARDIAN</v>
      </c>
    </row>
    <row r="2292" spans="5:8" x14ac:dyDescent="0.25">
      <c r="E2292" t="str">
        <f>""</f>
        <v/>
      </c>
      <c r="F2292" t="str">
        <f>""</f>
        <v/>
      </c>
      <c r="H2292" t="str">
        <f t="shared" si="33"/>
        <v>GUARDIAN</v>
      </c>
    </row>
    <row r="2293" spans="5:8" x14ac:dyDescent="0.25">
      <c r="E2293" t="str">
        <f>""</f>
        <v/>
      </c>
      <c r="F2293" t="str">
        <f>""</f>
        <v/>
      </c>
      <c r="H2293" t="str">
        <f t="shared" si="33"/>
        <v>GUARDIAN</v>
      </c>
    </row>
    <row r="2294" spans="5:8" x14ac:dyDescent="0.25">
      <c r="E2294" t="str">
        <f>""</f>
        <v/>
      </c>
      <c r="F2294" t="str">
        <f>""</f>
        <v/>
      </c>
      <c r="H2294" t="str">
        <f t="shared" si="33"/>
        <v>GUARDIAN</v>
      </c>
    </row>
    <row r="2295" spans="5:8" x14ac:dyDescent="0.25">
      <c r="E2295" t="str">
        <f>""</f>
        <v/>
      </c>
      <c r="F2295" t="str">
        <f>""</f>
        <v/>
      </c>
      <c r="H2295" t="str">
        <f t="shared" si="33"/>
        <v>GUARDIAN</v>
      </c>
    </row>
    <row r="2296" spans="5:8" x14ac:dyDescent="0.25">
      <c r="E2296" t="str">
        <f>""</f>
        <v/>
      </c>
      <c r="F2296" t="str">
        <f>""</f>
        <v/>
      </c>
      <c r="H2296" t="str">
        <f t="shared" si="33"/>
        <v>GUARDIAN</v>
      </c>
    </row>
    <row r="2297" spans="5:8" x14ac:dyDescent="0.25">
      <c r="E2297" t="str">
        <f>""</f>
        <v/>
      </c>
      <c r="F2297" t="str">
        <f>""</f>
        <v/>
      </c>
      <c r="H2297" t="str">
        <f t="shared" si="33"/>
        <v>GUARDIAN</v>
      </c>
    </row>
    <row r="2298" spans="5:8" x14ac:dyDescent="0.25">
      <c r="E2298" t="str">
        <f>""</f>
        <v/>
      </c>
      <c r="F2298" t="str">
        <f>""</f>
        <v/>
      </c>
      <c r="H2298" t="str">
        <f t="shared" si="33"/>
        <v>GUARDIAN</v>
      </c>
    </row>
    <row r="2299" spans="5:8" x14ac:dyDescent="0.25">
      <c r="E2299" t="str">
        <f>""</f>
        <v/>
      </c>
      <c r="F2299" t="str">
        <f>""</f>
        <v/>
      </c>
      <c r="H2299" t="str">
        <f t="shared" si="33"/>
        <v>GUARDIAN</v>
      </c>
    </row>
    <row r="2300" spans="5:8" x14ac:dyDescent="0.25">
      <c r="E2300" t="str">
        <f>""</f>
        <v/>
      </c>
      <c r="F2300" t="str">
        <f>""</f>
        <v/>
      </c>
      <c r="H2300" t="str">
        <f t="shared" si="33"/>
        <v>GUARDIAN</v>
      </c>
    </row>
    <row r="2301" spans="5:8" x14ac:dyDescent="0.25">
      <c r="E2301" t="str">
        <f>""</f>
        <v/>
      </c>
      <c r="F2301" t="str">
        <f>""</f>
        <v/>
      </c>
      <c r="H2301" t="str">
        <f t="shared" si="33"/>
        <v>GUARDIAN</v>
      </c>
    </row>
    <row r="2302" spans="5:8" x14ac:dyDescent="0.25">
      <c r="E2302" t="str">
        <f>""</f>
        <v/>
      </c>
      <c r="F2302" t="str">
        <f>""</f>
        <v/>
      </c>
      <c r="H2302" t="str">
        <f t="shared" si="33"/>
        <v>GUARDIAN</v>
      </c>
    </row>
    <row r="2303" spans="5:8" x14ac:dyDescent="0.25">
      <c r="E2303" t="str">
        <f>""</f>
        <v/>
      </c>
      <c r="F2303" t="str">
        <f>""</f>
        <v/>
      </c>
      <c r="H2303" t="str">
        <f t="shared" si="33"/>
        <v>GUARDIAN</v>
      </c>
    </row>
    <row r="2304" spans="5:8" x14ac:dyDescent="0.25">
      <c r="E2304" t="str">
        <f>""</f>
        <v/>
      </c>
      <c r="F2304" t="str">
        <f>""</f>
        <v/>
      </c>
      <c r="H2304" t="str">
        <f t="shared" si="33"/>
        <v>GUARDIAN</v>
      </c>
    </row>
    <row r="2305" spans="5:8" x14ac:dyDescent="0.25">
      <c r="E2305" t="str">
        <f>""</f>
        <v/>
      </c>
      <c r="F2305" t="str">
        <f>""</f>
        <v/>
      </c>
      <c r="H2305" t="str">
        <f t="shared" si="33"/>
        <v>GUARDIAN</v>
      </c>
    </row>
    <row r="2306" spans="5:8" x14ac:dyDescent="0.25">
      <c r="E2306" t="str">
        <f>""</f>
        <v/>
      </c>
      <c r="F2306" t="str">
        <f>""</f>
        <v/>
      </c>
      <c r="H2306" t="str">
        <f t="shared" si="33"/>
        <v>GUARDIAN</v>
      </c>
    </row>
    <row r="2307" spans="5:8" x14ac:dyDescent="0.25">
      <c r="E2307" t="str">
        <f>""</f>
        <v/>
      </c>
      <c r="F2307" t="str">
        <f>""</f>
        <v/>
      </c>
      <c r="H2307" t="str">
        <f t="shared" si="33"/>
        <v>GUARDIAN</v>
      </c>
    </row>
    <row r="2308" spans="5:8" x14ac:dyDescent="0.25">
      <c r="E2308" t="str">
        <f>""</f>
        <v/>
      </c>
      <c r="F2308" t="str">
        <f>""</f>
        <v/>
      </c>
      <c r="H2308" t="str">
        <f t="shared" si="33"/>
        <v>GUARDIAN</v>
      </c>
    </row>
    <row r="2309" spans="5:8" x14ac:dyDescent="0.25">
      <c r="E2309" t="str">
        <f>""</f>
        <v/>
      </c>
      <c r="F2309" t="str">
        <f>""</f>
        <v/>
      </c>
      <c r="H2309" t="str">
        <f t="shared" si="33"/>
        <v>GUARDIAN</v>
      </c>
    </row>
    <row r="2310" spans="5:8" x14ac:dyDescent="0.25">
      <c r="E2310" t="str">
        <f>""</f>
        <v/>
      </c>
      <c r="F2310" t="str">
        <f>""</f>
        <v/>
      </c>
      <c r="H2310" t="str">
        <f t="shared" si="33"/>
        <v>GUARDIAN</v>
      </c>
    </row>
    <row r="2311" spans="5:8" x14ac:dyDescent="0.25">
      <c r="E2311" t="str">
        <f>""</f>
        <v/>
      </c>
      <c r="F2311" t="str">
        <f>""</f>
        <v/>
      </c>
      <c r="H2311" t="str">
        <f t="shared" si="33"/>
        <v>GUARDIAN</v>
      </c>
    </row>
    <row r="2312" spans="5:8" x14ac:dyDescent="0.25">
      <c r="E2312" t="str">
        <f>""</f>
        <v/>
      </c>
      <c r="F2312" t="str">
        <f>""</f>
        <v/>
      </c>
      <c r="H2312" t="str">
        <f t="shared" si="33"/>
        <v>GUARDIAN</v>
      </c>
    </row>
    <row r="2313" spans="5:8" x14ac:dyDescent="0.25">
      <c r="E2313" t="str">
        <f>""</f>
        <v/>
      </c>
      <c r="F2313" t="str">
        <f>""</f>
        <v/>
      </c>
      <c r="H2313" t="str">
        <f t="shared" si="33"/>
        <v>GUARDIAN</v>
      </c>
    </row>
    <row r="2314" spans="5:8" x14ac:dyDescent="0.25">
      <c r="E2314" t="str">
        <f>"GDF202012220866"</f>
        <v>GDF202012220866</v>
      </c>
      <c r="F2314" t="str">
        <f>"GUARDIAN"</f>
        <v>GUARDIAN</v>
      </c>
      <c r="G2314" s="3">
        <v>100.42</v>
      </c>
      <c r="H2314" t="str">
        <f t="shared" si="33"/>
        <v>GUARDIAN</v>
      </c>
    </row>
    <row r="2315" spans="5:8" x14ac:dyDescent="0.25">
      <c r="E2315" t="str">
        <f>""</f>
        <v/>
      </c>
      <c r="F2315" t="str">
        <f>""</f>
        <v/>
      </c>
      <c r="H2315" t="str">
        <f t="shared" si="33"/>
        <v>GUARDIAN</v>
      </c>
    </row>
    <row r="2316" spans="5:8" x14ac:dyDescent="0.25">
      <c r="E2316" t="str">
        <f>"GDS202012090689"</f>
        <v>GDS202012090689</v>
      </c>
      <c r="F2316" t="str">
        <f>"GUARDIAN"</f>
        <v>GUARDIAN</v>
      </c>
      <c r="G2316" s="3">
        <v>1892.22</v>
      </c>
      <c r="H2316" t="str">
        <f t="shared" si="33"/>
        <v>GUARDIAN</v>
      </c>
    </row>
    <row r="2317" spans="5:8" x14ac:dyDescent="0.25">
      <c r="E2317" t="str">
        <f>""</f>
        <v/>
      </c>
      <c r="F2317" t="str">
        <f>""</f>
        <v/>
      </c>
      <c r="H2317" t="str">
        <f t="shared" si="33"/>
        <v>GUARDIAN</v>
      </c>
    </row>
    <row r="2318" spans="5:8" x14ac:dyDescent="0.25">
      <c r="E2318" t="str">
        <f>""</f>
        <v/>
      </c>
      <c r="F2318" t="str">
        <f>""</f>
        <v/>
      </c>
      <c r="H2318" t="str">
        <f t="shared" si="33"/>
        <v>GUARDIAN</v>
      </c>
    </row>
    <row r="2319" spans="5:8" x14ac:dyDescent="0.25">
      <c r="E2319" t="str">
        <f>""</f>
        <v/>
      </c>
      <c r="F2319" t="str">
        <f>""</f>
        <v/>
      </c>
      <c r="H2319" t="str">
        <f t="shared" si="33"/>
        <v>GUARDIAN</v>
      </c>
    </row>
    <row r="2320" spans="5:8" x14ac:dyDescent="0.25">
      <c r="E2320" t="str">
        <f>""</f>
        <v/>
      </c>
      <c r="F2320" t="str">
        <f>""</f>
        <v/>
      </c>
      <c r="H2320" t="str">
        <f t="shared" si="33"/>
        <v>GUARDIAN</v>
      </c>
    </row>
    <row r="2321" spans="5:8" x14ac:dyDescent="0.25">
      <c r="E2321" t="str">
        <f>""</f>
        <v/>
      </c>
      <c r="F2321" t="str">
        <f>""</f>
        <v/>
      </c>
      <c r="H2321" t="str">
        <f t="shared" si="33"/>
        <v>GUARDIAN</v>
      </c>
    </row>
    <row r="2322" spans="5:8" x14ac:dyDescent="0.25">
      <c r="E2322" t="str">
        <f>""</f>
        <v/>
      </c>
      <c r="F2322" t="str">
        <f>""</f>
        <v/>
      </c>
      <c r="H2322" t="str">
        <f t="shared" si="33"/>
        <v>GUARDIAN</v>
      </c>
    </row>
    <row r="2323" spans="5:8" x14ac:dyDescent="0.25">
      <c r="E2323" t="str">
        <f>""</f>
        <v/>
      </c>
      <c r="F2323" t="str">
        <f>""</f>
        <v/>
      </c>
      <c r="H2323" t="str">
        <f t="shared" si="33"/>
        <v>GUARDIAN</v>
      </c>
    </row>
    <row r="2324" spans="5:8" x14ac:dyDescent="0.25">
      <c r="E2324" t="str">
        <f>""</f>
        <v/>
      </c>
      <c r="F2324" t="str">
        <f>""</f>
        <v/>
      </c>
      <c r="H2324" t="str">
        <f t="shared" si="33"/>
        <v>GUARDIAN</v>
      </c>
    </row>
    <row r="2325" spans="5:8" x14ac:dyDescent="0.25">
      <c r="E2325" t="str">
        <f>""</f>
        <v/>
      </c>
      <c r="F2325" t="str">
        <f>""</f>
        <v/>
      </c>
      <c r="H2325" t="str">
        <f t="shared" si="33"/>
        <v>GUARDIAN</v>
      </c>
    </row>
    <row r="2326" spans="5:8" x14ac:dyDescent="0.25">
      <c r="E2326" t="str">
        <f>""</f>
        <v/>
      </c>
      <c r="F2326" t="str">
        <f>""</f>
        <v/>
      </c>
      <c r="H2326" t="str">
        <f t="shared" si="33"/>
        <v>GUARDIAN</v>
      </c>
    </row>
    <row r="2327" spans="5:8" x14ac:dyDescent="0.25">
      <c r="E2327" t="str">
        <f>""</f>
        <v/>
      </c>
      <c r="F2327" t="str">
        <f>""</f>
        <v/>
      </c>
      <c r="H2327" t="str">
        <f t="shared" si="33"/>
        <v>GUARDIAN</v>
      </c>
    </row>
    <row r="2328" spans="5:8" x14ac:dyDescent="0.25">
      <c r="E2328" t="str">
        <f>""</f>
        <v/>
      </c>
      <c r="F2328" t="str">
        <f>""</f>
        <v/>
      </c>
      <c r="H2328" t="str">
        <f t="shared" si="33"/>
        <v>GUARDIAN</v>
      </c>
    </row>
    <row r="2329" spans="5:8" x14ac:dyDescent="0.25">
      <c r="E2329" t="str">
        <f>""</f>
        <v/>
      </c>
      <c r="F2329" t="str">
        <f>""</f>
        <v/>
      </c>
      <c r="H2329" t="str">
        <f t="shared" si="33"/>
        <v>GUARDIAN</v>
      </c>
    </row>
    <row r="2330" spans="5:8" x14ac:dyDescent="0.25">
      <c r="E2330" t="str">
        <f>""</f>
        <v/>
      </c>
      <c r="F2330" t="str">
        <f>""</f>
        <v/>
      </c>
      <c r="H2330" t="str">
        <f t="shared" si="33"/>
        <v>GUARDIAN</v>
      </c>
    </row>
    <row r="2331" spans="5:8" x14ac:dyDescent="0.25">
      <c r="E2331" t="str">
        <f>""</f>
        <v/>
      </c>
      <c r="F2331" t="str">
        <f>""</f>
        <v/>
      </c>
      <c r="H2331" t="str">
        <f t="shared" si="33"/>
        <v>GUARDIAN</v>
      </c>
    </row>
    <row r="2332" spans="5:8" x14ac:dyDescent="0.25">
      <c r="E2332" t="str">
        <f>""</f>
        <v/>
      </c>
      <c r="F2332" t="str">
        <f>""</f>
        <v/>
      </c>
      <c r="H2332" t="str">
        <f t="shared" si="33"/>
        <v>GUARDIAN</v>
      </c>
    </row>
    <row r="2333" spans="5:8" x14ac:dyDescent="0.25">
      <c r="E2333" t="str">
        <f>""</f>
        <v/>
      </c>
      <c r="F2333" t="str">
        <f>""</f>
        <v/>
      </c>
      <c r="H2333" t="str">
        <f t="shared" si="33"/>
        <v>GUARDIAN</v>
      </c>
    </row>
    <row r="2334" spans="5:8" x14ac:dyDescent="0.25">
      <c r="E2334" t="str">
        <f>""</f>
        <v/>
      </c>
      <c r="F2334" t="str">
        <f>""</f>
        <v/>
      </c>
      <c r="H2334" t="str">
        <f t="shared" si="33"/>
        <v>GUARDIAN</v>
      </c>
    </row>
    <row r="2335" spans="5:8" x14ac:dyDescent="0.25">
      <c r="E2335" t="str">
        <f>""</f>
        <v/>
      </c>
      <c r="F2335" t="str">
        <f>""</f>
        <v/>
      </c>
      <c r="H2335" t="str">
        <f t="shared" si="33"/>
        <v>GUARDIAN</v>
      </c>
    </row>
    <row r="2336" spans="5:8" x14ac:dyDescent="0.25">
      <c r="E2336" t="str">
        <f>""</f>
        <v/>
      </c>
      <c r="F2336" t="str">
        <f>""</f>
        <v/>
      </c>
      <c r="H2336" t="str">
        <f t="shared" si="33"/>
        <v>GUARDIAN</v>
      </c>
    </row>
    <row r="2337" spans="5:8" x14ac:dyDescent="0.25">
      <c r="E2337" t="str">
        <f>""</f>
        <v/>
      </c>
      <c r="F2337" t="str">
        <f>""</f>
        <v/>
      </c>
      <c r="H2337" t="str">
        <f t="shared" si="33"/>
        <v>GUARDIAN</v>
      </c>
    </row>
    <row r="2338" spans="5:8" x14ac:dyDescent="0.25">
      <c r="E2338" t="str">
        <f>""</f>
        <v/>
      </c>
      <c r="F2338" t="str">
        <f>""</f>
        <v/>
      </c>
      <c r="H2338" t="str">
        <f t="shared" si="33"/>
        <v>GUARDIAN</v>
      </c>
    </row>
    <row r="2339" spans="5:8" x14ac:dyDescent="0.25">
      <c r="E2339" t="str">
        <f>""</f>
        <v/>
      </c>
      <c r="F2339" t="str">
        <f>""</f>
        <v/>
      </c>
      <c r="H2339" t="str">
        <f t="shared" si="33"/>
        <v>GUARDIAN</v>
      </c>
    </row>
    <row r="2340" spans="5:8" x14ac:dyDescent="0.25">
      <c r="E2340" t="str">
        <f>""</f>
        <v/>
      </c>
      <c r="F2340" t="str">
        <f>""</f>
        <v/>
      </c>
      <c r="H2340" t="str">
        <f t="shared" si="33"/>
        <v>GUARDIAN</v>
      </c>
    </row>
    <row r="2341" spans="5:8" x14ac:dyDescent="0.25">
      <c r="E2341" t="str">
        <f>""</f>
        <v/>
      </c>
      <c r="F2341" t="str">
        <f>""</f>
        <v/>
      </c>
      <c r="H2341" t="str">
        <f t="shared" si="33"/>
        <v>GUARDIAN</v>
      </c>
    </row>
    <row r="2342" spans="5:8" x14ac:dyDescent="0.25">
      <c r="E2342" t="str">
        <f>"GDS202012220865"</f>
        <v>GDS202012220865</v>
      </c>
      <c r="F2342" t="str">
        <f>"GUARDIAN"</f>
        <v>GUARDIAN</v>
      </c>
      <c r="G2342" s="3">
        <v>1892.22</v>
      </c>
      <c r="H2342" t="str">
        <f t="shared" si="33"/>
        <v>GUARDIAN</v>
      </c>
    </row>
    <row r="2343" spans="5:8" x14ac:dyDescent="0.25">
      <c r="E2343" t="str">
        <f>""</f>
        <v/>
      </c>
      <c r="F2343" t="str">
        <f>""</f>
        <v/>
      </c>
      <c r="H2343" t="str">
        <f t="shared" si="33"/>
        <v>GUARDIAN</v>
      </c>
    </row>
    <row r="2344" spans="5:8" x14ac:dyDescent="0.25">
      <c r="E2344" t="str">
        <f>""</f>
        <v/>
      </c>
      <c r="F2344" t="str">
        <f>""</f>
        <v/>
      </c>
      <c r="H2344" t="str">
        <f t="shared" si="33"/>
        <v>GUARDIAN</v>
      </c>
    </row>
    <row r="2345" spans="5:8" x14ac:dyDescent="0.25">
      <c r="E2345" t="str">
        <f>""</f>
        <v/>
      </c>
      <c r="F2345" t="str">
        <f>""</f>
        <v/>
      </c>
      <c r="H2345" t="str">
        <f t="shared" si="33"/>
        <v>GUARDIAN</v>
      </c>
    </row>
    <row r="2346" spans="5:8" x14ac:dyDescent="0.25">
      <c r="E2346" t="str">
        <f>""</f>
        <v/>
      </c>
      <c r="F2346" t="str">
        <f>""</f>
        <v/>
      </c>
      <c r="H2346" t="str">
        <f t="shared" si="33"/>
        <v>GUARDIAN</v>
      </c>
    </row>
    <row r="2347" spans="5:8" x14ac:dyDescent="0.25">
      <c r="E2347" t="str">
        <f>""</f>
        <v/>
      </c>
      <c r="F2347" t="str">
        <f>""</f>
        <v/>
      </c>
      <c r="H2347" t="str">
        <f t="shared" si="33"/>
        <v>GUARDIAN</v>
      </c>
    </row>
    <row r="2348" spans="5:8" x14ac:dyDescent="0.25">
      <c r="E2348" t="str">
        <f>""</f>
        <v/>
      </c>
      <c r="F2348" t="str">
        <f>""</f>
        <v/>
      </c>
      <c r="H2348" t="str">
        <f t="shared" si="33"/>
        <v>GUARDIAN</v>
      </c>
    </row>
    <row r="2349" spans="5:8" x14ac:dyDescent="0.25">
      <c r="E2349" t="str">
        <f>""</f>
        <v/>
      </c>
      <c r="F2349" t="str">
        <f>""</f>
        <v/>
      </c>
      <c r="H2349" t="str">
        <f t="shared" si="33"/>
        <v>GUARDIAN</v>
      </c>
    </row>
    <row r="2350" spans="5:8" x14ac:dyDescent="0.25">
      <c r="E2350" t="str">
        <f>""</f>
        <v/>
      </c>
      <c r="F2350" t="str">
        <f>""</f>
        <v/>
      </c>
      <c r="H2350" t="str">
        <f t="shared" ref="H2350:H2367" si="34">"GUARDIAN"</f>
        <v>GUARDIAN</v>
      </c>
    </row>
    <row r="2351" spans="5:8" x14ac:dyDescent="0.25">
      <c r="E2351" t="str">
        <f>""</f>
        <v/>
      </c>
      <c r="F2351" t="str">
        <f>""</f>
        <v/>
      </c>
      <c r="H2351" t="str">
        <f t="shared" si="34"/>
        <v>GUARDIAN</v>
      </c>
    </row>
    <row r="2352" spans="5:8" x14ac:dyDescent="0.25">
      <c r="E2352" t="str">
        <f>""</f>
        <v/>
      </c>
      <c r="F2352" t="str">
        <f>""</f>
        <v/>
      </c>
      <c r="H2352" t="str">
        <f t="shared" si="34"/>
        <v>GUARDIAN</v>
      </c>
    </row>
    <row r="2353" spans="5:8" x14ac:dyDescent="0.25">
      <c r="E2353" t="str">
        <f>""</f>
        <v/>
      </c>
      <c r="F2353" t="str">
        <f>""</f>
        <v/>
      </c>
      <c r="H2353" t="str">
        <f t="shared" si="34"/>
        <v>GUARDIAN</v>
      </c>
    </row>
    <row r="2354" spans="5:8" x14ac:dyDescent="0.25">
      <c r="E2354" t="str">
        <f>""</f>
        <v/>
      </c>
      <c r="F2354" t="str">
        <f>""</f>
        <v/>
      </c>
      <c r="H2354" t="str">
        <f t="shared" si="34"/>
        <v>GUARDIAN</v>
      </c>
    </row>
    <row r="2355" spans="5:8" x14ac:dyDescent="0.25">
      <c r="E2355" t="str">
        <f>""</f>
        <v/>
      </c>
      <c r="F2355" t="str">
        <f>""</f>
        <v/>
      </c>
      <c r="H2355" t="str">
        <f t="shared" si="34"/>
        <v>GUARDIAN</v>
      </c>
    </row>
    <row r="2356" spans="5:8" x14ac:dyDescent="0.25">
      <c r="E2356" t="str">
        <f>""</f>
        <v/>
      </c>
      <c r="F2356" t="str">
        <f>""</f>
        <v/>
      </c>
      <c r="H2356" t="str">
        <f t="shared" si="34"/>
        <v>GUARDIAN</v>
      </c>
    </row>
    <row r="2357" spans="5:8" x14ac:dyDescent="0.25">
      <c r="E2357" t="str">
        <f>""</f>
        <v/>
      </c>
      <c r="F2357" t="str">
        <f>""</f>
        <v/>
      </c>
      <c r="H2357" t="str">
        <f t="shared" si="34"/>
        <v>GUARDIAN</v>
      </c>
    </row>
    <row r="2358" spans="5:8" x14ac:dyDescent="0.25">
      <c r="E2358" t="str">
        <f>""</f>
        <v/>
      </c>
      <c r="F2358" t="str">
        <f>""</f>
        <v/>
      </c>
      <c r="H2358" t="str">
        <f t="shared" si="34"/>
        <v>GUARDIAN</v>
      </c>
    </row>
    <row r="2359" spans="5:8" x14ac:dyDescent="0.25">
      <c r="E2359" t="str">
        <f>""</f>
        <v/>
      </c>
      <c r="F2359" t="str">
        <f>""</f>
        <v/>
      </c>
      <c r="H2359" t="str">
        <f t="shared" si="34"/>
        <v>GUARDIAN</v>
      </c>
    </row>
    <row r="2360" spans="5:8" x14ac:dyDescent="0.25">
      <c r="E2360" t="str">
        <f>""</f>
        <v/>
      </c>
      <c r="F2360" t="str">
        <f>""</f>
        <v/>
      </c>
      <c r="H2360" t="str">
        <f t="shared" si="34"/>
        <v>GUARDIAN</v>
      </c>
    </row>
    <row r="2361" spans="5:8" x14ac:dyDescent="0.25">
      <c r="E2361" t="str">
        <f>""</f>
        <v/>
      </c>
      <c r="F2361" t="str">
        <f>""</f>
        <v/>
      </c>
      <c r="H2361" t="str">
        <f t="shared" si="34"/>
        <v>GUARDIAN</v>
      </c>
    </row>
    <row r="2362" spans="5:8" x14ac:dyDescent="0.25">
      <c r="E2362" t="str">
        <f>""</f>
        <v/>
      </c>
      <c r="F2362" t="str">
        <f>""</f>
        <v/>
      </c>
      <c r="H2362" t="str">
        <f t="shared" si="34"/>
        <v>GUARDIAN</v>
      </c>
    </row>
    <row r="2363" spans="5:8" x14ac:dyDescent="0.25">
      <c r="E2363" t="str">
        <f>""</f>
        <v/>
      </c>
      <c r="F2363" t="str">
        <f>""</f>
        <v/>
      </c>
      <c r="H2363" t="str">
        <f t="shared" si="34"/>
        <v>GUARDIAN</v>
      </c>
    </row>
    <row r="2364" spans="5:8" x14ac:dyDescent="0.25">
      <c r="E2364" t="str">
        <f>""</f>
        <v/>
      </c>
      <c r="F2364" t="str">
        <f>""</f>
        <v/>
      </c>
      <c r="H2364" t="str">
        <f t="shared" si="34"/>
        <v>GUARDIAN</v>
      </c>
    </row>
    <row r="2365" spans="5:8" x14ac:dyDescent="0.25">
      <c r="E2365" t="str">
        <f>""</f>
        <v/>
      </c>
      <c r="F2365" t="str">
        <f>""</f>
        <v/>
      </c>
      <c r="H2365" t="str">
        <f t="shared" si="34"/>
        <v>GUARDIAN</v>
      </c>
    </row>
    <row r="2366" spans="5:8" x14ac:dyDescent="0.25">
      <c r="E2366" t="str">
        <f>""</f>
        <v/>
      </c>
      <c r="F2366" t="str">
        <f>""</f>
        <v/>
      </c>
      <c r="H2366" t="str">
        <f t="shared" si="34"/>
        <v>GUARDIAN</v>
      </c>
    </row>
    <row r="2367" spans="5:8" x14ac:dyDescent="0.25">
      <c r="E2367" t="str">
        <f>""</f>
        <v/>
      </c>
      <c r="F2367" t="str">
        <f>""</f>
        <v/>
      </c>
      <c r="H2367" t="str">
        <f t="shared" si="34"/>
        <v>GUARDIAN</v>
      </c>
    </row>
    <row r="2368" spans="5:8" x14ac:dyDescent="0.25">
      <c r="E2368" t="str">
        <f>"GV1202012090689"</f>
        <v>GV1202012090689</v>
      </c>
      <c r="F2368" t="str">
        <f>"GUARDIAN VISION"</f>
        <v>GUARDIAN VISION</v>
      </c>
      <c r="G2368" s="3">
        <v>436.8</v>
      </c>
      <c r="H2368" t="str">
        <f>"GUARDIAN VISION"</f>
        <v>GUARDIAN VISION</v>
      </c>
    </row>
    <row r="2369" spans="5:8" x14ac:dyDescent="0.25">
      <c r="E2369" t="str">
        <f>"GV1202012090690"</f>
        <v>GV1202012090690</v>
      </c>
      <c r="F2369" t="str">
        <f>"GUARDIAN VISION"</f>
        <v>GUARDIAN VISION</v>
      </c>
      <c r="G2369" s="3">
        <v>5.6</v>
      </c>
      <c r="H2369" t="str">
        <f>"GUARDIAN VISION"</f>
        <v>GUARDIAN VISION</v>
      </c>
    </row>
    <row r="2370" spans="5:8" x14ac:dyDescent="0.25">
      <c r="E2370" t="str">
        <f>"GV1202012220865"</f>
        <v>GV1202012220865</v>
      </c>
      <c r="F2370" t="str">
        <f>"GUARDIAN VISION"</f>
        <v>GUARDIAN VISION</v>
      </c>
      <c r="G2370" s="3">
        <v>436.8</v>
      </c>
      <c r="H2370" t="str">
        <f>"GUARDIAN VISION"</f>
        <v>GUARDIAN VISION</v>
      </c>
    </row>
    <row r="2371" spans="5:8" x14ac:dyDescent="0.25">
      <c r="E2371" t="str">
        <f>"GV1202012220866"</f>
        <v>GV1202012220866</v>
      </c>
      <c r="F2371" t="str">
        <f>"GUARDIAN VISION"</f>
        <v>GUARDIAN VISION</v>
      </c>
      <c r="G2371" s="3">
        <v>5.6</v>
      </c>
      <c r="H2371" t="str">
        <f>"GUARDIAN VISION"</f>
        <v>GUARDIAN VISION</v>
      </c>
    </row>
    <row r="2372" spans="5:8" x14ac:dyDescent="0.25">
      <c r="E2372" t="str">
        <f>"GVE202012090689"</f>
        <v>GVE202012090689</v>
      </c>
      <c r="F2372" t="str">
        <f>"GUARDIAN VISION VENDOR"</f>
        <v>GUARDIAN VISION VENDOR</v>
      </c>
      <c r="G2372" s="3">
        <v>590.4</v>
      </c>
      <c r="H2372" t="str">
        <f>"GUARDIAN VISION VENDOR"</f>
        <v>GUARDIAN VISION VENDOR</v>
      </c>
    </row>
    <row r="2373" spans="5:8" x14ac:dyDescent="0.25">
      <c r="E2373" t="str">
        <f>"GVE202012090690"</f>
        <v>GVE202012090690</v>
      </c>
      <c r="F2373" t="str">
        <f>"GUARDIAN VISION VENDOR"</f>
        <v>GUARDIAN VISION VENDOR</v>
      </c>
      <c r="G2373" s="3">
        <v>29.52</v>
      </c>
      <c r="H2373" t="str">
        <f>"GUARDIAN VISION VENDOR"</f>
        <v>GUARDIAN VISION VENDOR</v>
      </c>
    </row>
    <row r="2374" spans="5:8" x14ac:dyDescent="0.25">
      <c r="E2374" t="str">
        <f>"GVE202012220865"</f>
        <v>GVE202012220865</v>
      </c>
      <c r="F2374" t="str">
        <f>"GUARDIAN VISION VENDOR"</f>
        <v>GUARDIAN VISION VENDOR</v>
      </c>
      <c r="G2374" s="3">
        <v>590.4</v>
      </c>
      <c r="H2374" t="str">
        <f>"GUARDIAN VISION VENDOR"</f>
        <v>GUARDIAN VISION VENDOR</v>
      </c>
    </row>
    <row r="2375" spans="5:8" x14ac:dyDescent="0.25">
      <c r="E2375" t="str">
        <f>"GVE202012220866"</f>
        <v>GVE202012220866</v>
      </c>
      <c r="F2375" t="str">
        <f>"GUARDIAN VISION VENDOR"</f>
        <v>GUARDIAN VISION VENDOR</v>
      </c>
      <c r="G2375" s="3">
        <v>29.52</v>
      </c>
      <c r="H2375" t="str">
        <f>"GUARDIAN VISION VENDOR"</f>
        <v>GUARDIAN VISION VENDOR</v>
      </c>
    </row>
    <row r="2376" spans="5:8" x14ac:dyDescent="0.25">
      <c r="E2376" t="str">
        <f>"GVF202012090689"</f>
        <v>GVF202012090689</v>
      </c>
      <c r="F2376" t="str">
        <f>"GUARDIAN VISION"</f>
        <v>GUARDIAN VISION</v>
      </c>
      <c r="G2376" s="3">
        <v>531.9</v>
      </c>
      <c r="H2376" t="str">
        <f>"GUARDIAN VISION"</f>
        <v>GUARDIAN VISION</v>
      </c>
    </row>
    <row r="2377" spans="5:8" x14ac:dyDescent="0.25">
      <c r="E2377" t="str">
        <f>"GVF202012090690"</f>
        <v>GVF202012090690</v>
      </c>
      <c r="F2377" t="str">
        <f>"GUARDIAN VISION VENDOR"</f>
        <v>GUARDIAN VISION VENDOR</v>
      </c>
      <c r="G2377" s="3">
        <v>29.55</v>
      </c>
      <c r="H2377" t="str">
        <f>"GUARDIAN VISION VENDOR"</f>
        <v>GUARDIAN VISION VENDOR</v>
      </c>
    </row>
    <row r="2378" spans="5:8" x14ac:dyDescent="0.25">
      <c r="E2378" t="str">
        <f>"GVF202012220865"</f>
        <v>GVF202012220865</v>
      </c>
      <c r="F2378" t="str">
        <f>"GUARDIAN VISION"</f>
        <v>GUARDIAN VISION</v>
      </c>
      <c r="G2378" s="3">
        <v>531.9</v>
      </c>
      <c r="H2378" t="str">
        <f>"GUARDIAN VISION"</f>
        <v>GUARDIAN VISION</v>
      </c>
    </row>
    <row r="2379" spans="5:8" x14ac:dyDescent="0.25">
      <c r="E2379" t="str">
        <f>"GVF202012220866"</f>
        <v>GVF202012220866</v>
      </c>
      <c r="F2379" t="str">
        <f>"GUARDIAN VISION VENDOR"</f>
        <v>GUARDIAN VISION VENDOR</v>
      </c>
      <c r="G2379" s="3">
        <v>29.55</v>
      </c>
      <c r="H2379" t="str">
        <f>"GUARDIAN VISION VENDOR"</f>
        <v>GUARDIAN VISION VENDOR</v>
      </c>
    </row>
    <row r="2380" spans="5:8" x14ac:dyDescent="0.25">
      <c r="E2380" t="str">
        <f>"LIA202012090689"</f>
        <v>LIA202012090689</v>
      </c>
      <c r="F2380" t="str">
        <f>"GUARDIAN"</f>
        <v>GUARDIAN</v>
      </c>
      <c r="G2380" s="3">
        <v>231.69</v>
      </c>
      <c r="H2380" t="str">
        <f t="shared" ref="H2380:H2411" si="35">"GUARDIAN"</f>
        <v>GUARDIAN</v>
      </c>
    </row>
    <row r="2381" spans="5:8" x14ac:dyDescent="0.25">
      <c r="E2381" t="str">
        <f>""</f>
        <v/>
      </c>
      <c r="F2381" t="str">
        <f>""</f>
        <v/>
      </c>
      <c r="H2381" t="str">
        <f t="shared" si="35"/>
        <v>GUARDIAN</v>
      </c>
    </row>
    <row r="2382" spans="5:8" x14ac:dyDescent="0.25">
      <c r="E2382" t="str">
        <f>""</f>
        <v/>
      </c>
      <c r="F2382" t="str">
        <f>""</f>
        <v/>
      </c>
      <c r="H2382" t="str">
        <f t="shared" si="35"/>
        <v>GUARDIAN</v>
      </c>
    </row>
    <row r="2383" spans="5:8" x14ac:dyDescent="0.25">
      <c r="E2383" t="str">
        <f>""</f>
        <v/>
      </c>
      <c r="F2383" t="str">
        <f>""</f>
        <v/>
      </c>
      <c r="H2383" t="str">
        <f t="shared" si="35"/>
        <v>GUARDIAN</v>
      </c>
    </row>
    <row r="2384" spans="5:8" x14ac:dyDescent="0.25">
      <c r="E2384" t="str">
        <f>""</f>
        <v/>
      </c>
      <c r="F2384" t="str">
        <f>""</f>
        <v/>
      </c>
      <c r="H2384" t="str">
        <f t="shared" si="35"/>
        <v>GUARDIAN</v>
      </c>
    </row>
    <row r="2385" spans="5:8" x14ac:dyDescent="0.25">
      <c r="E2385" t="str">
        <f>""</f>
        <v/>
      </c>
      <c r="F2385" t="str">
        <f>""</f>
        <v/>
      </c>
      <c r="H2385" t="str">
        <f t="shared" si="35"/>
        <v>GUARDIAN</v>
      </c>
    </row>
    <row r="2386" spans="5:8" x14ac:dyDescent="0.25">
      <c r="E2386" t="str">
        <f>""</f>
        <v/>
      </c>
      <c r="F2386" t="str">
        <f>""</f>
        <v/>
      </c>
      <c r="H2386" t="str">
        <f t="shared" si="35"/>
        <v>GUARDIAN</v>
      </c>
    </row>
    <row r="2387" spans="5:8" x14ac:dyDescent="0.25">
      <c r="E2387" t="str">
        <f>""</f>
        <v/>
      </c>
      <c r="F2387" t="str">
        <f>""</f>
        <v/>
      </c>
      <c r="H2387" t="str">
        <f t="shared" si="35"/>
        <v>GUARDIAN</v>
      </c>
    </row>
    <row r="2388" spans="5:8" x14ac:dyDescent="0.25">
      <c r="E2388" t="str">
        <f>""</f>
        <v/>
      </c>
      <c r="F2388" t="str">
        <f>""</f>
        <v/>
      </c>
      <c r="H2388" t="str">
        <f t="shared" si="35"/>
        <v>GUARDIAN</v>
      </c>
    </row>
    <row r="2389" spans="5:8" x14ac:dyDescent="0.25">
      <c r="E2389" t="str">
        <f>""</f>
        <v/>
      </c>
      <c r="F2389" t="str">
        <f>""</f>
        <v/>
      </c>
      <c r="H2389" t="str">
        <f t="shared" si="35"/>
        <v>GUARDIAN</v>
      </c>
    </row>
    <row r="2390" spans="5:8" x14ac:dyDescent="0.25">
      <c r="E2390" t="str">
        <f>""</f>
        <v/>
      </c>
      <c r="F2390" t="str">
        <f>""</f>
        <v/>
      </c>
      <c r="H2390" t="str">
        <f t="shared" si="35"/>
        <v>GUARDIAN</v>
      </c>
    </row>
    <row r="2391" spans="5:8" x14ac:dyDescent="0.25">
      <c r="E2391" t="str">
        <f>""</f>
        <v/>
      </c>
      <c r="F2391" t="str">
        <f>""</f>
        <v/>
      </c>
      <c r="H2391" t="str">
        <f t="shared" si="35"/>
        <v>GUARDIAN</v>
      </c>
    </row>
    <row r="2392" spans="5:8" x14ac:dyDescent="0.25">
      <c r="E2392" t="str">
        <f>""</f>
        <v/>
      </c>
      <c r="F2392" t="str">
        <f>""</f>
        <v/>
      </c>
      <c r="H2392" t="str">
        <f t="shared" si="35"/>
        <v>GUARDIAN</v>
      </c>
    </row>
    <row r="2393" spans="5:8" x14ac:dyDescent="0.25">
      <c r="E2393" t="str">
        <f>""</f>
        <v/>
      </c>
      <c r="F2393" t="str">
        <f>""</f>
        <v/>
      </c>
      <c r="H2393" t="str">
        <f t="shared" si="35"/>
        <v>GUARDIAN</v>
      </c>
    </row>
    <row r="2394" spans="5:8" x14ac:dyDescent="0.25">
      <c r="E2394" t="str">
        <f>""</f>
        <v/>
      </c>
      <c r="F2394" t="str">
        <f>""</f>
        <v/>
      </c>
      <c r="H2394" t="str">
        <f t="shared" si="35"/>
        <v>GUARDIAN</v>
      </c>
    </row>
    <row r="2395" spans="5:8" x14ac:dyDescent="0.25">
      <c r="E2395" t="str">
        <f>""</f>
        <v/>
      </c>
      <c r="F2395" t="str">
        <f>""</f>
        <v/>
      </c>
      <c r="H2395" t="str">
        <f t="shared" si="35"/>
        <v>GUARDIAN</v>
      </c>
    </row>
    <row r="2396" spans="5:8" x14ac:dyDescent="0.25">
      <c r="E2396" t="str">
        <f>""</f>
        <v/>
      </c>
      <c r="F2396" t="str">
        <f>""</f>
        <v/>
      </c>
      <c r="H2396" t="str">
        <f t="shared" si="35"/>
        <v>GUARDIAN</v>
      </c>
    </row>
    <row r="2397" spans="5:8" x14ac:dyDescent="0.25">
      <c r="E2397" t="str">
        <f>""</f>
        <v/>
      </c>
      <c r="F2397" t="str">
        <f>""</f>
        <v/>
      </c>
      <c r="H2397" t="str">
        <f t="shared" si="35"/>
        <v>GUARDIAN</v>
      </c>
    </row>
    <row r="2398" spans="5:8" x14ac:dyDescent="0.25">
      <c r="E2398" t="str">
        <f>""</f>
        <v/>
      </c>
      <c r="F2398" t="str">
        <f>""</f>
        <v/>
      </c>
      <c r="H2398" t="str">
        <f t="shared" si="35"/>
        <v>GUARDIAN</v>
      </c>
    </row>
    <row r="2399" spans="5:8" x14ac:dyDescent="0.25">
      <c r="E2399" t="str">
        <f>""</f>
        <v/>
      </c>
      <c r="F2399" t="str">
        <f>""</f>
        <v/>
      </c>
      <c r="H2399" t="str">
        <f t="shared" si="35"/>
        <v>GUARDIAN</v>
      </c>
    </row>
    <row r="2400" spans="5:8" x14ac:dyDescent="0.25">
      <c r="E2400" t="str">
        <f>""</f>
        <v/>
      </c>
      <c r="F2400" t="str">
        <f>""</f>
        <v/>
      </c>
      <c r="H2400" t="str">
        <f t="shared" si="35"/>
        <v>GUARDIAN</v>
      </c>
    </row>
    <row r="2401" spans="5:8" x14ac:dyDescent="0.25">
      <c r="E2401" t="str">
        <f>""</f>
        <v/>
      </c>
      <c r="F2401" t="str">
        <f>""</f>
        <v/>
      </c>
      <c r="H2401" t="str">
        <f t="shared" si="35"/>
        <v>GUARDIAN</v>
      </c>
    </row>
    <row r="2402" spans="5:8" x14ac:dyDescent="0.25">
      <c r="E2402" t="str">
        <f>""</f>
        <v/>
      </c>
      <c r="F2402" t="str">
        <f>""</f>
        <v/>
      </c>
      <c r="H2402" t="str">
        <f t="shared" si="35"/>
        <v>GUARDIAN</v>
      </c>
    </row>
    <row r="2403" spans="5:8" x14ac:dyDescent="0.25">
      <c r="E2403" t="str">
        <f>""</f>
        <v/>
      </c>
      <c r="F2403" t="str">
        <f>""</f>
        <v/>
      </c>
      <c r="H2403" t="str">
        <f t="shared" si="35"/>
        <v>GUARDIAN</v>
      </c>
    </row>
    <row r="2404" spans="5:8" x14ac:dyDescent="0.25">
      <c r="E2404" t="str">
        <f>"LIA202012090690"</f>
        <v>LIA202012090690</v>
      </c>
      <c r="F2404" t="str">
        <f>"GUARDIAN"</f>
        <v>GUARDIAN</v>
      </c>
      <c r="G2404" s="3">
        <v>40.799999999999997</v>
      </c>
      <c r="H2404" t="str">
        <f t="shared" si="35"/>
        <v>GUARDIAN</v>
      </c>
    </row>
    <row r="2405" spans="5:8" x14ac:dyDescent="0.25">
      <c r="E2405" t="str">
        <f>""</f>
        <v/>
      </c>
      <c r="F2405" t="str">
        <f>""</f>
        <v/>
      </c>
      <c r="H2405" t="str">
        <f t="shared" si="35"/>
        <v>GUARDIAN</v>
      </c>
    </row>
    <row r="2406" spans="5:8" x14ac:dyDescent="0.25">
      <c r="E2406" t="str">
        <f>"LIA202012220865"</f>
        <v>LIA202012220865</v>
      </c>
      <c r="F2406" t="str">
        <f>"GUARDIAN"</f>
        <v>GUARDIAN</v>
      </c>
      <c r="G2406" s="3">
        <v>231.69</v>
      </c>
      <c r="H2406" t="str">
        <f t="shared" si="35"/>
        <v>GUARDIAN</v>
      </c>
    </row>
    <row r="2407" spans="5:8" x14ac:dyDescent="0.25">
      <c r="E2407" t="str">
        <f>""</f>
        <v/>
      </c>
      <c r="F2407" t="str">
        <f>""</f>
        <v/>
      </c>
      <c r="H2407" t="str">
        <f t="shared" si="35"/>
        <v>GUARDIAN</v>
      </c>
    </row>
    <row r="2408" spans="5:8" x14ac:dyDescent="0.25">
      <c r="E2408" t="str">
        <f>""</f>
        <v/>
      </c>
      <c r="F2408" t="str">
        <f>""</f>
        <v/>
      </c>
      <c r="H2408" t="str">
        <f t="shared" si="35"/>
        <v>GUARDIAN</v>
      </c>
    </row>
    <row r="2409" spans="5:8" x14ac:dyDescent="0.25">
      <c r="E2409" t="str">
        <f>""</f>
        <v/>
      </c>
      <c r="F2409" t="str">
        <f>""</f>
        <v/>
      </c>
      <c r="H2409" t="str">
        <f t="shared" si="35"/>
        <v>GUARDIAN</v>
      </c>
    </row>
    <row r="2410" spans="5:8" x14ac:dyDescent="0.25">
      <c r="E2410" t="str">
        <f>""</f>
        <v/>
      </c>
      <c r="F2410" t="str">
        <f>""</f>
        <v/>
      </c>
      <c r="H2410" t="str">
        <f t="shared" si="35"/>
        <v>GUARDIAN</v>
      </c>
    </row>
    <row r="2411" spans="5:8" x14ac:dyDescent="0.25">
      <c r="E2411" t="str">
        <f>""</f>
        <v/>
      </c>
      <c r="F2411" t="str">
        <f>""</f>
        <v/>
      </c>
      <c r="H2411" t="str">
        <f t="shared" si="35"/>
        <v>GUARDIAN</v>
      </c>
    </row>
    <row r="2412" spans="5:8" x14ac:dyDescent="0.25">
      <c r="E2412" t="str">
        <f>""</f>
        <v/>
      </c>
      <c r="F2412" t="str">
        <f>""</f>
        <v/>
      </c>
      <c r="H2412" t="str">
        <f t="shared" ref="H2412:H2443" si="36">"GUARDIAN"</f>
        <v>GUARDIAN</v>
      </c>
    </row>
    <row r="2413" spans="5:8" x14ac:dyDescent="0.25">
      <c r="E2413" t="str">
        <f>""</f>
        <v/>
      </c>
      <c r="F2413" t="str">
        <f>""</f>
        <v/>
      </c>
      <c r="H2413" t="str">
        <f t="shared" si="36"/>
        <v>GUARDIAN</v>
      </c>
    </row>
    <row r="2414" spans="5:8" x14ac:dyDescent="0.25">
      <c r="E2414" t="str">
        <f>""</f>
        <v/>
      </c>
      <c r="F2414" t="str">
        <f>""</f>
        <v/>
      </c>
      <c r="H2414" t="str">
        <f t="shared" si="36"/>
        <v>GUARDIAN</v>
      </c>
    </row>
    <row r="2415" spans="5:8" x14ac:dyDescent="0.25">
      <c r="E2415" t="str">
        <f>""</f>
        <v/>
      </c>
      <c r="F2415" t="str">
        <f>""</f>
        <v/>
      </c>
      <c r="H2415" t="str">
        <f t="shared" si="36"/>
        <v>GUARDIAN</v>
      </c>
    </row>
    <row r="2416" spans="5:8" x14ac:dyDescent="0.25">
      <c r="E2416" t="str">
        <f>""</f>
        <v/>
      </c>
      <c r="F2416" t="str">
        <f>""</f>
        <v/>
      </c>
      <c r="H2416" t="str">
        <f t="shared" si="36"/>
        <v>GUARDIAN</v>
      </c>
    </row>
    <row r="2417" spans="5:8" x14ac:dyDescent="0.25">
      <c r="E2417" t="str">
        <f>""</f>
        <v/>
      </c>
      <c r="F2417" t="str">
        <f>""</f>
        <v/>
      </c>
      <c r="H2417" t="str">
        <f t="shared" si="36"/>
        <v>GUARDIAN</v>
      </c>
    </row>
    <row r="2418" spans="5:8" x14ac:dyDescent="0.25">
      <c r="E2418" t="str">
        <f>""</f>
        <v/>
      </c>
      <c r="F2418" t="str">
        <f>""</f>
        <v/>
      </c>
      <c r="H2418" t="str">
        <f t="shared" si="36"/>
        <v>GUARDIAN</v>
      </c>
    </row>
    <row r="2419" spans="5:8" x14ac:dyDescent="0.25">
      <c r="E2419" t="str">
        <f>""</f>
        <v/>
      </c>
      <c r="F2419" t="str">
        <f>""</f>
        <v/>
      </c>
      <c r="H2419" t="str">
        <f t="shared" si="36"/>
        <v>GUARDIAN</v>
      </c>
    </row>
    <row r="2420" spans="5:8" x14ac:dyDescent="0.25">
      <c r="E2420" t="str">
        <f>""</f>
        <v/>
      </c>
      <c r="F2420" t="str">
        <f>""</f>
        <v/>
      </c>
      <c r="H2420" t="str">
        <f t="shared" si="36"/>
        <v>GUARDIAN</v>
      </c>
    </row>
    <row r="2421" spans="5:8" x14ac:dyDescent="0.25">
      <c r="E2421" t="str">
        <f>""</f>
        <v/>
      </c>
      <c r="F2421" t="str">
        <f>""</f>
        <v/>
      </c>
      <c r="H2421" t="str">
        <f t="shared" si="36"/>
        <v>GUARDIAN</v>
      </c>
    </row>
    <row r="2422" spans="5:8" x14ac:dyDescent="0.25">
      <c r="E2422" t="str">
        <f>""</f>
        <v/>
      </c>
      <c r="F2422" t="str">
        <f>""</f>
        <v/>
      </c>
      <c r="H2422" t="str">
        <f t="shared" si="36"/>
        <v>GUARDIAN</v>
      </c>
    </row>
    <row r="2423" spans="5:8" x14ac:dyDescent="0.25">
      <c r="E2423" t="str">
        <f>""</f>
        <v/>
      </c>
      <c r="F2423" t="str">
        <f>""</f>
        <v/>
      </c>
      <c r="H2423" t="str">
        <f t="shared" si="36"/>
        <v>GUARDIAN</v>
      </c>
    </row>
    <row r="2424" spans="5:8" x14ac:dyDescent="0.25">
      <c r="E2424" t="str">
        <f>""</f>
        <v/>
      </c>
      <c r="F2424" t="str">
        <f>""</f>
        <v/>
      </c>
      <c r="H2424" t="str">
        <f t="shared" si="36"/>
        <v>GUARDIAN</v>
      </c>
    </row>
    <row r="2425" spans="5:8" x14ac:dyDescent="0.25">
      <c r="E2425" t="str">
        <f>""</f>
        <v/>
      </c>
      <c r="F2425" t="str">
        <f>""</f>
        <v/>
      </c>
      <c r="H2425" t="str">
        <f t="shared" si="36"/>
        <v>GUARDIAN</v>
      </c>
    </row>
    <row r="2426" spans="5:8" x14ac:dyDescent="0.25">
      <c r="E2426" t="str">
        <f>""</f>
        <v/>
      </c>
      <c r="F2426" t="str">
        <f>""</f>
        <v/>
      </c>
      <c r="H2426" t="str">
        <f t="shared" si="36"/>
        <v>GUARDIAN</v>
      </c>
    </row>
    <row r="2427" spans="5:8" x14ac:dyDescent="0.25">
      <c r="E2427" t="str">
        <f>""</f>
        <v/>
      </c>
      <c r="F2427" t="str">
        <f>""</f>
        <v/>
      </c>
      <c r="H2427" t="str">
        <f t="shared" si="36"/>
        <v>GUARDIAN</v>
      </c>
    </row>
    <row r="2428" spans="5:8" x14ac:dyDescent="0.25">
      <c r="E2428" t="str">
        <f>""</f>
        <v/>
      </c>
      <c r="F2428" t="str">
        <f>""</f>
        <v/>
      </c>
      <c r="H2428" t="str">
        <f t="shared" si="36"/>
        <v>GUARDIAN</v>
      </c>
    </row>
    <row r="2429" spans="5:8" x14ac:dyDescent="0.25">
      <c r="E2429" t="str">
        <f>""</f>
        <v/>
      </c>
      <c r="F2429" t="str">
        <f>""</f>
        <v/>
      </c>
      <c r="H2429" t="str">
        <f t="shared" si="36"/>
        <v>GUARDIAN</v>
      </c>
    </row>
    <row r="2430" spans="5:8" x14ac:dyDescent="0.25">
      <c r="E2430" t="str">
        <f>"LIA202012220866"</f>
        <v>LIA202012220866</v>
      </c>
      <c r="F2430" t="str">
        <f>"GUARDIAN"</f>
        <v>GUARDIAN</v>
      </c>
      <c r="G2430" s="3">
        <v>40.799999999999997</v>
      </c>
      <c r="H2430" t="str">
        <f t="shared" si="36"/>
        <v>GUARDIAN</v>
      </c>
    </row>
    <row r="2431" spans="5:8" x14ac:dyDescent="0.25">
      <c r="E2431" t="str">
        <f>""</f>
        <v/>
      </c>
      <c r="F2431" t="str">
        <f>""</f>
        <v/>
      </c>
      <c r="H2431" t="str">
        <f t="shared" si="36"/>
        <v>GUARDIAN</v>
      </c>
    </row>
    <row r="2432" spans="5:8" x14ac:dyDescent="0.25">
      <c r="E2432" t="str">
        <f>"LIC202012090689"</f>
        <v>LIC202012090689</v>
      </c>
      <c r="F2432" t="str">
        <f>"GUARDIAN"</f>
        <v>GUARDIAN</v>
      </c>
      <c r="G2432" s="3">
        <v>32.9</v>
      </c>
      <c r="H2432" t="str">
        <f t="shared" si="36"/>
        <v>GUARDIAN</v>
      </c>
    </row>
    <row r="2433" spans="5:8" x14ac:dyDescent="0.25">
      <c r="E2433" t="str">
        <f>"LIC202012090690"</f>
        <v>LIC202012090690</v>
      </c>
      <c r="F2433" t="str">
        <f>"GUARDIAN"</f>
        <v>GUARDIAN</v>
      </c>
      <c r="G2433" s="3">
        <v>1.05</v>
      </c>
      <c r="H2433" t="str">
        <f t="shared" si="36"/>
        <v>GUARDIAN</v>
      </c>
    </row>
    <row r="2434" spans="5:8" x14ac:dyDescent="0.25">
      <c r="E2434" t="str">
        <f>"LIC202012220865"</f>
        <v>LIC202012220865</v>
      </c>
      <c r="F2434" t="str">
        <f>"GUARDIAN"</f>
        <v>GUARDIAN</v>
      </c>
      <c r="G2434" s="3">
        <v>32.9</v>
      </c>
      <c r="H2434" t="str">
        <f t="shared" si="36"/>
        <v>GUARDIAN</v>
      </c>
    </row>
    <row r="2435" spans="5:8" x14ac:dyDescent="0.25">
      <c r="E2435" t="str">
        <f>"LIC202012220866"</f>
        <v>LIC202012220866</v>
      </c>
      <c r="F2435" t="str">
        <f>"GUARDIAN"</f>
        <v>GUARDIAN</v>
      </c>
      <c r="G2435" s="3">
        <v>1.05</v>
      </c>
      <c r="H2435" t="str">
        <f t="shared" si="36"/>
        <v>GUARDIAN</v>
      </c>
    </row>
    <row r="2436" spans="5:8" x14ac:dyDescent="0.25">
      <c r="E2436" t="str">
        <f>"LIE202012090689"</f>
        <v>LIE202012090689</v>
      </c>
      <c r="F2436" t="str">
        <f>"GUARDIAN"</f>
        <v>GUARDIAN</v>
      </c>
      <c r="G2436" s="3">
        <v>3875.05</v>
      </c>
      <c r="H2436" t="str">
        <f t="shared" si="36"/>
        <v>GUARDIAN</v>
      </c>
    </row>
    <row r="2437" spans="5:8" x14ac:dyDescent="0.25">
      <c r="E2437" t="str">
        <f>""</f>
        <v/>
      </c>
      <c r="F2437" t="str">
        <f>""</f>
        <v/>
      </c>
      <c r="H2437" t="str">
        <f t="shared" si="36"/>
        <v>GUARDIAN</v>
      </c>
    </row>
    <row r="2438" spans="5:8" x14ac:dyDescent="0.25">
      <c r="E2438" t="str">
        <f>""</f>
        <v/>
      </c>
      <c r="F2438" t="str">
        <f>""</f>
        <v/>
      </c>
      <c r="H2438" t="str">
        <f t="shared" si="36"/>
        <v>GUARDIAN</v>
      </c>
    </row>
    <row r="2439" spans="5:8" x14ac:dyDescent="0.25">
      <c r="E2439" t="str">
        <f>""</f>
        <v/>
      </c>
      <c r="F2439" t="str">
        <f>""</f>
        <v/>
      </c>
      <c r="H2439" t="str">
        <f t="shared" si="36"/>
        <v>GUARDIAN</v>
      </c>
    </row>
    <row r="2440" spans="5:8" x14ac:dyDescent="0.25">
      <c r="E2440" t="str">
        <f>""</f>
        <v/>
      </c>
      <c r="F2440" t="str">
        <f>""</f>
        <v/>
      </c>
      <c r="H2440" t="str">
        <f t="shared" si="36"/>
        <v>GUARDIAN</v>
      </c>
    </row>
    <row r="2441" spans="5:8" x14ac:dyDescent="0.25">
      <c r="E2441" t="str">
        <f>""</f>
        <v/>
      </c>
      <c r="F2441" t="str">
        <f>""</f>
        <v/>
      </c>
      <c r="H2441" t="str">
        <f t="shared" si="36"/>
        <v>GUARDIAN</v>
      </c>
    </row>
    <row r="2442" spans="5:8" x14ac:dyDescent="0.25">
      <c r="E2442" t="str">
        <f>""</f>
        <v/>
      </c>
      <c r="F2442" t="str">
        <f>""</f>
        <v/>
      </c>
      <c r="H2442" t="str">
        <f t="shared" si="36"/>
        <v>GUARDIAN</v>
      </c>
    </row>
    <row r="2443" spans="5:8" x14ac:dyDescent="0.25">
      <c r="E2443" t="str">
        <f>""</f>
        <v/>
      </c>
      <c r="F2443" t="str">
        <f>""</f>
        <v/>
      </c>
      <c r="H2443" t="str">
        <f t="shared" si="36"/>
        <v>GUARDIAN</v>
      </c>
    </row>
    <row r="2444" spans="5:8" x14ac:dyDescent="0.25">
      <c r="E2444" t="str">
        <f>""</f>
        <v/>
      </c>
      <c r="F2444" t="str">
        <f>""</f>
        <v/>
      </c>
      <c r="H2444" t="str">
        <f t="shared" ref="H2444:H2475" si="37">"GUARDIAN"</f>
        <v>GUARDIAN</v>
      </c>
    </row>
    <row r="2445" spans="5:8" x14ac:dyDescent="0.25">
      <c r="E2445" t="str">
        <f>""</f>
        <v/>
      </c>
      <c r="F2445" t="str">
        <f>""</f>
        <v/>
      </c>
      <c r="H2445" t="str">
        <f t="shared" si="37"/>
        <v>GUARDIAN</v>
      </c>
    </row>
    <row r="2446" spans="5:8" x14ac:dyDescent="0.25">
      <c r="E2446" t="str">
        <f>""</f>
        <v/>
      </c>
      <c r="F2446" t="str">
        <f>""</f>
        <v/>
      </c>
      <c r="H2446" t="str">
        <f t="shared" si="37"/>
        <v>GUARDIAN</v>
      </c>
    </row>
    <row r="2447" spans="5:8" x14ac:dyDescent="0.25">
      <c r="E2447" t="str">
        <f>""</f>
        <v/>
      </c>
      <c r="F2447" t="str">
        <f>""</f>
        <v/>
      </c>
      <c r="H2447" t="str">
        <f t="shared" si="37"/>
        <v>GUARDIAN</v>
      </c>
    </row>
    <row r="2448" spans="5:8" x14ac:dyDescent="0.25">
      <c r="E2448" t="str">
        <f>""</f>
        <v/>
      </c>
      <c r="F2448" t="str">
        <f>""</f>
        <v/>
      </c>
      <c r="H2448" t="str">
        <f t="shared" si="37"/>
        <v>GUARDIAN</v>
      </c>
    </row>
    <row r="2449" spans="5:8" x14ac:dyDescent="0.25">
      <c r="E2449" t="str">
        <f>""</f>
        <v/>
      </c>
      <c r="F2449" t="str">
        <f>""</f>
        <v/>
      </c>
      <c r="H2449" t="str">
        <f t="shared" si="37"/>
        <v>GUARDIAN</v>
      </c>
    </row>
    <row r="2450" spans="5:8" x14ac:dyDescent="0.25">
      <c r="E2450" t="str">
        <f>""</f>
        <v/>
      </c>
      <c r="F2450" t="str">
        <f>""</f>
        <v/>
      </c>
      <c r="H2450" t="str">
        <f t="shared" si="37"/>
        <v>GUARDIAN</v>
      </c>
    </row>
    <row r="2451" spans="5:8" x14ac:dyDescent="0.25">
      <c r="E2451" t="str">
        <f>""</f>
        <v/>
      </c>
      <c r="F2451" t="str">
        <f>""</f>
        <v/>
      </c>
      <c r="H2451" t="str">
        <f t="shared" si="37"/>
        <v>GUARDIAN</v>
      </c>
    </row>
    <row r="2452" spans="5:8" x14ac:dyDescent="0.25">
      <c r="E2452" t="str">
        <f>""</f>
        <v/>
      </c>
      <c r="F2452" t="str">
        <f>""</f>
        <v/>
      </c>
      <c r="H2452" t="str">
        <f t="shared" si="37"/>
        <v>GUARDIAN</v>
      </c>
    </row>
    <row r="2453" spans="5:8" x14ac:dyDescent="0.25">
      <c r="E2453" t="str">
        <f>""</f>
        <v/>
      </c>
      <c r="F2453" t="str">
        <f>""</f>
        <v/>
      </c>
      <c r="H2453" t="str">
        <f t="shared" si="37"/>
        <v>GUARDIAN</v>
      </c>
    </row>
    <row r="2454" spans="5:8" x14ac:dyDescent="0.25">
      <c r="E2454" t="str">
        <f>""</f>
        <v/>
      </c>
      <c r="F2454" t="str">
        <f>""</f>
        <v/>
      </c>
      <c r="H2454" t="str">
        <f t="shared" si="37"/>
        <v>GUARDIAN</v>
      </c>
    </row>
    <row r="2455" spans="5:8" x14ac:dyDescent="0.25">
      <c r="E2455" t="str">
        <f>""</f>
        <v/>
      </c>
      <c r="F2455" t="str">
        <f>""</f>
        <v/>
      </c>
      <c r="H2455" t="str">
        <f t="shared" si="37"/>
        <v>GUARDIAN</v>
      </c>
    </row>
    <row r="2456" spans="5:8" x14ac:dyDescent="0.25">
      <c r="E2456" t="str">
        <f>""</f>
        <v/>
      </c>
      <c r="F2456" t="str">
        <f>""</f>
        <v/>
      </c>
      <c r="H2456" t="str">
        <f t="shared" si="37"/>
        <v>GUARDIAN</v>
      </c>
    </row>
    <row r="2457" spans="5:8" x14ac:dyDescent="0.25">
      <c r="E2457" t="str">
        <f>""</f>
        <v/>
      </c>
      <c r="F2457" t="str">
        <f>""</f>
        <v/>
      </c>
      <c r="H2457" t="str">
        <f t="shared" si="37"/>
        <v>GUARDIAN</v>
      </c>
    </row>
    <row r="2458" spans="5:8" x14ac:dyDescent="0.25">
      <c r="E2458" t="str">
        <f>""</f>
        <v/>
      </c>
      <c r="F2458" t="str">
        <f>""</f>
        <v/>
      </c>
      <c r="H2458" t="str">
        <f t="shared" si="37"/>
        <v>GUARDIAN</v>
      </c>
    </row>
    <row r="2459" spans="5:8" x14ac:dyDescent="0.25">
      <c r="E2459" t="str">
        <f>""</f>
        <v/>
      </c>
      <c r="F2459" t="str">
        <f>""</f>
        <v/>
      </c>
      <c r="H2459" t="str">
        <f t="shared" si="37"/>
        <v>GUARDIAN</v>
      </c>
    </row>
    <row r="2460" spans="5:8" x14ac:dyDescent="0.25">
      <c r="E2460" t="str">
        <f>""</f>
        <v/>
      </c>
      <c r="F2460" t="str">
        <f>""</f>
        <v/>
      </c>
      <c r="H2460" t="str">
        <f t="shared" si="37"/>
        <v>GUARDIAN</v>
      </c>
    </row>
    <row r="2461" spans="5:8" x14ac:dyDescent="0.25">
      <c r="E2461" t="str">
        <f>""</f>
        <v/>
      </c>
      <c r="F2461" t="str">
        <f>""</f>
        <v/>
      </c>
      <c r="H2461" t="str">
        <f t="shared" si="37"/>
        <v>GUARDIAN</v>
      </c>
    </row>
    <row r="2462" spans="5:8" x14ac:dyDescent="0.25">
      <c r="E2462" t="str">
        <f>""</f>
        <v/>
      </c>
      <c r="F2462" t="str">
        <f>""</f>
        <v/>
      </c>
      <c r="H2462" t="str">
        <f t="shared" si="37"/>
        <v>GUARDIAN</v>
      </c>
    </row>
    <row r="2463" spans="5:8" x14ac:dyDescent="0.25">
      <c r="E2463" t="str">
        <f>""</f>
        <v/>
      </c>
      <c r="F2463" t="str">
        <f>""</f>
        <v/>
      </c>
      <c r="H2463" t="str">
        <f t="shared" si="37"/>
        <v>GUARDIAN</v>
      </c>
    </row>
    <row r="2464" spans="5:8" x14ac:dyDescent="0.25">
      <c r="E2464" t="str">
        <f>""</f>
        <v/>
      </c>
      <c r="F2464" t="str">
        <f>""</f>
        <v/>
      </c>
      <c r="H2464" t="str">
        <f t="shared" si="37"/>
        <v>GUARDIAN</v>
      </c>
    </row>
    <row r="2465" spans="5:8" x14ac:dyDescent="0.25">
      <c r="E2465" t="str">
        <f>""</f>
        <v/>
      </c>
      <c r="F2465" t="str">
        <f>""</f>
        <v/>
      </c>
      <c r="H2465" t="str">
        <f t="shared" si="37"/>
        <v>GUARDIAN</v>
      </c>
    </row>
    <row r="2466" spans="5:8" x14ac:dyDescent="0.25">
      <c r="E2466" t="str">
        <f>""</f>
        <v/>
      </c>
      <c r="F2466" t="str">
        <f>""</f>
        <v/>
      </c>
      <c r="H2466" t="str">
        <f t="shared" si="37"/>
        <v>GUARDIAN</v>
      </c>
    </row>
    <row r="2467" spans="5:8" x14ac:dyDescent="0.25">
      <c r="E2467" t="str">
        <f>""</f>
        <v/>
      </c>
      <c r="F2467" t="str">
        <f>""</f>
        <v/>
      </c>
      <c r="H2467" t="str">
        <f t="shared" si="37"/>
        <v>GUARDIAN</v>
      </c>
    </row>
    <row r="2468" spans="5:8" x14ac:dyDescent="0.25">
      <c r="E2468" t="str">
        <f>""</f>
        <v/>
      </c>
      <c r="F2468" t="str">
        <f>""</f>
        <v/>
      </c>
      <c r="H2468" t="str">
        <f t="shared" si="37"/>
        <v>GUARDIAN</v>
      </c>
    </row>
    <row r="2469" spans="5:8" x14ac:dyDescent="0.25">
      <c r="E2469" t="str">
        <f>""</f>
        <v/>
      </c>
      <c r="F2469" t="str">
        <f>""</f>
        <v/>
      </c>
      <c r="H2469" t="str">
        <f t="shared" si="37"/>
        <v>GUARDIAN</v>
      </c>
    </row>
    <row r="2470" spans="5:8" x14ac:dyDescent="0.25">
      <c r="E2470" t="str">
        <f>""</f>
        <v/>
      </c>
      <c r="F2470" t="str">
        <f>""</f>
        <v/>
      </c>
      <c r="H2470" t="str">
        <f t="shared" si="37"/>
        <v>GUARDIAN</v>
      </c>
    </row>
    <row r="2471" spans="5:8" x14ac:dyDescent="0.25">
      <c r="E2471" t="str">
        <f>""</f>
        <v/>
      </c>
      <c r="F2471" t="str">
        <f>""</f>
        <v/>
      </c>
      <c r="H2471" t="str">
        <f t="shared" si="37"/>
        <v>GUARDIAN</v>
      </c>
    </row>
    <row r="2472" spans="5:8" x14ac:dyDescent="0.25">
      <c r="E2472" t="str">
        <f>""</f>
        <v/>
      </c>
      <c r="F2472" t="str">
        <f>""</f>
        <v/>
      </c>
      <c r="H2472" t="str">
        <f t="shared" si="37"/>
        <v>GUARDIAN</v>
      </c>
    </row>
    <row r="2473" spans="5:8" x14ac:dyDescent="0.25">
      <c r="E2473" t="str">
        <f>""</f>
        <v/>
      </c>
      <c r="F2473" t="str">
        <f>""</f>
        <v/>
      </c>
      <c r="H2473" t="str">
        <f t="shared" si="37"/>
        <v>GUARDIAN</v>
      </c>
    </row>
    <row r="2474" spans="5:8" x14ac:dyDescent="0.25">
      <c r="E2474" t="str">
        <f>""</f>
        <v/>
      </c>
      <c r="F2474" t="str">
        <f>""</f>
        <v/>
      </c>
      <c r="H2474" t="str">
        <f t="shared" si="37"/>
        <v>GUARDIAN</v>
      </c>
    </row>
    <row r="2475" spans="5:8" x14ac:dyDescent="0.25">
      <c r="E2475" t="str">
        <f>""</f>
        <v/>
      </c>
      <c r="F2475" t="str">
        <f>""</f>
        <v/>
      </c>
      <c r="H2475" t="str">
        <f t="shared" si="37"/>
        <v>GUARDIAN</v>
      </c>
    </row>
    <row r="2476" spans="5:8" x14ac:dyDescent="0.25">
      <c r="E2476" t="str">
        <f>""</f>
        <v/>
      </c>
      <c r="F2476" t="str">
        <f>""</f>
        <v/>
      </c>
      <c r="H2476" t="str">
        <f t="shared" ref="H2476:H2507" si="38">"GUARDIAN"</f>
        <v>GUARDIAN</v>
      </c>
    </row>
    <row r="2477" spans="5:8" x14ac:dyDescent="0.25">
      <c r="E2477" t="str">
        <f>""</f>
        <v/>
      </c>
      <c r="F2477" t="str">
        <f>""</f>
        <v/>
      </c>
      <c r="H2477" t="str">
        <f t="shared" si="38"/>
        <v>GUARDIAN</v>
      </c>
    </row>
    <row r="2478" spans="5:8" x14ac:dyDescent="0.25">
      <c r="E2478" t="str">
        <f>""</f>
        <v/>
      </c>
      <c r="F2478" t="str">
        <f>""</f>
        <v/>
      </c>
      <c r="H2478" t="str">
        <f t="shared" si="38"/>
        <v>GUARDIAN</v>
      </c>
    </row>
    <row r="2479" spans="5:8" x14ac:dyDescent="0.25">
      <c r="E2479" t="str">
        <f>""</f>
        <v/>
      </c>
      <c r="F2479" t="str">
        <f>""</f>
        <v/>
      </c>
      <c r="H2479" t="str">
        <f t="shared" si="38"/>
        <v>GUARDIAN</v>
      </c>
    </row>
    <row r="2480" spans="5:8" x14ac:dyDescent="0.25">
      <c r="E2480" t="str">
        <f>""</f>
        <v/>
      </c>
      <c r="F2480" t="str">
        <f>""</f>
        <v/>
      </c>
      <c r="H2480" t="str">
        <f t="shared" si="38"/>
        <v>GUARDIAN</v>
      </c>
    </row>
    <row r="2481" spans="5:8" x14ac:dyDescent="0.25">
      <c r="E2481" t="str">
        <f>""</f>
        <v/>
      </c>
      <c r="F2481" t="str">
        <f>""</f>
        <v/>
      </c>
      <c r="H2481" t="str">
        <f t="shared" si="38"/>
        <v>GUARDIAN</v>
      </c>
    </row>
    <row r="2482" spans="5:8" x14ac:dyDescent="0.25">
      <c r="E2482" t="str">
        <f>""</f>
        <v/>
      </c>
      <c r="F2482" t="str">
        <f>""</f>
        <v/>
      </c>
      <c r="H2482" t="str">
        <f t="shared" si="38"/>
        <v>GUARDIAN</v>
      </c>
    </row>
    <row r="2483" spans="5:8" x14ac:dyDescent="0.25">
      <c r="E2483" t="str">
        <f>""</f>
        <v/>
      </c>
      <c r="F2483" t="str">
        <f>""</f>
        <v/>
      </c>
      <c r="H2483" t="str">
        <f t="shared" si="38"/>
        <v>GUARDIAN</v>
      </c>
    </row>
    <row r="2484" spans="5:8" x14ac:dyDescent="0.25">
      <c r="E2484" t="str">
        <f>""</f>
        <v/>
      </c>
      <c r="F2484" t="str">
        <f>""</f>
        <v/>
      </c>
      <c r="H2484" t="str">
        <f t="shared" si="38"/>
        <v>GUARDIAN</v>
      </c>
    </row>
    <row r="2485" spans="5:8" x14ac:dyDescent="0.25">
      <c r="E2485" t="str">
        <f>""</f>
        <v/>
      </c>
      <c r="F2485" t="str">
        <f>""</f>
        <v/>
      </c>
      <c r="H2485" t="str">
        <f t="shared" si="38"/>
        <v>GUARDIAN</v>
      </c>
    </row>
    <row r="2486" spans="5:8" x14ac:dyDescent="0.25">
      <c r="E2486" t="str">
        <f>""</f>
        <v/>
      </c>
      <c r="F2486" t="str">
        <f>""</f>
        <v/>
      </c>
      <c r="H2486" t="str">
        <f t="shared" si="38"/>
        <v>GUARDIAN</v>
      </c>
    </row>
    <row r="2487" spans="5:8" x14ac:dyDescent="0.25">
      <c r="E2487" t="str">
        <f>"LIE202012090690"</f>
        <v>LIE202012090690</v>
      </c>
      <c r="F2487" t="str">
        <f>"GUARDIAN"</f>
        <v>GUARDIAN</v>
      </c>
      <c r="G2487" s="3">
        <v>94.25</v>
      </c>
      <c r="H2487" t="str">
        <f t="shared" si="38"/>
        <v>GUARDIAN</v>
      </c>
    </row>
    <row r="2488" spans="5:8" x14ac:dyDescent="0.25">
      <c r="E2488" t="str">
        <f>""</f>
        <v/>
      </c>
      <c r="F2488" t="str">
        <f>""</f>
        <v/>
      </c>
      <c r="H2488" t="str">
        <f t="shared" si="38"/>
        <v>GUARDIAN</v>
      </c>
    </row>
    <row r="2489" spans="5:8" x14ac:dyDescent="0.25">
      <c r="E2489" t="str">
        <f>"LIE202012220865"</f>
        <v>LIE202012220865</v>
      </c>
      <c r="F2489" t="str">
        <f>"GUARDIAN"</f>
        <v>GUARDIAN</v>
      </c>
      <c r="G2489" s="3">
        <v>3875.05</v>
      </c>
      <c r="H2489" t="str">
        <f t="shared" si="38"/>
        <v>GUARDIAN</v>
      </c>
    </row>
    <row r="2490" spans="5:8" x14ac:dyDescent="0.25">
      <c r="E2490" t="str">
        <f>""</f>
        <v/>
      </c>
      <c r="F2490" t="str">
        <f>""</f>
        <v/>
      </c>
      <c r="H2490" t="str">
        <f t="shared" si="38"/>
        <v>GUARDIAN</v>
      </c>
    </row>
    <row r="2491" spans="5:8" x14ac:dyDescent="0.25">
      <c r="E2491" t="str">
        <f>""</f>
        <v/>
      </c>
      <c r="F2491" t="str">
        <f>""</f>
        <v/>
      </c>
      <c r="H2491" t="str">
        <f t="shared" si="38"/>
        <v>GUARDIAN</v>
      </c>
    </row>
    <row r="2492" spans="5:8" x14ac:dyDescent="0.25">
      <c r="E2492" t="str">
        <f>""</f>
        <v/>
      </c>
      <c r="F2492" t="str">
        <f>""</f>
        <v/>
      </c>
      <c r="H2492" t="str">
        <f t="shared" si="38"/>
        <v>GUARDIAN</v>
      </c>
    </row>
    <row r="2493" spans="5:8" x14ac:dyDescent="0.25">
      <c r="E2493" t="str">
        <f>""</f>
        <v/>
      </c>
      <c r="F2493" t="str">
        <f>""</f>
        <v/>
      </c>
      <c r="H2493" t="str">
        <f t="shared" si="38"/>
        <v>GUARDIAN</v>
      </c>
    </row>
    <row r="2494" spans="5:8" x14ac:dyDescent="0.25">
      <c r="E2494" t="str">
        <f>""</f>
        <v/>
      </c>
      <c r="F2494" t="str">
        <f>""</f>
        <v/>
      </c>
      <c r="H2494" t="str">
        <f t="shared" si="38"/>
        <v>GUARDIAN</v>
      </c>
    </row>
    <row r="2495" spans="5:8" x14ac:dyDescent="0.25">
      <c r="E2495" t="str">
        <f>""</f>
        <v/>
      </c>
      <c r="F2495" t="str">
        <f>""</f>
        <v/>
      </c>
      <c r="H2495" t="str">
        <f t="shared" si="38"/>
        <v>GUARDIAN</v>
      </c>
    </row>
    <row r="2496" spans="5:8" x14ac:dyDescent="0.25">
      <c r="E2496" t="str">
        <f>""</f>
        <v/>
      </c>
      <c r="F2496" t="str">
        <f>""</f>
        <v/>
      </c>
      <c r="H2496" t="str">
        <f t="shared" si="38"/>
        <v>GUARDIAN</v>
      </c>
    </row>
    <row r="2497" spans="5:8" x14ac:dyDescent="0.25">
      <c r="E2497" t="str">
        <f>""</f>
        <v/>
      </c>
      <c r="F2497" t="str">
        <f>""</f>
        <v/>
      </c>
      <c r="H2497" t="str">
        <f t="shared" si="38"/>
        <v>GUARDIAN</v>
      </c>
    </row>
    <row r="2498" spans="5:8" x14ac:dyDescent="0.25">
      <c r="E2498" t="str">
        <f>""</f>
        <v/>
      </c>
      <c r="F2498" t="str">
        <f>""</f>
        <v/>
      </c>
      <c r="H2498" t="str">
        <f t="shared" si="38"/>
        <v>GUARDIAN</v>
      </c>
    </row>
    <row r="2499" spans="5:8" x14ac:dyDescent="0.25">
      <c r="E2499" t="str">
        <f>""</f>
        <v/>
      </c>
      <c r="F2499" t="str">
        <f>""</f>
        <v/>
      </c>
      <c r="H2499" t="str">
        <f t="shared" si="38"/>
        <v>GUARDIAN</v>
      </c>
    </row>
    <row r="2500" spans="5:8" x14ac:dyDescent="0.25">
      <c r="E2500" t="str">
        <f>""</f>
        <v/>
      </c>
      <c r="F2500" t="str">
        <f>""</f>
        <v/>
      </c>
      <c r="H2500" t="str">
        <f t="shared" si="38"/>
        <v>GUARDIAN</v>
      </c>
    </row>
    <row r="2501" spans="5:8" x14ac:dyDescent="0.25">
      <c r="E2501" t="str">
        <f>""</f>
        <v/>
      </c>
      <c r="F2501" t="str">
        <f>""</f>
        <v/>
      </c>
      <c r="H2501" t="str">
        <f t="shared" si="38"/>
        <v>GUARDIAN</v>
      </c>
    </row>
    <row r="2502" spans="5:8" x14ac:dyDescent="0.25">
      <c r="E2502" t="str">
        <f>""</f>
        <v/>
      </c>
      <c r="F2502" t="str">
        <f>""</f>
        <v/>
      </c>
      <c r="H2502" t="str">
        <f t="shared" si="38"/>
        <v>GUARDIAN</v>
      </c>
    </row>
    <row r="2503" spans="5:8" x14ac:dyDescent="0.25">
      <c r="E2503" t="str">
        <f>""</f>
        <v/>
      </c>
      <c r="F2503" t="str">
        <f>""</f>
        <v/>
      </c>
      <c r="H2503" t="str">
        <f t="shared" si="38"/>
        <v>GUARDIAN</v>
      </c>
    </row>
    <row r="2504" spans="5:8" x14ac:dyDescent="0.25">
      <c r="E2504" t="str">
        <f>""</f>
        <v/>
      </c>
      <c r="F2504" t="str">
        <f>""</f>
        <v/>
      </c>
      <c r="H2504" t="str">
        <f t="shared" si="38"/>
        <v>GUARDIAN</v>
      </c>
    </row>
    <row r="2505" spans="5:8" x14ac:dyDescent="0.25">
      <c r="E2505" t="str">
        <f>""</f>
        <v/>
      </c>
      <c r="F2505" t="str">
        <f>""</f>
        <v/>
      </c>
      <c r="H2505" t="str">
        <f t="shared" si="38"/>
        <v>GUARDIAN</v>
      </c>
    </row>
    <row r="2506" spans="5:8" x14ac:dyDescent="0.25">
      <c r="E2506" t="str">
        <f>""</f>
        <v/>
      </c>
      <c r="F2506" t="str">
        <f>""</f>
        <v/>
      </c>
      <c r="H2506" t="str">
        <f t="shared" si="38"/>
        <v>GUARDIAN</v>
      </c>
    </row>
    <row r="2507" spans="5:8" x14ac:dyDescent="0.25">
      <c r="E2507" t="str">
        <f>""</f>
        <v/>
      </c>
      <c r="F2507" t="str">
        <f>""</f>
        <v/>
      </c>
      <c r="H2507" t="str">
        <f t="shared" si="38"/>
        <v>GUARDIAN</v>
      </c>
    </row>
    <row r="2508" spans="5:8" x14ac:dyDescent="0.25">
      <c r="E2508" t="str">
        <f>""</f>
        <v/>
      </c>
      <c r="F2508" t="str">
        <f>""</f>
        <v/>
      </c>
      <c r="H2508" t="str">
        <f t="shared" ref="H2508:H2539" si="39">"GUARDIAN"</f>
        <v>GUARDIAN</v>
      </c>
    </row>
    <row r="2509" spans="5:8" x14ac:dyDescent="0.25">
      <c r="E2509" t="str">
        <f>""</f>
        <v/>
      </c>
      <c r="F2509" t="str">
        <f>""</f>
        <v/>
      </c>
      <c r="H2509" t="str">
        <f t="shared" si="39"/>
        <v>GUARDIAN</v>
      </c>
    </row>
    <row r="2510" spans="5:8" x14ac:dyDescent="0.25">
      <c r="E2510" t="str">
        <f>""</f>
        <v/>
      </c>
      <c r="F2510" t="str">
        <f>""</f>
        <v/>
      </c>
      <c r="H2510" t="str">
        <f t="shared" si="39"/>
        <v>GUARDIAN</v>
      </c>
    </row>
    <row r="2511" spans="5:8" x14ac:dyDescent="0.25">
      <c r="E2511" t="str">
        <f>""</f>
        <v/>
      </c>
      <c r="F2511" t="str">
        <f>""</f>
        <v/>
      </c>
      <c r="H2511" t="str">
        <f t="shared" si="39"/>
        <v>GUARDIAN</v>
      </c>
    </row>
    <row r="2512" spans="5:8" x14ac:dyDescent="0.25">
      <c r="E2512" t="str">
        <f>""</f>
        <v/>
      </c>
      <c r="F2512" t="str">
        <f>""</f>
        <v/>
      </c>
      <c r="H2512" t="str">
        <f t="shared" si="39"/>
        <v>GUARDIAN</v>
      </c>
    </row>
    <row r="2513" spans="5:8" x14ac:dyDescent="0.25">
      <c r="E2513" t="str">
        <f>""</f>
        <v/>
      </c>
      <c r="F2513" t="str">
        <f>""</f>
        <v/>
      </c>
      <c r="H2513" t="str">
        <f t="shared" si="39"/>
        <v>GUARDIAN</v>
      </c>
    </row>
    <row r="2514" spans="5:8" x14ac:dyDescent="0.25">
      <c r="E2514" t="str">
        <f>""</f>
        <v/>
      </c>
      <c r="F2514" t="str">
        <f>""</f>
        <v/>
      </c>
      <c r="H2514" t="str">
        <f t="shared" si="39"/>
        <v>GUARDIAN</v>
      </c>
    </row>
    <row r="2515" spans="5:8" x14ac:dyDescent="0.25">
      <c r="E2515" t="str">
        <f>""</f>
        <v/>
      </c>
      <c r="F2515" t="str">
        <f>""</f>
        <v/>
      </c>
      <c r="H2515" t="str">
        <f t="shared" si="39"/>
        <v>GUARDIAN</v>
      </c>
    </row>
    <row r="2516" spans="5:8" x14ac:dyDescent="0.25">
      <c r="E2516" t="str">
        <f>""</f>
        <v/>
      </c>
      <c r="F2516" t="str">
        <f>""</f>
        <v/>
      </c>
      <c r="H2516" t="str">
        <f t="shared" si="39"/>
        <v>GUARDIAN</v>
      </c>
    </row>
    <row r="2517" spans="5:8" x14ac:dyDescent="0.25">
      <c r="E2517" t="str">
        <f>""</f>
        <v/>
      </c>
      <c r="F2517" t="str">
        <f>""</f>
        <v/>
      </c>
      <c r="H2517" t="str">
        <f t="shared" si="39"/>
        <v>GUARDIAN</v>
      </c>
    </row>
    <row r="2518" spans="5:8" x14ac:dyDescent="0.25">
      <c r="E2518" t="str">
        <f>""</f>
        <v/>
      </c>
      <c r="F2518" t="str">
        <f>""</f>
        <v/>
      </c>
      <c r="H2518" t="str">
        <f t="shared" si="39"/>
        <v>GUARDIAN</v>
      </c>
    </row>
    <row r="2519" spans="5:8" x14ac:dyDescent="0.25">
      <c r="E2519" t="str">
        <f>""</f>
        <v/>
      </c>
      <c r="F2519" t="str">
        <f>""</f>
        <v/>
      </c>
      <c r="H2519" t="str">
        <f t="shared" si="39"/>
        <v>GUARDIAN</v>
      </c>
    </row>
    <row r="2520" spans="5:8" x14ac:dyDescent="0.25">
      <c r="E2520" t="str">
        <f>""</f>
        <v/>
      </c>
      <c r="F2520" t="str">
        <f>""</f>
        <v/>
      </c>
      <c r="H2520" t="str">
        <f t="shared" si="39"/>
        <v>GUARDIAN</v>
      </c>
    </row>
    <row r="2521" spans="5:8" x14ac:dyDescent="0.25">
      <c r="E2521" t="str">
        <f>""</f>
        <v/>
      </c>
      <c r="F2521" t="str">
        <f>""</f>
        <v/>
      </c>
      <c r="H2521" t="str">
        <f t="shared" si="39"/>
        <v>GUARDIAN</v>
      </c>
    </row>
    <row r="2522" spans="5:8" x14ac:dyDescent="0.25">
      <c r="E2522" t="str">
        <f>""</f>
        <v/>
      </c>
      <c r="F2522" t="str">
        <f>""</f>
        <v/>
      </c>
      <c r="H2522" t="str">
        <f t="shared" si="39"/>
        <v>GUARDIAN</v>
      </c>
    </row>
    <row r="2523" spans="5:8" x14ac:dyDescent="0.25">
      <c r="E2523" t="str">
        <f>""</f>
        <v/>
      </c>
      <c r="F2523" t="str">
        <f>""</f>
        <v/>
      </c>
      <c r="H2523" t="str">
        <f t="shared" si="39"/>
        <v>GUARDIAN</v>
      </c>
    </row>
    <row r="2524" spans="5:8" x14ac:dyDescent="0.25">
      <c r="E2524" t="str">
        <f>""</f>
        <v/>
      </c>
      <c r="F2524" t="str">
        <f>""</f>
        <v/>
      </c>
      <c r="H2524" t="str">
        <f t="shared" si="39"/>
        <v>GUARDIAN</v>
      </c>
    </row>
    <row r="2525" spans="5:8" x14ac:dyDescent="0.25">
      <c r="E2525" t="str">
        <f>""</f>
        <v/>
      </c>
      <c r="F2525" t="str">
        <f>""</f>
        <v/>
      </c>
      <c r="H2525" t="str">
        <f t="shared" si="39"/>
        <v>GUARDIAN</v>
      </c>
    </row>
    <row r="2526" spans="5:8" x14ac:dyDescent="0.25">
      <c r="E2526" t="str">
        <f>""</f>
        <v/>
      </c>
      <c r="F2526" t="str">
        <f>""</f>
        <v/>
      </c>
      <c r="H2526" t="str">
        <f t="shared" si="39"/>
        <v>GUARDIAN</v>
      </c>
    </row>
    <row r="2527" spans="5:8" x14ac:dyDescent="0.25">
      <c r="E2527" t="str">
        <f>""</f>
        <v/>
      </c>
      <c r="F2527" t="str">
        <f>""</f>
        <v/>
      </c>
      <c r="H2527" t="str">
        <f t="shared" si="39"/>
        <v>GUARDIAN</v>
      </c>
    </row>
    <row r="2528" spans="5:8" x14ac:dyDescent="0.25">
      <c r="E2528" t="str">
        <f>""</f>
        <v/>
      </c>
      <c r="F2528" t="str">
        <f>""</f>
        <v/>
      </c>
      <c r="H2528" t="str">
        <f t="shared" si="39"/>
        <v>GUARDIAN</v>
      </c>
    </row>
    <row r="2529" spans="5:8" x14ac:dyDescent="0.25">
      <c r="E2529" t="str">
        <f>""</f>
        <v/>
      </c>
      <c r="F2529" t="str">
        <f>""</f>
        <v/>
      </c>
      <c r="H2529" t="str">
        <f t="shared" si="39"/>
        <v>GUARDIAN</v>
      </c>
    </row>
    <row r="2530" spans="5:8" x14ac:dyDescent="0.25">
      <c r="E2530" t="str">
        <f>""</f>
        <v/>
      </c>
      <c r="F2530" t="str">
        <f>""</f>
        <v/>
      </c>
      <c r="H2530" t="str">
        <f t="shared" si="39"/>
        <v>GUARDIAN</v>
      </c>
    </row>
    <row r="2531" spans="5:8" x14ac:dyDescent="0.25">
      <c r="E2531" t="str">
        <f>""</f>
        <v/>
      </c>
      <c r="F2531" t="str">
        <f>""</f>
        <v/>
      </c>
      <c r="H2531" t="str">
        <f t="shared" si="39"/>
        <v>GUARDIAN</v>
      </c>
    </row>
    <row r="2532" spans="5:8" x14ac:dyDescent="0.25">
      <c r="E2532" t="str">
        <f>""</f>
        <v/>
      </c>
      <c r="F2532" t="str">
        <f>""</f>
        <v/>
      </c>
      <c r="H2532" t="str">
        <f t="shared" si="39"/>
        <v>GUARDIAN</v>
      </c>
    </row>
    <row r="2533" spans="5:8" x14ac:dyDescent="0.25">
      <c r="E2533" t="str">
        <f>""</f>
        <v/>
      </c>
      <c r="F2533" t="str">
        <f>""</f>
        <v/>
      </c>
      <c r="H2533" t="str">
        <f t="shared" si="39"/>
        <v>GUARDIAN</v>
      </c>
    </row>
    <row r="2534" spans="5:8" x14ac:dyDescent="0.25">
      <c r="E2534" t="str">
        <f>""</f>
        <v/>
      </c>
      <c r="F2534" t="str">
        <f>""</f>
        <v/>
      </c>
      <c r="H2534" t="str">
        <f t="shared" si="39"/>
        <v>GUARDIAN</v>
      </c>
    </row>
    <row r="2535" spans="5:8" x14ac:dyDescent="0.25">
      <c r="E2535" t="str">
        <f>""</f>
        <v/>
      </c>
      <c r="F2535" t="str">
        <f>""</f>
        <v/>
      </c>
      <c r="H2535" t="str">
        <f t="shared" si="39"/>
        <v>GUARDIAN</v>
      </c>
    </row>
    <row r="2536" spans="5:8" x14ac:dyDescent="0.25">
      <c r="E2536" t="str">
        <f>""</f>
        <v/>
      </c>
      <c r="F2536" t="str">
        <f>""</f>
        <v/>
      </c>
      <c r="H2536" t="str">
        <f t="shared" si="39"/>
        <v>GUARDIAN</v>
      </c>
    </row>
    <row r="2537" spans="5:8" x14ac:dyDescent="0.25">
      <c r="E2537" t="str">
        <f>""</f>
        <v/>
      </c>
      <c r="F2537" t="str">
        <f>""</f>
        <v/>
      </c>
      <c r="H2537" t="str">
        <f t="shared" si="39"/>
        <v>GUARDIAN</v>
      </c>
    </row>
    <row r="2538" spans="5:8" x14ac:dyDescent="0.25">
      <c r="E2538" t="str">
        <f>""</f>
        <v/>
      </c>
      <c r="F2538" t="str">
        <f>""</f>
        <v/>
      </c>
      <c r="H2538" t="str">
        <f t="shared" si="39"/>
        <v>GUARDIAN</v>
      </c>
    </row>
    <row r="2539" spans="5:8" x14ac:dyDescent="0.25">
      <c r="E2539" t="str">
        <f>""</f>
        <v/>
      </c>
      <c r="F2539" t="str">
        <f>""</f>
        <v/>
      </c>
      <c r="H2539" t="str">
        <f t="shared" si="39"/>
        <v>GUARDIAN</v>
      </c>
    </row>
    <row r="2540" spans="5:8" x14ac:dyDescent="0.25">
      <c r="E2540" t="str">
        <f>"LIE202012220866"</f>
        <v>LIE202012220866</v>
      </c>
      <c r="F2540" t="str">
        <f>"GUARDIAN"</f>
        <v>GUARDIAN</v>
      </c>
      <c r="G2540" s="3">
        <v>94.25</v>
      </c>
      <c r="H2540" t="str">
        <f t="shared" ref="H2540:H2551" si="40">"GUARDIAN"</f>
        <v>GUARDIAN</v>
      </c>
    </row>
    <row r="2541" spans="5:8" x14ac:dyDescent="0.25">
      <c r="E2541" t="str">
        <f>""</f>
        <v/>
      </c>
      <c r="F2541" t="str">
        <f>""</f>
        <v/>
      </c>
      <c r="H2541" t="str">
        <f t="shared" si="40"/>
        <v>GUARDIAN</v>
      </c>
    </row>
    <row r="2542" spans="5:8" x14ac:dyDescent="0.25">
      <c r="E2542" t="str">
        <f>"LIS202012090689"</f>
        <v>LIS202012090689</v>
      </c>
      <c r="F2542" t="str">
        <f t="shared" ref="F2542:F2551" si="41">"GUARDIAN"</f>
        <v>GUARDIAN</v>
      </c>
      <c r="G2542" s="3">
        <v>511.4</v>
      </c>
      <c r="H2542" t="str">
        <f t="shared" si="40"/>
        <v>GUARDIAN</v>
      </c>
    </row>
    <row r="2543" spans="5:8" x14ac:dyDescent="0.25">
      <c r="E2543" t="str">
        <f>"LIS202012090690"</f>
        <v>LIS202012090690</v>
      </c>
      <c r="F2543" t="str">
        <f t="shared" si="41"/>
        <v>GUARDIAN</v>
      </c>
      <c r="G2543" s="3">
        <v>36.15</v>
      </c>
      <c r="H2543" t="str">
        <f t="shared" si="40"/>
        <v>GUARDIAN</v>
      </c>
    </row>
    <row r="2544" spans="5:8" x14ac:dyDescent="0.25">
      <c r="E2544" t="str">
        <f>"LIS202012220865"</f>
        <v>LIS202012220865</v>
      </c>
      <c r="F2544" t="str">
        <f t="shared" si="41"/>
        <v>GUARDIAN</v>
      </c>
      <c r="G2544" s="3">
        <v>511.4</v>
      </c>
      <c r="H2544" t="str">
        <f t="shared" si="40"/>
        <v>GUARDIAN</v>
      </c>
    </row>
    <row r="2545" spans="1:8" x14ac:dyDescent="0.25">
      <c r="E2545" t="str">
        <f>"LIS202012220866"</f>
        <v>LIS202012220866</v>
      </c>
      <c r="F2545" t="str">
        <f t="shared" si="41"/>
        <v>GUARDIAN</v>
      </c>
      <c r="G2545" s="3">
        <v>36.15</v>
      </c>
      <c r="H2545" t="str">
        <f t="shared" si="40"/>
        <v>GUARDIAN</v>
      </c>
    </row>
    <row r="2546" spans="1:8" x14ac:dyDescent="0.25">
      <c r="E2546" t="str">
        <f>"LTD202012090689"</f>
        <v>LTD202012090689</v>
      </c>
      <c r="F2546" t="str">
        <f t="shared" si="41"/>
        <v>GUARDIAN</v>
      </c>
      <c r="G2546" s="3">
        <v>999.32</v>
      </c>
      <c r="H2546" t="str">
        <f t="shared" si="40"/>
        <v>GUARDIAN</v>
      </c>
    </row>
    <row r="2547" spans="1:8" x14ac:dyDescent="0.25">
      <c r="E2547" t="str">
        <f>"LTD202012220865"</f>
        <v>LTD202012220865</v>
      </c>
      <c r="F2547" t="str">
        <f t="shared" si="41"/>
        <v>GUARDIAN</v>
      </c>
      <c r="G2547" s="3">
        <v>999.32</v>
      </c>
      <c r="H2547" t="str">
        <f t="shared" si="40"/>
        <v>GUARDIAN</v>
      </c>
    </row>
    <row r="2548" spans="1:8" x14ac:dyDescent="0.25">
      <c r="A2548" t="s">
        <v>408</v>
      </c>
      <c r="B2548">
        <v>829</v>
      </c>
      <c r="C2548" s="3">
        <v>98.36</v>
      </c>
      <c r="D2548" s="5">
        <v>44193</v>
      </c>
      <c r="E2548" t="str">
        <f>"AEG202012090689"</f>
        <v>AEG202012090689</v>
      </c>
      <c r="F2548" t="str">
        <f t="shared" si="41"/>
        <v>GUARDIAN</v>
      </c>
      <c r="G2548" s="3">
        <v>6.66</v>
      </c>
      <c r="H2548" t="str">
        <f t="shared" si="40"/>
        <v>GUARDIAN</v>
      </c>
    </row>
    <row r="2549" spans="1:8" x14ac:dyDescent="0.25">
      <c r="E2549" t="str">
        <f>"AEG202012220865"</f>
        <v>AEG202012220865</v>
      </c>
      <c r="F2549" t="str">
        <f t="shared" si="41"/>
        <v>GUARDIAN</v>
      </c>
      <c r="G2549" s="3">
        <v>6.66</v>
      </c>
      <c r="H2549" t="str">
        <f t="shared" si="40"/>
        <v>GUARDIAN</v>
      </c>
    </row>
    <row r="2550" spans="1:8" x14ac:dyDescent="0.25">
      <c r="E2550" t="str">
        <f>"AFG202012090689"</f>
        <v>AFG202012090689</v>
      </c>
      <c r="F2550" t="str">
        <f t="shared" si="41"/>
        <v>GUARDIAN</v>
      </c>
      <c r="G2550" s="3">
        <v>42.52</v>
      </c>
      <c r="H2550" t="str">
        <f t="shared" si="40"/>
        <v>GUARDIAN</v>
      </c>
    </row>
    <row r="2551" spans="1:8" x14ac:dyDescent="0.25">
      <c r="E2551" t="str">
        <f>"AFG202012220865"</f>
        <v>AFG202012220865</v>
      </c>
      <c r="F2551" t="str">
        <f t="shared" si="41"/>
        <v>GUARDIAN</v>
      </c>
      <c r="G2551" s="3">
        <v>42.52</v>
      </c>
      <c r="H2551" t="str">
        <f t="shared" si="40"/>
        <v>GUARDIAN</v>
      </c>
    </row>
    <row r="2552" spans="1:8" x14ac:dyDescent="0.25">
      <c r="A2552" t="s">
        <v>409</v>
      </c>
      <c r="B2552">
        <v>830</v>
      </c>
      <c r="C2552" s="3">
        <v>535.82000000000005</v>
      </c>
      <c r="D2552" s="5">
        <v>44193</v>
      </c>
      <c r="E2552" t="str">
        <f>"LIX202012090689"</f>
        <v>LIX202012090689</v>
      </c>
      <c r="F2552" t="str">
        <f>"TEXAS LIFE/OLIVO GROUP"</f>
        <v>TEXAS LIFE/OLIVO GROUP</v>
      </c>
      <c r="G2552" s="3">
        <v>267.91000000000003</v>
      </c>
      <c r="H2552" t="str">
        <f>"TEXAS LIFE/OLIVO GROUP"</f>
        <v>TEXAS LIFE/OLIVO GROUP</v>
      </c>
    </row>
    <row r="2553" spans="1:8" x14ac:dyDescent="0.25">
      <c r="E2553" t="str">
        <f>"LIX202012220865"</f>
        <v>LIX202012220865</v>
      </c>
      <c r="F2553" t="str">
        <f>"TEXAS LIFE/OLIVO GROUP"</f>
        <v>TEXAS LIFE/OLIVO GROUP</v>
      </c>
      <c r="G2553" s="3">
        <v>267.91000000000003</v>
      </c>
      <c r="H2553" t="str">
        <f>"TEXAS LIFE/OLIVO GROUP"</f>
        <v>TEXAS LIFE/OLIVO GROUP</v>
      </c>
    </row>
    <row r="2554" spans="1:8" x14ac:dyDescent="0.25">
      <c r="A2554" t="s">
        <v>410</v>
      </c>
      <c r="B2554">
        <v>831</v>
      </c>
      <c r="C2554" s="3">
        <v>4635.33</v>
      </c>
      <c r="D2554" s="5">
        <v>44193</v>
      </c>
      <c r="E2554" t="str">
        <f>"202012280917"</f>
        <v>202012280917</v>
      </c>
      <c r="F2554" t="str">
        <f>"ALLSTATE-AMERICAN HERITAGE LIF"</f>
        <v>ALLSTATE-AMERICAN HERITAGE LIF</v>
      </c>
      <c r="G2554" s="3">
        <v>0.03</v>
      </c>
      <c r="H2554" t="str">
        <f>"ALLSTATE-AMERICAN HERITAGE LIF"</f>
        <v>ALLSTATE-AMERICAN HERITAGE LIF</v>
      </c>
    </row>
    <row r="2555" spans="1:8" x14ac:dyDescent="0.25">
      <c r="E2555" t="str">
        <f>"AS 202012090689"</f>
        <v>AS 202012090689</v>
      </c>
      <c r="F2555" t="str">
        <f t="shared" ref="F2555:F2568" si="42">"ALLSTATE"</f>
        <v>ALLSTATE</v>
      </c>
      <c r="G2555" s="3">
        <v>433.66</v>
      </c>
      <c r="H2555" t="str">
        <f t="shared" ref="H2555:H2568" si="43">"ALLSTATE"</f>
        <v>ALLSTATE</v>
      </c>
    </row>
    <row r="2556" spans="1:8" x14ac:dyDescent="0.25">
      <c r="E2556" t="str">
        <f>"AS 202012090690"</f>
        <v>AS 202012090690</v>
      </c>
      <c r="F2556" t="str">
        <f t="shared" si="42"/>
        <v>ALLSTATE</v>
      </c>
      <c r="G2556" s="3">
        <v>27.14</v>
      </c>
      <c r="H2556" t="str">
        <f t="shared" si="43"/>
        <v>ALLSTATE</v>
      </c>
    </row>
    <row r="2557" spans="1:8" x14ac:dyDescent="0.25">
      <c r="E2557" t="str">
        <f>"AS 202012220865"</f>
        <v>AS 202012220865</v>
      </c>
      <c r="F2557" t="str">
        <f t="shared" si="42"/>
        <v>ALLSTATE</v>
      </c>
      <c r="G2557" s="3">
        <v>433.66</v>
      </c>
      <c r="H2557" t="str">
        <f t="shared" si="43"/>
        <v>ALLSTATE</v>
      </c>
    </row>
    <row r="2558" spans="1:8" x14ac:dyDescent="0.25">
      <c r="E2558" t="str">
        <f>"AS 202012220866"</f>
        <v>AS 202012220866</v>
      </c>
      <c r="F2558" t="str">
        <f t="shared" si="42"/>
        <v>ALLSTATE</v>
      </c>
      <c r="G2558" s="3">
        <v>27.14</v>
      </c>
      <c r="H2558" t="str">
        <f t="shared" si="43"/>
        <v>ALLSTATE</v>
      </c>
    </row>
    <row r="2559" spans="1:8" x14ac:dyDescent="0.25">
      <c r="E2559" t="str">
        <f>"ASD202012090689"</f>
        <v>ASD202012090689</v>
      </c>
      <c r="F2559" t="str">
        <f t="shared" si="42"/>
        <v>ALLSTATE</v>
      </c>
      <c r="G2559" s="3">
        <v>170.21</v>
      </c>
      <c r="H2559" t="str">
        <f t="shared" si="43"/>
        <v>ALLSTATE</v>
      </c>
    </row>
    <row r="2560" spans="1:8" x14ac:dyDescent="0.25">
      <c r="E2560" t="str">
        <f>"ASD202012220865"</f>
        <v>ASD202012220865</v>
      </c>
      <c r="F2560" t="str">
        <f t="shared" si="42"/>
        <v>ALLSTATE</v>
      </c>
      <c r="G2560" s="3">
        <v>170.21</v>
      </c>
      <c r="H2560" t="str">
        <f t="shared" si="43"/>
        <v>ALLSTATE</v>
      </c>
    </row>
    <row r="2561" spans="1:8" x14ac:dyDescent="0.25">
      <c r="E2561" t="str">
        <f>"ASI202012090689"</f>
        <v>ASI202012090689</v>
      </c>
      <c r="F2561" t="str">
        <f t="shared" si="42"/>
        <v>ALLSTATE</v>
      </c>
      <c r="G2561" s="3">
        <v>557.19000000000005</v>
      </c>
      <c r="H2561" t="str">
        <f t="shared" si="43"/>
        <v>ALLSTATE</v>
      </c>
    </row>
    <row r="2562" spans="1:8" x14ac:dyDescent="0.25">
      <c r="E2562" t="str">
        <f>"ASI202012090690"</f>
        <v>ASI202012090690</v>
      </c>
      <c r="F2562" t="str">
        <f t="shared" si="42"/>
        <v>ALLSTATE</v>
      </c>
      <c r="G2562" s="3">
        <v>67.150000000000006</v>
      </c>
      <c r="H2562" t="str">
        <f t="shared" si="43"/>
        <v>ALLSTATE</v>
      </c>
    </row>
    <row r="2563" spans="1:8" x14ac:dyDescent="0.25">
      <c r="E2563" t="str">
        <f>"ASI202012220865"</f>
        <v>ASI202012220865</v>
      </c>
      <c r="F2563" t="str">
        <f t="shared" si="42"/>
        <v>ALLSTATE</v>
      </c>
      <c r="G2563" s="3">
        <v>557.19000000000005</v>
      </c>
      <c r="H2563" t="str">
        <f t="shared" si="43"/>
        <v>ALLSTATE</v>
      </c>
    </row>
    <row r="2564" spans="1:8" x14ac:dyDescent="0.25">
      <c r="E2564" t="str">
        <f>"ASI202012220866"</f>
        <v>ASI202012220866</v>
      </c>
      <c r="F2564" t="str">
        <f t="shared" si="42"/>
        <v>ALLSTATE</v>
      </c>
      <c r="G2564" s="3">
        <v>67.150000000000006</v>
      </c>
      <c r="H2564" t="str">
        <f t="shared" si="43"/>
        <v>ALLSTATE</v>
      </c>
    </row>
    <row r="2565" spans="1:8" x14ac:dyDescent="0.25">
      <c r="E2565" t="str">
        <f>"AST202012090689"</f>
        <v>AST202012090689</v>
      </c>
      <c r="F2565" t="str">
        <f t="shared" si="42"/>
        <v>ALLSTATE</v>
      </c>
      <c r="G2565" s="3">
        <v>1030.8900000000001</v>
      </c>
      <c r="H2565" t="str">
        <f t="shared" si="43"/>
        <v>ALLSTATE</v>
      </c>
    </row>
    <row r="2566" spans="1:8" x14ac:dyDescent="0.25">
      <c r="E2566" t="str">
        <f>"AST202012090690"</f>
        <v>AST202012090690</v>
      </c>
      <c r="F2566" t="str">
        <f t="shared" si="42"/>
        <v>ALLSTATE</v>
      </c>
      <c r="G2566" s="3">
        <v>31.41</v>
      </c>
      <c r="H2566" t="str">
        <f t="shared" si="43"/>
        <v>ALLSTATE</v>
      </c>
    </row>
    <row r="2567" spans="1:8" x14ac:dyDescent="0.25">
      <c r="E2567" t="str">
        <f>"AST202012220865"</f>
        <v>AST202012220865</v>
      </c>
      <c r="F2567" t="str">
        <f t="shared" si="42"/>
        <v>ALLSTATE</v>
      </c>
      <c r="G2567" s="3">
        <v>1030.8900000000001</v>
      </c>
      <c r="H2567" t="str">
        <f t="shared" si="43"/>
        <v>ALLSTATE</v>
      </c>
    </row>
    <row r="2568" spans="1:8" x14ac:dyDescent="0.25">
      <c r="E2568" t="str">
        <f>"AST202012220866"</f>
        <v>AST202012220866</v>
      </c>
      <c r="F2568" t="str">
        <f t="shared" si="42"/>
        <v>ALLSTATE</v>
      </c>
      <c r="G2568" s="3">
        <v>31.41</v>
      </c>
      <c r="H2568" t="str">
        <f t="shared" si="43"/>
        <v>ALLSTATE</v>
      </c>
    </row>
    <row r="2569" spans="1:8" x14ac:dyDescent="0.25">
      <c r="A2569" t="s">
        <v>411</v>
      </c>
      <c r="B2569">
        <v>832</v>
      </c>
      <c r="C2569" s="3">
        <v>4697.08</v>
      </c>
      <c r="D2569" s="5">
        <v>44193</v>
      </c>
      <c r="E2569" t="str">
        <f>"202012280918"</f>
        <v>202012280918</v>
      </c>
      <c r="F2569" t="str">
        <f>"COLONIAL LIFE &amp; ACCIDENT INS."</f>
        <v>COLONIAL LIFE &amp; ACCIDENT INS.</v>
      </c>
      <c r="G2569" s="3">
        <v>-0.44</v>
      </c>
      <c r="H2569" t="str">
        <f>"COLONIAL LIFE &amp; ACCIDENT INS."</f>
        <v>COLONIAL LIFE &amp; ACCIDENT INS.</v>
      </c>
    </row>
    <row r="2570" spans="1:8" x14ac:dyDescent="0.25">
      <c r="E2570" t="str">
        <f>"202012280919"</f>
        <v>202012280919</v>
      </c>
      <c r="F2570" t="str">
        <f>"COLONIAL LIFE &amp; ACCIDENT INS."</f>
        <v>COLONIAL LIFE &amp; ACCIDENT INS.</v>
      </c>
      <c r="G2570" s="3">
        <v>-1.1200000000000001</v>
      </c>
      <c r="H2570" t="str">
        <f>"COLONIAL LIFE &amp; ACCIDENT INS."</f>
        <v>COLONIAL LIFE &amp; ACCIDENT INS.</v>
      </c>
    </row>
    <row r="2571" spans="1:8" x14ac:dyDescent="0.25">
      <c r="E2571" t="str">
        <f>"CL 202012090689"</f>
        <v>CL 202012090689</v>
      </c>
      <c r="F2571" t="str">
        <f t="shared" ref="F2571:F2590" si="44">"COLONIAL"</f>
        <v>COLONIAL</v>
      </c>
      <c r="G2571" s="3">
        <v>559.57000000000005</v>
      </c>
      <c r="H2571" t="str">
        <f t="shared" ref="H2571:H2590" si="45">"COLONIAL"</f>
        <v>COLONIAL</v>
      </c>
    </row>
    <row r="2572" spans="1:8" x14ac:dyDescent="0.25">
      <c r="E2572" t="str">
        <f>"CL 202012090690"</f>
        <v>CL 202012090690</v>
      </c>
      <c r="F2572" t="str">
        <f t="shared" si="44"/>
        <v>COLONIAL</v>
      </c>
      <c r="G2572" s="3">
        <v>14.49</v>
      </c>
      <c r="H2572" t="str">
        <f t="shared" si="45"/>
        <v>COLONIAL</v>
      </c>
    </row>
    <row r="2573" spans="1:8" x14ac:dyDescent="0.25">
      <c r="E2573" t="str">
        <f>"CL 202012220865"</f>
        <v>CL 202012220865</v>
      </c>
      <c r="F2573" t="str">
        <f t="shared" si="44"/>
        <v>COLONIAL</v>
      </c>
      <c r="G2573" s="3">
        <v>559.57000000000005</v>
      </c>
      <c r="H2573" t="str">
        <f t="shared" si="45"/>
        <v>COLONIAL</v>
      </c>
    </row>
    <row r="2574" spans="1:8" x14ac:dyDescent="0.25">
      <c r="E2574" t="str">
        <f>"CL 202012220866"</f>
        <v>CL 202012220866</v>
      </c>
      <c r="F2574" t="str">
        <f t="shared" si="44"/>
        <v>COLONIAL</v>
      </c>
      <c r="G2574" s="3">
        <v>14.49</v>
      </c>
      <c r="H2574" t="str">
        <f t="shared" si="45"/>
        <v>COLONIAL</v>
      </c>
    </row>
    <row r="2575" spans="1:8" x14ac:dyDescent="0.25">
      <c r="E2575" t="str">
        <f>"CLC202012090689"</f>
        <v>CLC202012090689</v>
      </c>
      <c r="F2575" t="str">
        <f t="shared" si="44"/>
        <v>COLONIAL</v>
      </c>
      <c r="G2575" s="3">
        <v>33.99</v>
      </c>
      <c r="H2575" t="str">
        <f t="shared" si="45"/>
        <v>COLONIAL</v>
      </c>
    </row>
    <row r="2576" spans="1:8" x14ac:dyDescent="0.25">
      <c r="E2576" t="str">
        <f>"CLC202012220865"</f>
        <v>CLC202012220865</v>
      </c>
      <c r="F2576" t="str">
        <f t="shared" si="44"/>
        <v>COLONIAL</v>
      </c>
      <c r="G2576" s="3">
        <v>33.99</v>
      </c>
      <c r="H2576" t="str">
        <f t="shared" si="45"/>
        <v>COLONIAL</v>
      </c>
    </row>
    <row r="2577" spans="1:8" x14ac:dyDescent="0.25">
      <c r="E2577" t="str">
        <f>"CLI202012090689"</f>
        <v>CLI202012090689</v>
      </c>
      <c r="F2577" t="str">
        <f t="shared" si="44"/>
        <v>COLONIAL</v>
      </c>
      <c r="G2577" s="3">
        <v>534.04</v>
      </c>
      <c r="H2577" t="str">
        <f t="shared" si="45"/>
        <v>COLONIAL</v>
      </c>
    </row>
    <row r="2578" spans="1:8" x14ac:dyDescent="0.25">
      <c r="E2578" t="str">
        <f>"CLI202012220865"</f>
        <v>CLI202012220865</v>
      </c>
      <c r="F2578" t="str">
        <f t="shared" si="44"/>
        <v>COLONIAL</v>
      </c>
      <c r="G2578" s="3">
        <v>534.04</v>
      </c>
      <c r="H2578" t="str">
        <f t="shared" si="45"/>
        <v>COLONIAL</v>
      </c>
    </row>
    <row r="2579" spans="1:8" x14ac:dyDescent="0.25">
      <c r="E2579" t="str">
        <f>"CLK202012090689"</f>
        <v>CLK202012090689</v>
      </c>
      <c r="F2579" t="str">
        <f t="shared" si="44"/>
        <v>COLONIAL</v>
      </c>
      <c r="G2579" s="3">
        <v>27.09</v>
      </c>
      <c r="H2579" t="str">
        <f t="shared" si="45"/>
        <v>COLONIAL</v>
      </c>
    </row>
    <row r="2580" spans="1:8" x14ac:dyDescent="0.25">
      <c r="E2580" t="str">
        <f>"CLK202012220865"</f>
        <v>CLK202012220865</v>
      </c>
      <c r="F2580" t="str">
        <f t="shared" si="44"/>
        <v>COLONIAL</v>
      </c>
      <c r="G2580" s="3">
        <v>27.09</v>
      </c>
      <c r="H2580" t="str">
        <f t="shared" si="45"/>
        <v>COLONIAL</v>
      </c>
    </row>
    <row r="2581" spans="1:8" x14ac:dyDescent="0.25">
      <c r="E2581" t="str">
        <f>"CLS202012090689"</f>
        <v>CLS202012090689</v>
      </c>
      <c r="F2581" t="str">
        <f t="shared" si="44"/>
        <v>COLONIAL</v>
      </c>
      <c r="G2581" s="3">
        <v>350.78</v>
      </c>
      <c r="H2581" t="str">
        <f t="shared" si="45"/>
        <v>COLONIAL</v>
      </c>
    </row>
    <row r="2582" spans="1:8" x14ac:dyDescent="0.25">
      <c r="E2582" t="str">
        <f>"CLS202012090690"</f>
        <v>CLS202012090690</v>
      </c>
      <c r="F2582" t="str">
        <f t="shared" si="44"/>
        <v>COLONIAL</v>
      </c>
      <c r="G2582" s="3">
        <v>15.73</v>
      </c>
      <c r="H2582" t="str">
        <f t="shared" si="45"/>
        <v>COLONIAL</v>
      </c>
    </row>
    <row r="2583" spans="1:8" x14ac:dyDescent="0.25">
      <c r="E2583" t="str">
        <f>"CLS202012220865"</f>
        <v>CLS202012220865</v>
      </c>
      <c r="F2583" t="str">
        <f t="shared" si="44"/>
        <v>COLONIAL</v>
      </c>
      <c r="G2583" s="3">
        <v>350.78</v>
      </c>
      <c r="H2583" t="str">
        <f t="shared" si="45"/>
        <v>COLONIAL</v>
      </c>
    </row>
    <row r="2584" spans="1:8" x14ac:dyDescent="0.25">
      <c r="E2584" t="str">
        <f>"CLS202012220866"</f>
        <v>CLS202012220866</v>
      </c>
      <c r="F2584" t="str">
        <f t="shared" si="44"/>
        <v>COLONIAL</v>
      </c>
      <c r="G2584" s="3">
        <v>15.73</v>
      </c>
      <c r="H2584" t="str">
        <f t="shared" si="45"/>
        <v>COLONIAL</v>
      </c>
    </row>
    <row r="2585" spans="1:8" x14ac:dyDescent="0.25">
      <c r="E2585" t="str">
        <f>"CLT202012090689"</f>
        <v>CLT202012090689</v>
      </c>
      <c r="F2585" t="str">
        <f t="shared" si="44"/>
        <v>COLONIAL</v>
      </c>
      <c r="G2585" s="3">
        <v>394.28</v>
      </c>
      <c r="H2585" t="str">
        <f t="shared" si="45"/>
        <v>COLONIAL</v>
      </c>
    </row>
    <row r="2586" spans="1:8" x14ac:dyDescent="0.25">
      <c r="E2586" t="str">
        <f>"CLT202012220865"</f>
        <v>CLT202012220865</v>
      </c>
      <c r="F2586" t="str">
        <f t="shared" si="44"/>
        <v>COLONIAL</v>
      </c>
      <c r="G2586" s="3">
        <v>392.28</v>
      </c>
      <c r="H2586" t="str">
        <f t="shared" si="45"/>
        <v>COLONIAL</v>
      </c>
    </row>
    <row r="2587" spans="1:8" x14ac:dyDescent="0.25">
      <c r="E2587" t="str">
        <f>"CLU202012090689"</f>
        <v>CLU202012090689</v>
      </c>
      <c r="F2587" t="str">
        <f t="shared" si="44"/>
        <v>COLONIAL</v>
      </c>
      <c r="G2587" s="3">
        <v>111.55</v>
      </c>
      <c r="H2587" t="str">
        <f t="shared" si="45"/>
        <v>COLONIAL</v>
      </c>
    </row>
    <row r="2588" spans="1:8" x14ac:dyDescent="0.25">
      <c r="E2588" t="str">
        <f>"CLU202012220865"</f>
        <v>CLU202012220865</v>
      </c>
      <c r="F2588" t="str">
        <f t="shared" si="44"/>
        <v>COLONIAL</v>
      </c>
      <c r="G2588" s="3">
        <v>111.55</v>
      </c>
      <c r="H2588" t="str">
        <f t="shared" si="45"/>
        <v>COLONIAL</v>
      </c>
    </row>
    <row r="2589" spans="1:8" x14ac:dyDescent="0.25">
      <c r="E2589" t="str">
        <f>"CLW202012090689"</f>
        <v>CLW202012090689</v>
      </c>
      <c r="F2589" t="str">
        <f t="shared" si="44"/>
        <v>COLONIAL</v>
      </c>
      <c r="G2589" s="3">
        <v>308.8</v>
      </c>
      <c r="H2589" t="str">
        <f t="shared" si="45"/>
        <v>COLONIAL</v>
      </c>
    </row>
    <row r="2590" spans="1:8" x14ac:dyDescent="0.25">
      <c r="E2590" t="str">
        <f>"CLW202012220865"</f>
        <v>CLW202012220865</v>
      </c>
      <c r="F2590" t="str">
        <f t="shared" si="44"/>
        <v>COLONIAL</v>
      </c>
      <c r="G2590" s="3">
        <v>308.8</v>
      </c>
      <c r="H2590" t="str">
        <f t="shared" si="45"/>
        <v>COLONIAL</v>
      </c>
    </row>
    <row r="2591" spans="1:8" x14ac:dyDescent="0.25">
      <c r="A2591" t="s">
        <v>412</v>
      </c>
      <c r="B2591">
        <v>48242</v>
      </c>
      <c r="C2591" s="3">
        <v>1532</v>
      </c>
      <c r="D2591" s="5">
        <v>44193</v>
      </c>
      <c r="E2591" t="str">
        <f>"LEG202012090689"</f>
        <v>LEG202012090689</v>
      </c>
      <c r="F2591" t="str">
        <f>"TEXAS LEGAL PROTECTION PLAN"</f>
        <v>TEXAS LEGAL PROTECTION PLAN</v>
      </c>
      <c r="G2591" s="3">
        <v>270</v>
      </c>
      <c r="H2591" t="str">
        <f>"TEXAS LEGAL PROTECTION PLAN"</f>
        <v>TEXAS LEGAL PROTECTION PLAN</v>
      </c>
    </row>
    <row r="2592" spans="1:8" x14ac:dyDescent="0.25">
      <c r="E2592" t="str">
        <f>"LEG202012220865"</f>
        <v>LEG202012220865</v>
      </c>
      <c r="F2592" t="str">
        <f>"TEXAS LEGAL PROTECTION PLAN"</f>
        <v>TEXAS LEGAL PROTECTION PLAN</v>
      </c>
      <c r="G2592" s="3">
        <v>270</v>
      </c>
      <c r="H2592" t="str">
        <f>"TEXAS LEGAL PROTECTION PLAN"</f>
        <v>TEXAS LEGAL PROTECTION PLAN</v>
      </c>
    </row>
    <row r="2593" spans="1:8" x14ac:dyDescent="0.25">
      <c r="E2593" t="str">
        <f>"LGF202012090689"</f>
        <v>LGF202012090689</v>
      </c>
      <c r="F2593" t="str">
        <f>"TEXAS LEGAL PROTECTION PLAN"</f>
        <v>TEXAS LEGAL PROTECTION PLAN</v>
      </c>
      <c r="G2593" s="3">
        <v>496</v>
      </c>
      <c r="H2593" t="str">
        <f>"TEXAS LEGAL PROTECTION PLAN"</f>
        <v>TEXAS LEGAL PROTECTION PLAN</v>
      </c>
    </row>
    <row r="2594" spans="1:8" x14ac:dyDescent="0.25">
      <c r="E2594" t="str">
        <f>"LGF202012220865"</f>
        <v>LGF202012220865</v>
      </c>
      <c r="F2594" t="str">
        <f>"TEXAS LEGAL PROTECTION PLAN"</f>
        <v>TEXAS LEGAL PROTECTION PLAN</v>
      </c>
      <c r="G2594" s="3">
        <v>496</v>
      </c>
      <c r="H2594" t="str">
        <f>"TEXAS LEGAL PROTECTION PLAN"</f>
        <v>TEXAS LEGAL PROTECTION PLAN</v>
      </c>
    </row>
    <row r="2595" spans="1:8" x14ac:dyDescent="0.25">
      <c r="A2595" t="s">
        <v>413</v>
      </c>
      <c r="B2595">
        <v>48243</v>
      </c>
      <c r="C2595" s="3">
        <v>371043.52</v>
      </c>
      <c r="D2595" s="5">
        <v>44193</v>
      </c>
      <c r="E2595" t="str">
        <f>"202012280915"</f>
        <v>202012280915</v>
      </c>
      <c r="F2595" t="str">
        <f>"Retiree Dec 2020"</f>
        <v>Retiree Dec 2020</v>
      </c>
      <c r="G2595" s="3">
        <v>15296.38</v>
      </c>
      <c r="H2595" t="str">
        <f>"TAC HEALTH BENEFITS POOL"</f>
        <v>TAC HEALTH BENEFITS POOL</v>
      </c>
    </row>
    <row r="2596" spans="1:8" x14ac:dyDescent="0.25">
      <c r="E2596" t="str">
        <f>"2EC202012090689"</f>
        <v>2EC202012090689</v>
      </c>
      <c r="F2596" t="str">
        <f>"BCBS PAYABLE"</f>
        <v>BCBS PAYABLE</v>
      </c>
      <c r="G2596" s="3">
        <v>50008.46</v>
      </c>
      <c r="H2596" t="str">
        <f t="shared" ref="H2596:H2659" si="46">"BCBS PAYABLE"</f>
        <v>BCBS PAYABLE</v>
      </c>
    </row>
    <row r="2597" spans="1:8" x14ac:dyDescent="0.25">
      <c r="E2597" t="str">
        <f>""</f>
        <v/>
      </c>
      <c r="F2597" t="str">
        <f>""</f>
        <v/>
      </c>
      <c r="H2597" t="str">
        <f t="shared" si="46"/>
        <v>BCBS PAYABLE</v>
      </c>
    </row>
    <row r="2598" spans="1:8" x14ac:dyDescent="0.25">
      <c r="E2598" t="str">
        <f>""</f>
        <v/>
      </c>
      <c r="F2598" t="str">
        <f>""</f>
        <v/>
      </c>
      <c r="H2598" t="str">
        <f t="shared" si="46"/>
        <v>BCBS PAYABLE</v>
      </c>
    </row>
    <row r="2599" spans="1:8" x14ac:dyDescent="0.25">
      <c r="E2599" t="str">
        <f>""</f>
        <v/>
      </c>
      <c r="F2599" t="str">
        <f>""</f>
        <v/>
      </c>
      <c r="H2599" t="str">
        <f t="shared" si="46"/>
        <v>BCBS PAYABLE</v>
      </c>
    </row>
    <row r="2600" spans="1:8" x14ac:dyDescent="0.25">
      <c r="E2600" t="str">
        <f>""</f>
        <v/>
      </c>
      <c r="F2600" t="str">
        <f>""</f>
        <v/>
      </c>
      <c r="H2600" t="str">
        <f t="shared" si="46"/>
        <v>BCBS PAYABLE</v>
      </c>
    </row>
    <row r="2601" spans="1:8" x14ac:dyDescent="0.25">
      <c r="E2601" t="str">
        <f>""</f>
        <v/>
      </c>
      <c r="F2601" t="str">
        <f>""</f>
        <v/>
      </c>
      <c r="H2601" t="str">
        <f t="shared" si="46"/>
        <v>BCBS PAYABLE</v>
      </c>
    </row>
    <row r="2602" spans="1:8" x14ac:dyDescent="0.25">
      <c r="E2602" t="str">
        <f>""</f>
        <v/>
      </c>
      <c r="F2602" t="str">
        <f>""</f>
        <v/>
      </c>
      <c r="H2602" t="str">
        <f t="shared" si="46"/>
        <v>BCBS PAYABLE</v>
      </c>
    </row>
    <row r="2603" spans="1:8" x14ac:dyDescent="0.25">
      <c r="E2603" t="str">
        <f>""</f>
        <v/>
      </c>
      <c r="F2603" t="str">
        <f>""</f>
        <v/>
      </c>
      <c r="H2603" t="str">
        <f t="shared" si="46"/>
        <v>BCBS PAYABLE</v>
      </c>
    </row>
    <row r="2604" spans="1:8" x14ac:dyDescent="0.25">
      <c r="E2604" t="str">
        <f>""</f>
        <v/>
      </c>
      <c r="F2604" t="str">
        <f>""</f>
        <v/>
      </c>
      <c r="H2604" t="str">
        <f t="shared" si="46"/>
        <v>BCBS PAYABLE</v>
      </c>
    </row>
    <row r="2605" spans="1:8" x14ac:dyDescent="0.25">
      <c r="E2605" t="str">
        <f>""</f>
        <v/>
      </c>
      <c r="F2605" t="str">
        <f>""</f>
        <v/>
      </c>
      <c r="H2605" t="str">
        <f t="shared" si="46"/>
        <v>BCBS PAYABLE</v>
      </c>
    </row>
    <row r="2606" spans="1:8" x14ac:dyDescent="0.25">
      <c r="E2606" t="str">
        <f>""</f>
        <v/>
      </c>
      <c r="F2606" t="str">
        <f>""</f>
        <v/>
      </c>
      <c r="H2606" t="str">
        <f t="shared" si="46"/>
        <v>BCBS PAYABLE</v>
      </c>
    </row>
    <row r="2607" spans="1:8" x14ac:dyDescent="0.25">
      <c r="E2607" t="str">
        <f>""</f>
        <v/>
      </c>
      <c r="F2607" t="str">
        <f>""</f>
        <v/>
      </c>
      <c r="H2607" t="str">
        <f t="shared" si="46"/>
        <v>BCBS PAYABLE</v>
      </c>
    </row>
    <row r="2608" spans="1:8" x14ac:dyDescent="0.25">
      <c r="E2608" t="str">
        <f>""</f>
        <v/>
      </c>
      <c r="F2608" t="str">
        <f>""</f>
        <v/>
      </c>
      <c r="H2608" t="str">
        <f t="shared" si="46"/>
        <v>BCBS PAYABLE</v>
      </c>
    </row>
    <row r="2609" spans="5:8" x14ac:dyDescent="0.25">
      <c r="E2609" t="str">
        <f>""</f>
        <v/>
      </c>
      <c r="F2609" t="str">
        <f>""</f>
        <v/>
      </c>
      <c r="H2609" t="str">
        <f t="shared" si="46"/>
        <v>BCBS PAYABLE</v>
      </c>
    </row>
    <row r="2610" spans="5:8" x14ac:dyDescent="0.25">
      <c r="E2610" t="str">
        <f>""</f>
        <v/>
      </c>
      <c r="F2610" t="str">
        <f>""</f>
        <v/>
      </c>
      <c r="H2610" t="str">
        <f t="shared" si="46"/>
        <v>BCBS PAYABLE</v>
      </c>
    </row>
    <row r="2611" spans="5:8" x14ac:dyDescent="0.25">
      <c r="E2611" t="str">
        <f>""</f>
        <v/>
      </c>
      <c r="F2611" t="str">
        <f>""</f>
        <v/>
      </c>
      <c r="H2611" t="str">
        <f t="shared" si="46"/>
        <v>BCBS PAYABLE</v>
      </c>
    </row>
    <row r="2612" spans="5:8" x14ac:dyDescent="0.25">
      <c r="E2612" t="str">
        <f>""</f>
        <v/>
      </c>
      <c r="F2612" t="str">
        <f>""</f>
        <v/>
      </c>
      <c r="H2612" t="str">
        <f t="shared" si="46"/>
        <v>BCBS PAYABLE</v>
      </c>
    </row>
    <row r="2613" spans="5:8" x14ac:dyDescent="0.25">
      <c r="E2613" t="str">
        <f>""</f>
        <v/>
      </c>
      <c r="F2613" t="str">
        <f>""</f>
        <v/>
      </c>
      <c r="H2613" t="str">
        <f t="shared" si="46"/>
        <v>BCBS PAYABLE</v>
      </c>
    </row>
    <row r="2614" spans="5:8" x14ac:dyDescent="0.25">
      <c r="E2614" t="str">
        <f>""</f>
        <v/>
      </c>
      <c r="F2614" t="str">
        <f>""</f>
        <v/>
      </c>
      <c r="H2614" t="str">
        <f t="shared" si="46"/>
        <v>BCBS PAYABLE</v>
      </c>
    </row>
    <row r="2615" spans="5:8" x14ac:dyDescent="0.25">
      <c r="E2615" t="str">
        <f>""</f>
        <v/>
      </c>
      <c r="F2615" t="str">
        <f>""</f>
        <v/>
      </c>
      <c r="H2615" t="str">
        <f t="shared" si="46"/>
        <v>BCBS PAYABLE</v>
      </c>
    </row>
    <row r="2616" spans="5:8" x14ac:dyDescent="0.25">
      <c r="E2616" t="str">
        <f>""</f>
        <v/>
      </c>
      <c r="F2616" t="str">
        <f>""</f>
        <v/>
      </c>
      <c r="H2616" t="str">
        <f t="shared" si="46"/>
        <v>BCBS PAYABLE</v>
      </c>
    </row>
    <row r="2617" spans="5:8" x14ac:dyDescent="0.25">
      <c r="E2617" t="str">
        <f>""</f>
        <v/>
      </c>
      <c r="F2617" t="str">
        <f>""</f>
        <v/>
      </c>
      <c r="H2617" t="str">
        <f t="shared" si="46"/>
        <v>BCBS PAYABLE</v>
      </c>
    </row>
    <row r="2618" spans="5:8" x14ac:dyDescent="0.25">
      <c r="E2618" t="str">
        <f>""</f>
        <v/>
      </c>
      <c r="F2618" t="str">
        <f>""</f>
        <v/>
      </c>
      <c r="H2618" t="str">
        <f t="shared" si="46"/>
        <v>BCBS PAYABLE</v>
      </c>
    </row>
    <row r="2619" spans="5:8" x14ac:dyDescent="0.25">
      <c r="E2619" t="str">
        <f>""</f>
        <v/>
      </c>
      <c r="F2619" t="str">
        <f>""</f>
        <v/>
      </c>
      <c r="H2619" t="str">
        <f t="shared" si="46"/>
        <v>BCBS PAYABLE</v>
      </c>
    </row>
    <row r="2620" spans="5:8" x14ac:dyDescent="0.25">
      <c r="E2620" t="str">
        <f>""</f>
        <v/>
      </c>
      <c r="F2620" t="str">
        <f>""</f>
        <v/>
      </c>
      <c r="H2620" t="str">
        <f t="shared" si="46"/>
        <v>BCBS PAYABLE</v>
      </c>
    </row>
    <row r="2621" spans="5:8" x14ac:dyDescent="0.25">
      <c r="E2621" t="str">
        <f>""</f>
        <v/>
      </c>
      <c r="F2621" t="str">
        <f>""</f>
        <v/>
      </c>
      <c r="H2621" t="str">
        <f t="shared" si="46"/>
        <v>BCBS PAYABLE</v>
      </c>
    </row>
    <row r="2622" spans="5:8" x14ac:dyDescent="0.25">
      <c r="E2622" t="str">
        <f>""</f>
        <v/>
      </c>
      <c r="F2622" t="str">
        <f>""</f>
        <v/>
      </c>
      <c r="H2622" t="str">
        <f t="shared" si="46"/>
        <v>BCBS PAYABLE</v>
      </c>
    </row>
    <row r="2623" spans="5:8" x14ac:dyDescent="0.25">
      <c r="E2623" t="str">
        <f>""</f>
        <v/>
      </c>
      <c r="F2623" t="str">
        <f>""</f>
        <v/>
      </c>
      <c r="H2623" t="str">
        <f t="shared" si="46"/>
        <v>BCBS PAYABLE</v>
      </c>
    </row>
    <row r="2624" spans="5:8" x14ac:dyDescent="0.25">
      <c r="E2624" t="str">
        <f>""</f>
        <v/>
      </c>
      <c r="F2624" t="str">
        <f>""</f>
        <v/>
      </c>
      <c r="H2624" t="str">
        <f t="shared" si="46"/>
        <v>BCBS PAYABLE</v>
      </c>
    </row>
    <row r="2625" spans="5:8" x14ac:dyDescent="0.25">
      <c r="E2625" t="str">
        <f>""</f>
        <v/>
      </c>
      <c r="F2625" t="str">
        <f>""</f>
        <v/>
      </c>
      <c r="H2625" t="str">
        <f t="shared" si="46"/>
        <v>BCBS PAYABLE</v>
      </c>
    </row>
    <row r="2626" spans="5:8" x14ac:dyDescent="0.25">
      <c r="E2626" t="str">
        <f>""</f>
        <v/>
      </c>
      <c r="F2626" t="str">
        <f>""</f>
        <v/>
      </c>
      <c r="H2626" t="str">
        <f t="shared" si="46"/>
        <v>BCBS PAYABLE</v>
      </c>
    </row>
    <row r="2627" spans="5:8" x14ac:dyDescent="0.25">
      <c r="E2627" t="str">
        <f>"2EC202012090690"</f>
        <v>2EC202012090690</v>
      </c>
      <c r="F2627" t="str">
        <f>"BCBS PAYABLE"</f>
        <v>BCBS PAYABLE</v>
      </c>
      <c r="G2627" s="3">
        <v>2818.56</v>
      </c>
      <c r="H2627" t="str">
        <f t="shared" si="46"/>
        <v>BCBS PAYABLE</v>
      </c>
    </row>
    <row r="2628" spans="5:8" x14ac:dyDescent="0.25">
      <c r="E2628" t="str">
        <f>""</f>
        <v/>
      </c>
      <c r="F2628" t="str">
        <f>""</f>
        <v/>
      </c>
      <c r="H2628" t="str">
        <f t="shared" si="46"/>
        <v>BCBS PAYABLE</v>
      </c>
    </row>
    <row r="2629" spans="5:8" x14ac:dyDescent="0.25">
      <c r="E2629" t="str">
        <f>"2EC202012220865"</f>
        <v>2EC202012220865</v>
      </c>
      <c r="F2629" t="str">
        <f>"BCBS PAYABLE"</f>
        <v>BCBS PAYABLE</v>
      </c>
      <c r="G2629" s="3">
        <v>50264.32</v>
      </c>
      <c r="H2629" t="str">
        <f t="shared" si="46"/>
        <v>BCBS PAYABLE</v>
      </c>
    </row>
    <row r="2630" spans="5:8" x14ac:dyDescent="0.25">
      <c r="E2630" t="str">
        <f>""</f>
        <v/>
      </c>
      <c r="F2630" t="str">
        <f>""</f>
        <v/>
      </c>
      <c r="H2630" t="str">
        <f t="shared" si="46"/>
        <v>BCBS PAYABLE</v>
      </c>
    </row>
    <row r="2631" spans="5:8" x14ac:dyDescent="0.25">
      <c r="E2631" t="str">
        <f>""</f>
        <v/>
      </c>
      <c r="F2631" t="str">
        <f>""</f>
        <v/>
      </c>
      <c r="H2631" t="str">
        <f t="shared" si="46"/>
        <v>BCBS PAYABLE</v>
      </c>
    </row>
    <row r="2632" spans="5:8" x14ac:dyDescent="0.25">
      <c r="E2632" t="str">
        <f>""</f>
        <v/>
      </c>
      <c r="F2632" t="str">
        <f>""</f>
        <v/>
      </c>
      <c r="H2632" t="str">
        <f t="shared" si="46"/>
        <v>BCBS PAYABLE</v>
      </c>
    </row>
    <row r="2633" spans="5:8" x14ac:dyDescent="0.25">
      <c r="E2633" t="str">
        <f>""</f>
        <v/>
      </c>
      <c r="F2633" t="str">
        <f>""</f>
        <v/>
      </c>
      <c r="H2633" t="str">
        <f t="shared" si="46"/>
        <v>BCBS PAYABLE</v>
      </c>
    </row>
    <row r="2634" spans="5:8" x14ac:dyDescent="0.25">
      <c r="E2634" t="str">
        <f>""</f>
        <v/>
      </c>
      <c r="F2634" t="str">
        <f>""</f>
        <v/>
      </c>
      <c r="H2634" t="str">
        <f t="shared" si="46"/>
        <v>BCBS PAYABLE</v>
      </c>
    </row>
    <row r="2635" spans="5:8" x14ac:dyDescent="0.25">
      <c r="E2635" t="str">
        <f>""</f>
        <v/>
      </c>
      <c r="F2635" t="str">
        <f>""</f>
        <v/>
      </c>
      <c r="H2635" t="str">
        <f t="shared" si="46"/>
        <v>BCBS PAYABLE</v>
      </c>
    </row>
    <row r="2636" spans="5:8" x14ac:dyDescent="0.25">
      <c r="E2636" t="str">
        <f>""</f>
        <v/>
      </c>
      <c r="F2636" t="str">
        <f>""</f>
        <v/>
      </c>
      <c r="H2636" t="str">
        <f t="shared" si="46"/>
        <v>BCBS PAYABLE</v>
      </c>
    </row>
    <row r="2637" spans="5:8" x14ac:dyDescent="0.25">
      <c r="E2637" t="str">
        <f>""</f>
        <v/>
      </c>
      <c r="F2637" t="str">
        <f>""</f>
        <v/>
      </c>
      <c r="H2637" t="str">
        <f t="shared" si="46"/>
        <v>BCBS PAYABLE</v>
      </c>
    </row>
    <row r="2638" spans="5:8" x14ac:dyDescent="0.25">
      <c r="E2638" t="str">
        <f>""</f>
        <v/>
      </c>
      <c r="F2638" t="str">
        <f>""</f>
        <v/>
      </c>
      <c r="H2638" t="str">
        <f t="shared" si="46"/>
        <v>BCBS PAYABLE</v>
      </c>
    </row>
    <row r="2639" spans="5:8" x14ac:dyDescent="0.25">
      <c r="E2639" t="str">
        <f>""</f>
        <v/>
      </c>
      <c r="F2639" t="str">
        <f>""</f>
        <v/>
      </c>
      <c r="H2639" t="str">
        <f t="shared" si="46"/>
        <v>BCBS PAYABLE</v>
      </c>
    </row>
    <row r="2640" spans="5:8" x14ac:dyDescent="0.25">
      <c r="E2640" t="str">
        <f>""</f>
        <v/>
      </c>
      <c r="F2640" t="str">
        <f>""</f>
        <v/>
      </c>
      <c r="H2640" t="str">
        <f t="shared" si="46"/>
        <v>BCBS PAYABLE</v>
      </c>
    </row>
    <row r="2641" spans="5:8" x14ac:dyDescent="0.25">
      <c r="E2641" t="str">
        <f>""</f>
        <v/>
      </c>
      <c r="F2641" t="str">
        <f>""</f>
        <v/>
      </c>
      <c r="H2641" t="str">
        <f t="shared" si="46"/>
        <v>BCBS PAYABLE</v>
      </c>
    </row>
    <row r="2642" spans="5:8" x14ac:dyDescent="0.25">
      <c r="E2642" t="str">
        <f>""</f>
        <v/>
      </c>
      <c r="F2642" t="str">
        <f>""</f>
        <v/>
      </c>
      <c r="H2642" t="str">
        <f t="shared" si="46"/>
        <v>BCBS PAYABLE</v>
      </c>
    </row>
    <row r="2643" spans="5:8" x14ac:dyDescent="0.25">
      <c r="E2643" t="str">
        <f>""</f>
        <v/>
      </c>
      <c r="F2643" t="str">
        <f>""</f>
        <v/>
      </c>
      <c r="H2643" t="str">
        <f t="shared" si="46"/>
        <v>BCBS PAYABLE</v>
      </c>
    </row>
    <row r="2644" spans="5:8" x14ac:dyDescent="0.25">
      <c r="E2644" t="str">
        <f>""</f>
        <v/>
      </c>
      <c r="F2644" t="str">
        <f>""</f>
        <v/>
      </c>
      <c r="H2644" t="str">
        <f t="shared" si="46"/>
        <v>BCBS PAYABLE</v>
      </c>
    </row>
    <row r="2645" spans="5:8" x14ac:dyDescent="0.25">
      <c r="E2645" t="str">
        <f>""</f>
        <v/>
      </c>
      <c r="F2645" t="str">
        <f>""</f>
        <v/>
      </c>
      <c r="H2645" t="str">
        <f t="shared" si="46"/>
        <v>BCBS PAYABLE</v>
      </c>
    </row>
    <row r="2646" spans="5:8" x14ac:dyDescent="0.25">
      <c r="E2646" t="str">
        <f>""</f>
        <v/>
      </c>
      <c r="F2646" t="str">
        <f>""</f>
        <v/>
      </c>
      <c r="H2646" t="str">
        <f t="shared" si="46"/>
        <v>BCBS PAYABLE</v>
      </c>
    </row>
    <row r="2647" spans="5:8" x14ac:dyDescent="0.25">
      <c r="E2647" t="str">
        <f>""</f>
        <v/>
      </c>
      <c r="F2647" t="str">
        <f>""</f>
        <v/>
      </c>
      <c r="H2647" t="str">
        <f t="shared" si="46"/>
        <v>BCBS PAYABLE</v>
      </c>
    </row>
    <row r="2648" spans="5:8" x14ac:dyDescent="0.25">
      <c r="E2648" t="str">
        <f>""</f>
        <v/>
      </c>
      <c r="F2648" t="str">
        <f>""</f>
        <v/>
      </c>
      <c r="H2648" t="str">
        <f t="shared" si="46"/>
        <v>BCBS PAYABLE</v>
      </c>
    </row>
    <row r="2649" spans="5:8" x14ac:dyDescent="0.25">
      <c r="E2649" t="str">
        <f>""</f>
        <v/>
      </c>
      <c r="F2649" t="str">
        <f>""</f>
        <v/>
      </c>
      <c r="H2649" t="str">
        <f t="shared" si="46"/>
        <v>BCBS PAYABLE</v>
      </c>
    </row>
    <row r="2650" spans="5:8" x14ac:dyDescent="0.25">
      <c r="E2650" t="str">
        <f>""</f>
        <v/>
      </c>
      <c r="F2650" t="str">
        <f>""</f>
        <v/>
      </c>
      <c r="H2650" t="str">
        <f t="shared" si="46"/>
        <v>BCBS PAYABLE</v>
      </c>
    </row>
    <row r="2651" spans="5:8" x14ac:dyDescent="0.25">
      <c r="E2651" t="str">
        <f>""</f>
        <v/>
      </c>
      <c r="F2651" t="str">
        <f>""</f>
        <v/>
      </c>
      <c r="H2651" t="str">
        <f t="shared" si="46"/>
        <v>BCBS PAYABLE</v>
      </c>
    </row>
    <row r="2652" spans="5:8" x14ac:dyDescent="0.25">
      <c r="E2652" t="str">
        <f>""</f>
        <v/>
      </c>
      <c r="F2652" t="str">
        <f>""</f>
        <v/>
      </c>
      <c r="H2652" t="str">
        <f t="shared" si="46"/>
        <v>BCBS PAYABLE</v>
      </c>
    </row>
    <row r="2653" spans="5:8" x14ac:dyDescent="0.25">
      <c r="E2653" t="str">
        <f>""</f>
        <v/>
      </c>
      <c r="F2653" t="str">
        <f>""</f>
        <v/>
      </c>
      <c r="H2653" t="str">
        <f t="shared" si="46"/>
        <v>BCBS PAYABLE</v>
      </c>
    </row>
    <row r="2654" spans="5:8" x14ac:dyDescent="0.25">
      <c r="E2654" t="str">
        <f>""</f>
        <v/>
      </c>
      <c r="F2654" t="str">
        <f>""</f>
        <v/>
      </c>
      <c r="H2654" t="str">
        <f t="shared" si="46"/>
        <v>BCBS PAYABLE</v>
      </c>
    </row>
    <row r="2655" spans="5:8" x14ac:dyDescent="0.25">
      <c r="E2655" t="str">
        <f>""</f>
        <v/>
      </c>
      <c r="F2655" t="str">
        <f>""</f>
        <v/>
      </c>
      <c r="H2655" t="str">
        <f t="shared" si="46"/>
        <v>BCBS PAYABLE</v>
      </c>
    </row>
    <row r="2656" spans="5:8" x14ac:dyDescent="0.25">
      <c r="E2656" t="str">
        <f>""</f>
        <v/>
      </c>
      <c r="F2656" t="str">
        <f>""</f>
        <v/>
      </c>
      <c r="H2656" t="str">
        <f t="shared" si="46"/>
        <v>BCBS PAYABLE</v>
      </c>
    </row>
    <row r="2657" spans="5:8" x14ac:dyDescent="0.25">
      <c r="E2657" t="str">
        <f>""</f>
        <v/>
      </c>
      <c r="F2657" t="str">
        <f>""</f>
        <v/>
      </c>
      <c r="H2657" t="str">
        <f t="shared" si="46"/>
        <v>BCBS PAYABLE</v>
      </c>
    </row>
    <row r="2658" spans="5:8" x14ac:dyDescent="0.25">
      <c r="E2658" t="str">
        <f>""</f>
        <v/>
      </c>
      <c r="F2658" t="str">
        <f>""</f>
        <v/>
      </c>
      <c r="H2658" t="str">
        <f t="shared" si="46"/>
        <v>BCBS PAYABLE</v>
      </c>
    </row>
    <row r="2659" spans="5:8" x14ac:dyDescent="0.25">
      <c r="E2659" t="str">
        <f>""</f>
        <v/>
      </c>
      <c r="F2659" t="str">
        <f>""</f>
        <v/>
      </c>
      <c r="H2659" t="str">
        <f t="shared" si="46"/>
        <v>BCBS PAYABLE</v>
      </c>
    </row>
    <row r="2660" spans="5:8" x14ac:dyDescent="0.25">
      <c r="E2660" t="str">
        <f>"2EC202012220866"</f>
        <v>2EC202012220866</v>
      </c>
      <c r="F2660" t="str">
        <f>"BCBS PAYABLE"</f>
        <v>BCBS PAYABLE</v>
      </c>
      <c r="G2660" s="3">
        <v>2818.56</v>
      </c>
      <c r="H2660" t="str">
        <f t="shared" ref="H2660:H2723" si="47">"BCBS PAYABLE"</f>
        <v>BCBS PAYABLE</v>
      </c>
    </row>
    <row r="2661" spans="5:8" x14ac:dyDescent="0.25">
      <c r="E2661" t="str">
        <f>""</f>
        <v/>
      </c>
      <c r="F2661" t="str">
        <f>""</f>
        <v/>
      </c>
      <c r="H2661" t="str">
        <f t="shared" si="47"/>
        <v>BCBS PAYABLE</v>
      </c>
    </row>
    <row r="2662" spans="5:8" x14ac:dyDescent="0.25">
      <c r="E2662" t="str">
        <f>"2EF202012090689"</f>
        <v>2EF202012090689</v>
      </c>
      <c r="F2662" t="str">
        <f>"BCBS PAYABLE"</f>
        <v>BCBS PAYABLE</v>
      </c>
      <c r="G2662" s="3">
        <v>933.27</v>
      </c>
      <c r="H2662" t="str">
        <f t="shared" si="47"/>
        <v>BCBS PAYABLE</v>
      </c>
    </row>
    <row r="2663" spans="5:8" x14ac:dyDescent="0.25">
      <c r="E2663" t="str">
        <f>""</f>
        <v/>
      </c>
      <c r="F2663" t="str">
        <f>""</f>
        <v/>
      </c>
      <c r="H2663" t="str">
        <f t="shared" si="47"/>
        <v>BCBS PAYABLE</v>
      </c>
    </row>
    <row r="2664" spans="5:8" x14ac:dyDescent="0.25">
      <c r="E2664" t="str">
        <f>""</f>
        <v/>
      </c>
      <c r="F2664" t="str">
        <f>""</f>
        <v/>
      </c>
      <c r="H2664" t="str">
        <f t="shared" si="47"/>
        <v>BCBS PAYABLE</v>
      </c>
    </row>
    <row r="2665" spans="5:8" x14ac:dyDescent="0.25">
      <c r="E2665" t="str">
        <f>"2EF202012220865"</f>
        <v>2EF202012220865</v>
      </c>
      <c r="F2665" t="str">
        <f>"BCBS PAYABLE"</f>
        <v>BCBS PAYABLE</v>
      </c>
      <c r="G2665" s="3">
        <v>933.27</v>
      </c>
      <c r="H2665" t="str">
        <f t="shared" si="47"/>
        <v>BCBS PAYABLE</v>
      </c>
    </row>
    <row r="2666" spans="5:8" x14ac:dyDescent="0.25">
      <c r="E2666" t="str">
        <f>""</f>
        <v/>
      </c>
      <c r="F2666" t="str">
        <f>""</f>
        <v/>
      </c>
      <c r="H2666" t="str">
        <f t="shared" si="47"/>
        <v>BCBS PAYABLE</v>
      </c>
    </row>
    <row r="2667" spans="5:8" x14ac:dyDescent="0.25">
      <c r="E2667" t="str">
        <f>""</f>
        <v/>
      </c>
      <c r="F2667" t="str">
        <f>""</f>
        <v/>
      </c>
      <c r="H2667" t="str">
        <f t="shared" si="47"/>
        <v>BCBS PAYABLE</v>
      </c>
    </row>
    <row r="2668" spans="5:8" x14ac:dyDescent="0.25">
      <c r="E2668" t="str">
        <f>"2EO202012090689"</f>
        <v>2EO202012090689</v>
      </c>
      <c r="F2668" t="str">
        <f>"BCBS PAYABLE"</f>
        <v>BCBS PAYABLE</v>
      </c>
      <c r="G2668" s="3">
        <v>104599.98</v>
      </c>
      <c r="H2668" t="str">
        <f t="shared" si="47"/>
        <v>BCBS PAYABLE</v>
      </c>
    </row>
    <row r="2669" spans="5:8" x14ac:dyDescent="0.25">
      <c r="E2669" t="str">
        <f>""</f>
        <v/>
      </c>
      <c r="F2669" t="str">
        <f>""</f>
        <v/>
      </c>
      <c r="H2669" t="str">
        <f t="shared" si="47"/>
        <v>BCBS PAYABLE</v>
      </c>
    </row>
    <row r="2670" spans="5:8" x14ac:dyDescent="0.25">
      <c r="E2670" t="str">
        <f>""</f>
        <v/>
      </c>
      <c r="F2670" t="str">
        <f>""</f>
        <v/>
      </c>
      <c r="H2670" t="str">
        <f t="shared" si="47"/>
        <v>BCBS PAYABLE</v>
      </c>
    </row>
    <row r="2671" spans="5:8" x14ac:dyDescent="0.25">
      <c r="E2671" t="str">
        <f>""</f>
        <v/>
      </c>
      <c r="F2671" t="str">
        <f>""</f>
        <v/>
      </c>
      <c r="H2671" t="str">
        <f t="shared" si="47"/>
        <v>BCBS PAYABLE</v>
      </c>
    </row>
    <row r="2672" spans="5:8" x14ac:dyDescent="0.25">
      <c r="E2672" t="str">
        <f>""</f>
        <v/>
      </c>
      <c r="F2672" t="str">
        <f>""</f>
        <v/>
      </c>
      <c r="H2672" t="str">
        <f t="shared" si="47"/>
        <v>BCBS PAYABLE</v>
      </c>
    </row>
    <row r="2673" spans="5:8" x14ac:dyDescent="0.25">
      <c r="E2673" t="str">
        <f>""</f>
        <v/>
      </c>
      <c r="F2673" t="str">
        <f>""</f>
        <v/>
      </c>
      <c r="H2673" t="str">
        <f t="shared" si="47"/>
        <v>BCBS PAYABLE</v>
      </c>
    </row>
    <row r="2674" spans="5:8" x14ac:dyDescent="0.25">
      <c r="E2674" t="str">
        <f>""</f>
        <v/>
      </c>
      <c r="F2674" t="str">
        <f>""</f>
        <v/>
      </c>
      <c r="H2674" t="str">
        <f t="shared" si="47"/>
        <v>BCBS PAYABLE</v>
      </c>
    </row>
    <row r="2675" spans="5:8" x14ac:dyDescent="0.25">
      <c r="E2675" t="str">
        <f>""</f>
        <v/>
      </c>
      <c r="F2675" t="str">
        <f>""</f>
        <v/>
      </c>
      <c r="H2675" t="str">
        <f t="shared" si="47"/>
        <v>BCBS PAYABLE</v>
      </c>
    </row>
    <row r="2676" spans="5:8" x14ac:dyDescent="0.25">
      <c r="E2676" t="str">
        <f>""</f>
        <v/>
      </c>
      <c r="F2676" t="str">
        <f>""</f>
        <v/>
      </c>
      <c r="H2676" t="str">
        <f t="shared" si="47"/>
        <v>BCBS PAYABLE</v>
      </c>
    </row>
    <row r="2677" spans="5:8" x14ac:dyDescent="0.25">
      <c r="E2677" t="str">
        <f>""</f>
        <v/>
      </c>
      <c r="F2677" t="str">
        <f>""</f>
        <v/>
      </c>
      <c r="H2677" t="str">
        <f t="shared" si="47"/>
        <v>BCBS PAYABLE</v>
      </c>
    </row>
    <row r="2678" spans="5:8" x14ac:dyDescent="0.25">
      <c r="E2678" t="str">
        <f>""</f>
        <v/>
      </c>
      <c r="F2678" t="str">
        <f>""</f>
        <v/>
      </c>
      <c r="H2678" t="str">
        <f t="shared" si="47"/>
        <v>BCBS PAYABLE</v>
      </c>
    </row>
    <row r="2679" spans="5:8" x14ac:dyDescent="0.25">
      <c r="E2679" t="str">
        <f>""</f>
        <v/>
      </c>
      <c r="F2679" t="str">
        <f>""</f>
        <v/>
      </c>
      <c r="H2679" t="str">
        <f t="shared" si="47"/>
        <v>BCBS PAYABLE</v>
      </c>
    </row>
    <row r="2680" spans="5:8" x14ac:dyDescent="0.25">
      <c r="E2680" t="str">
        <f>""</f>
        <v/>
      </c>
      <c r="F2680" t="str">
        <f>""</f>
        <v/>
      </c>
      <c r="H2680" t="str">
        <f t="shared" si="47"/>
        <v>BCBS PAYABLE</v>
      </c>
    </row>
    <row r="2681" spans="5:8" x14ac:dyDescent="0.25">
      <c r="E2681" t="str">
        <f>""</f>
        <v/>
      </c>
      <c r="F2681" t="str">
        <f>""</f>
        <v/>
      </c>
      <c r="H2681" t="str">
        <f t="shared" si="47"/>
        <v>BCBS PAYABLE</v>
      </c>
    </row>
    <row r="2682" spans="5:8" x14ac:dyDescent="0.25">
      <c r="E2682" t="str">
        <f>""</f>
        <v/>
      </c>
      <c r="F2682" t="str">
        <f>""</f>
        <v/>
      </c>
      <c r="H2682" t="str">
        <f t="shared" si="47"/>
        <v>BCBS PAYABLE</v>
      </c>
    </row>
    <row r="2683" spans="5:8" x14ac:dyDescent="0.25">
      <c r="E2683" t="str">
        <f>""</f>
        <v/>
      </c>
      <c r="F2683" t="str">
        <f>""</f>
        <v/>
      </c>
      <c r="H2683" t="str">
        <f t="shared" si="47"/>
        <v>BCBS PAYABLE</v>
      </c>
    </row>
    <row r="2684" spans="5:8" x14ac:dyDescent="0.25">
      <c r="E2684" t="str">
        <f>""</f>
        <v/>
      </c>
      <c r="F2684" t="str">
        <f>""</f>
        <v/>
      </c>
      <c r="H2684" t="str">
        <f t="shared" si="47"/>
        <v>BCBS PAYABLE</v>
      </c>
    </row>
    <row r="2685" spans="5:8" x14ac:dyDescent="0.25">
      <c r="E2685" t="str">
        <f>""</f>
        <v/>
      </c>
      <c r="F2685" t="str">
        <f>""</f>
        <v/>
      </c>
      <c r="H2685" t="str">
        <f t="shared" si="47"/>
        <v>BCBS PAYABLE</v>
      </c>
    </row>
    <row r="2686" spans="5:8" x14ac:dyDescent="0.25">
      <c r="E2686" t="str">
        <f>""</f>
        <v/>
      </c>
      <c r="F2686" t="str">
        <f>""</f>
        <v/>
      </c>
      <c r="H2686" t="str">
        <f t="shared" si="47"/>
        <v>BCBS PAYABLE</v>
      </c>
    </row>
    <row r="2687" spans="5:8" x14ac:dyDescent="0.25">
      <c r="E2687" t="str">
        <f>""</f>
        <v/>
      </c>
      <c r="F2687" t="str">
        <f>""</f>
        <v/>
      </c>
      <c r="H2687" t="str">
        <f t="shared" si="47"/>
        <v>BCBS PAYABLE</v>
      </c>
    </row>
    <row r="2688" spans="5:8" x14ac:dyDescent="0.25">
      <c r="E2688" t="str">
        <f>""</f>
        <v/>
      </c>
      <c r="F2688" t="str">
        <f>""</f>
        <v/>
      </c>
      <c r="H2688" t="str">
        <f t="shared" si="47"/>
        <v>BCBS PAYABLE</v>
      </c>
    </row>
    <row r="2689" spans="5:8" x14ac:dyDescent="0.25">
      <c r="E2689" t="str">
        <f>""</f>
        <v/>
      </c>
      <c r="F2689" t="str">
        <f>""</f>
        <v/>
      </c>
      <c r="H2689" t="str">
        <f t="shared" si="47"/>
        <v>BCBS PAYABLE</v>
      </c>
    </row>
    <row r="2690" spans="5:8" x14ac:dyDescent="0.25">
      <c r="E2690" t="str">
        <f>""</f>
        <v/>
      </c>
      <c r="F2690" t="str">
        <f>""</f>
        <v/>
      </c>
      <c r="H2690" t="str">
        <f t="shared" si="47"/>
        <v>BCBS PAYABLE</v>
      </c>
    </row>
    <row r="2691" spans="5:8" x14ac:dyDescent="0.25">
      <c r="E2691" t="str">
        <f>""</f>
        <v/>
      </c>
      <c r="F2691" t="str">
        <f>""</f>
        <v/>
      </c>
      <c r="H2691" t="str">
        <f t="shared" si="47"/>
        <v>BCBS PAYABLE</v>
      </c>
    </row>
    <row r="2692" spans="5:8" x14ac:dyDescent="0.25">
      <c r="E2692" t="str">
        <f>""</f>
        <v/>
      </c>
      <c r="F2692" t="str">
        <f>""</f>
        <v/>
      </c>
      <c r="H2692" t="str">
        <f t="shared" si="47"/>
        <v>BCBS PAYABLE</v>
      </c>
    </row>
    <row r="2693" spans="5:8" x14ac:dyDescent="0.25">
      <c r="E2693" t="str">
        <f>""</f>
        <v/>
      </c>
      <c r="F2693" t="str">
        <f>""</f>
        <v/>
      </c>
      <c r="H2693" t="str">
        <f t="shared" si="47"/>
        <v>BCBS PAYABLE</v>
      </c>
    </row>
    <row r="2694" spans="5:8" x14ac:dyDescent="0.25">
      <c r="E2694" t="str">
        <f>""</f>
        <v/>
      </c>
      <c r="F2694" t="str">
        <f>""</f>
        <v/>
      </c>
      <c r="H2694" t="str">
        <f t="shared" si="47"/>
        <v>BCBS PAYABLE</v>
      </c>
    </row>
    <row r="2695" spans="5:8" x14ac:dyDescent="0.25">
      <c r="E2695" t="str">
        <f>""</f>
        <v/>
      </c>
      <c r="F2695" t="str">
        <f>""</f>
        <v/>
      </c>
      <c r="H2695" t="str">
        <f t="shared" si="47"/>
        <v>BCBS PAYABLE</v>
      </c>
    </row>
    <row r="2696" spans="5:8" x14ac:dyDescent="0.25">
      <c r="E2696" t="str">
        <f>""</f>
        <v/>
      </c>
      <c r="F2696" t="str">
        <f>""</f>
        <v/>
      </c>
      <c r="H2696" t="str">
        <f t="shared" si="47"/>
        <v>BCBS PAYABLE</v>
      </c>
    </row>
    <row r="2697" spans="5:8" x14ac:dyDescent="0.25">
      <c r="E2697" t="str">
        <f>""</f>
        <v/>
      </c>
      <c r="F2697" t="str">
        <f>""</f>
        <v/>
      </c>
      <c r="H2697" t="str">
        <f t="shared" si="47"/>
        <v>BCBS PAYABLE</v>
      </c>
    </row>
    <row r="2698" spans="5:8" x14ac:dyDescent="0.25">
      <c r="E2698" t="str">
        <f>""</f>
        <v/>
      </c>
      <c r="F2698" t="str">
        <f>""</f>
        <v/>
      </c>
      <c r="H2698" t="str">
        <f t="shared" si="47"/>
        <v>BCBS PAYABLE</v>
      </c>
    </row>
    <row r="2699" spans="5:8" x14ac:dyDescent="0.25">
      <c r="E2699" t="str">
        <f>""</f>
        <v/>
      </c>
      <c r="F2699" t="str">
        <f>""</f>
        <v/>
      </c>
      <c r="H2699" t="str">
        <f t="shared" si="47"/>
        <v>BCBS PAYABLE</v>
      </c>
    </row>
    <row r="2700" spans="5:8" x14ac:dyDescent="0.25">
      <c r="E2700" t="str">
        <f>""</f>
        <v/>
      </c>
      <c r="F2700" t="str">
        <f>""</f>
        <v/>
      </c>
      <c r="H2700" t="str">
        <f t="shared" si="47"/>
        <v>BCBS PAYABLE</v>
      </c>
    </row>
    <row r="2701" spans="5:8" x14ac:dyDescent="0.25">
      <c r="E2701" t="str">
        <f>""</f>
        <v/>
      </c>
      <c r="F2701" t="str">
        <f>""</f>
        <v/>
      </c>
      <c r="H2701" t="str">
        <f t="shared" si="47"/>
        <v>BCBS PAYABLE</v>
      </c>
    </row>
    <row r="2702" spans="5:8" x14ac:dyDescent="0.25">
      <c r="E2702" t="str">
        <f>""</f>
        <v/>
      </c>
      <c r="F2702" t="str">
        <f>""</f>
        <v/>
      </c>
      <c r="H2702" t="str">
        <f t="shared" si="47"/>
        <v>BCBS PAYABLE</v>
      </c>
    </row>
    <row r="2703" spans="5:8" x14ac:dyDescent="0.25">
      <c r="E2703" t="str">
        <f>""</f>
        <v/>
      </c>
      <c r="F2703" t="str">
        <f>""</f>
        <v/>
      </c>
      <c r="H2703" t="str">
        <f t="shared" si="47"/>
        <v>BCBS PAYABLE</v>
      </c>
    </row>
    <row r="2704" spans="5:8" x14ac:dyDescent="0.25">
      <c r="E2704" t="str">
        <f>""</f>
        <v/>
      </c>
      <c r="F2704" t="str">
        <f>""</f>
        <v/>
      </c>
      <c r="H2704" t="str">
        <f t="shared" si="47"/>
        <v>BCBS PAYABLE</v>
      </c>
    </row>
    <row r="2705" spans="5:8" x14ac:dyDescent="0.25">
      <c r="E2705" t="str">
        <f>""</f>
        <v/>
      </c>
      <c r="F2705" t="str">
        <f>""</f>
        <v/>
      </c>
      <c r="H2705" t="str">
        <f t="shared" si="47"/>
        <v>BCBS PAYABLE</v>
      </c>
    </row>
    <row r="2706" spans="5:8" x14ac:dyDescent="0.25">
      <c r="E2706" t="str">
        <f>""</f>
        <v/>
      </c>
      <c r="F2706" t="str">
        <f>""</f>
        <v/>
      </c>
      <c r="H2706" t="str">
        <f t="shared" si="47"/>
        <v>BCBS PAYABLE</v>
      </c>
    </row>
    <row r="2707" spans="5:8" x14ac:dyDescent="0.25">
      <c r="E2707" t="str">
        <f>""</f>
        <v/>
      </c>
      <c r="F2707" t="str">
        <f>""</f>
        <v/>
      </c>
      <c r="H2707" t="str">
        <f t="shared" si="47"/>
        <v>BCBS PAYABLE</v>
      </c>
    </row>
    <row r="2708" spans="5:8" x14ac:dyDescent="0.25">
      <c r="E2708" t="str">
        <f>""</f>
        <v/>
      </c>
      <c r="F2708" t="str">
        <f>""</f>
        <v/>
      </c>
      <c r="H2708" t="str">
        <f t="shared" si="47"/>
        <v>BCBS PAYABLE</v>
      </c>
    </row>
    <row r="2709" spans="5:8" x14ac:dyDescent="0.25">
      <c r="E2709" t="str">
        <f>""</f>
        <v/>
      </c>
      <c r="F2709" t="str">
        <f>""</f>
        <v/>
      </c>
      <c r="H2709" t="str">
        <f t="shared" si="47"/>
        <v>BCBS PAYABLE</v>
      </c>
    </row>
    <row r="2710" spans="5:8" x14ac:dyDescent="0.25">
      <c r="E2710" t="str">
        <f>""</f>
        <v/>
      </c>
      <c r="F2710" t="str">
        <f>""</f>
        <v/>
      </c>
      <c r="H2710" t="str">
        <f t="shared" si="47"/>
        <v>BCBS PAYABLE</v>
      </c>
    </row>
    <row r="2711" spans="5:8" x14ac:dyDescent="0.25">
      <c r="E2711" t="str">
        <f>""</f>
        <v/>
      </c>
      <c r="F2711" t="str">
        <f>""</f>
        <v/>
      </c>
      <c r="H2711" t="str">
        <f t="shared" si="47"/>
        <v>BCBS PAYABLE</v>
      </c>
    </row>
    <row r="2712" spans="5:8" x14ac:dyDescent="0.25">
      <c r="E2712" t="str">
        <f>""</f>
        <v/>
      </c>
      <c r="F2712" t="str">
        <f>""</f>
        <v/>
      </c>
      <c r="H2712" t="str">
        <f t="shared" si="47"/>
        <v>BCBS PAYABLE</v>
      </c>
    </row>
    <row r="2713" spans="5:8" x14ac:dyDescent="0.25">
      <c r="E2713" t="str">
        <f>""</f>
        <v/>
      </c>
      <c r="F2713" t="str">
        <f>""</f>
        <v/>
      </c>
      <c r="H2713" t="str">
        <f t="shared" si="47"/>
        <v>BCBS PAYABLE</v>
      </c>
    </row>
    <row r="2714" spans="5:8" x14ac:dyDescent="0.25">
      <c r="E2714" t="str">
        <f>""</f>
        <v/>
      </c>
      <c r="F2714" t="str">
        <f>""</f>
        <v/>
      </c>
      <c r="H2714" t="str">
        <f t="shared" si="47"/>
        <v>BCBS PAYABLE</v>
      </c>
    </row>
    <row r="2715" spans="5:8" x14ac:dyDescent="0.25">
      <c r="E2715" t="str">
        <f>""</f>
        <v/>
      </c>
      <c r="F2715" t="str">
        <f>""</f>
        <v/>
      </c>
      <c r="H2715" t="str">
        <f t="shared" si="47"/>
        <v>BCBS PAYABLE</v>
      </c>
    </row>
    <row r="2716" spans="5:8" x14ac:dyDescent="0.25">
      <c r="E2716" t="str">
        <f>"2EO202012090690"</f>
        <v>2EO202012090690</v>
      </c>
      <c r="F2716" t="str">
        <f>"BCBS PAYABLE"</f>
        <v>BCBS PAYABLE</v>
      </c>
      <c r="G2716" s="3">
        <v>3076.47</v>
      </c>
      <c r="H2716" t="str">
        <f t="shared" si="47"/>
        <v>BCBS PAYABLE</v>
      </c>
    </row>
    <row r="2717" spans="5:8" x14ac:dyDescent="0.25">
      <c r="E2717" t="str">
        <f>"2EO202012220865"</f>
        <v>2EO202012220865</v>
      </c>
      <c r="F2717" t="str">
        <f>"BCBS PAYABLE"</f>
        <v>BCBS PAYABLE</v>
      </c>
      <c r="G2717" s="3">
        <v>104599.98</v>
      </c>
      <c r="H2717" t="str">
        <f t="shared" si="47"/>
        <v>BCBS PAYABLE</v>
      </c>
    </row>
    <row r="2718" spans="5:8" x14ac:dyDescent="0.25">
      <c r="E2718" t="str">
        <f>""</f>
        <v/>
      </c>
      <c r="F2718" t="str">
        <f>""</f>
        <v/>
      </c>
      <c r="H2718" t="str">
        <f t="shared" si="47"/>
        <v>BCBS PAYABLE</v>
      </c>
    </row>
    <row r="2719" spans="5:8" x14ac:dyDescent="0.25">
      <c r="E2719" t="str">
        <f>""</f>
        <v/>
      </c>
      <c r="F2719" t="str">
        <f>""</f>
        <v/>
      </c>
      <c r="H2719" t="str">
        <f t="shared" si="47"/>
        <v>BCBS PAYABLE</v>
      </c>
    </row>
    <row r="2720" spans="5:8" x14ac:dyDescent="0.25">
      <c r="E2720" t="str">
        <f>""</f>
        <v/>
      </c>
      <c r="F2720" t="str">
        <f>""</f>
        <v/>
      </c>
      <c r="H2720" t="str">
        <f t="shared" si="47"/>
        <v>BCBS PAYABLE</v>
      </c>
    </row>
    <row r="2721" spans="5:8" x14ac:dyDescent="0.25">
      <c r="E2721" t="str">
        <f>""</f>
        <v/>
      </c>
      <c r="F2721" t="str">
        <f>""</f>
        <v/>
      </c>
      <c r="H2721" t="str">
        <f t="shared" si="47"/>
        <v>BCBS PAYABLE</v>
      </c>
    </row>
    <row r="2722" spans="5:8" x14ac:dyDescent="0.25">
      <c r="E2722" t="str">
        <f>""</f>
        <v/>
      </c>
      <c r="F2722" t="str">
        <f>""</f>
        <v/>
      </c>
      <c r="H2722" t="str">
        <f t="shared" si="47"/>
        <v>BCBS PAYABLE</v>
      </c>
    </row>
    <row r="2723" spans="5:8" x14ac:dyDescent="0.25">
      <c r="E2723" t="str">
        <f>""</f>
        <v/>
      </c>
      <c r="F2723" t="str">
        <f>""</f>
        <v/>
      </c>
      <c r="H2723" t="str">
        <f t="shared" si="47"/>
        <v>BCBS PAYABLE</v>
      </c>
    </row>
    <row r="2724" spans="5:8" x14ac:dyDescent="0.25">
      <c r="E2724" t="str">
        <f>""</f>
        <v/>
      </c>
      <c r="F2724" t="str">
        <f>""</f>
        <v/>
      </c>
      <c r="H2724" t="str">
        <f t="shared" ref="H2724:H2787" si="48">"BCBS PAYABLE"</f>
        <v>BCBS PAYABLE</v>
      </c>
    </row>
    <row r="2725" spans="5:8" x14ac:dyDescent="0.25">
      <c r="E2725" t="str">
        <f>""</f>
        <v/>
      </c>
      <c r="F2725" t="str">
        <f>""</f>
        <v/>
      </c>
      <c r="H2725" t="str">
        <f t="shared" si="48"/>
        <v>BCBS PAYABLE</v>
      </c>
    </row>
    <row r="2726" spans="5:8" x14ac:dyDescent="0.25">
      <c r="E2726" t="str">
        <f>""</f>
        <v/>
      </c>
      <c r="F2726" t="str">
        <f>""</f>
        <v/>
      </c>
      <c r="H2726" t="str">
        <f t="shared" si="48"/>
        <v>BCBS PAYABLE</v>
      </c>
    </row>
    <row r="2727" spans="5:8" x14ac:dyDescent="0.25">
      <c r="E2727" t="str">
        <f>""</f>
        <v/>
      </c>
      <c r="F2727" t="str">
        <f>""</f>
        <v/>
      </c>
      <c r="H2727" t="str">
        <f t="shared" si="48"/>
        <v>BCBS PAYABLE</v>
      </c>
    </row>
    <row r="2728" spans="5:8" x14ac:dyDescent="0.25">
      <c r="E2728" t="str">
        <f>""</f>
        <v/>
      </c>
      <c r="F2728" t="str">
        <f>""</f>
        <v/>
      </c>
      <c r="H2728" t="str">
        <f t="shared" si="48"/>
        <v>BCBS PAYABLE</v>
      </c>
    </row>
    <row r="2729" spans="5:8" x14ac:dyDescent="0.25">
      <c r="E2729" t="str">
        <f>""</f>
        <v/>
      </c>
      <c r="F2729" t="str">
        <f>""</f>
        <v/>
      </c>
      <c r="H2729" t="str">
        <f t="shared" si="48"/>
        <v>BCBS PAYABLE</v>
      </c>
    </row>
    <row r="2730" spans="5:8" x14ac:dyDescent="0.25">
      <c r="E2730" t="str">
        <f>""</f>
        <v/>
      </c>
      <c r="F2730" t="str">
        <f>""</f>
        <v/>
      </c>
      <c r="H2730" t="str">
        <f t="shared" si="48"/>
        <v>BCBS PAYABLE</v>
      </c>
    </row>
    <row r="2731" spans="5:8" x14ac:dyDescent="0.25">
      <c r="E2731" t="str">
        <f>""</f>
        <v/>
      </c>
      <c r="F2731" t="str">
        <f>""</f>
        <v/>
      </c>
      <c r="H2731" t="str">
        <f t="shared" si="48"/>
        <v>BCBS PAYABLE</v>
      </c>
    </row>
    <row r="2732" spans="5:8" x14ac:dyDescent="0.25">
      <c r="E2732" t="str">
        <f>""</f>
        <v/>
      </c>
      <c r="F2732" t="str">
        <f>""</f>
        <v/>
      </c>
      <c r="H2732" t="str">
        <f t="shared" si="48"/>
        <v>BCBS PAYABLE</v>
      </c>
    </row>
    <row r="2733" spans="5:8" x14ac:dyDescent="0.25">
      <c r="E2733" t="str">
        <f>""</f>
        <v/>
      </c>
      <c r="F2733" t="str">
        <f>""</f>
        <v/>
      </c>
      <c r="H2733" t="str">
        <f t="shared" si="48"/>
        <v>BCBS PAYABLE</v>
      </c>
    </row>
    <row r="2734" spans="5:8" x14ac:dyDescent="0.25">
      <c r="E2734" t="str">
        <f>""</f>
        <v/>
      </c>
      <c r="F2734" t="str">
        <f>""</f>
        <v/>
      </c>
      <c r="H2734" t="str">
        <f t="shared" si="48"/>
        <v>BCBS PAYABLE</v>
      </c>
    </row>
    <row r="2735" spans="5:8" x14ac:dyDescent="0.25">
      <c r="E2735" t="str">
        <f>""</f>
        <v/>
      </c>
      <c r="F2735" t="str">
        <f>""</f>
        <v/>
      </c>
      <c r="H2735" t="str">
        <f t="shared" si="48"/>
        <v>BCBS PAYABLE</v>
      </c>
    </row>
    <row r="2736" spans="5:8" x14ac:dyDescent="0.25">
      <c r="E2736" t="str">
        <f>""</f>
        <v/>
      </c>
      <c r="F2736" t="str">
        <f>""</f>
        <v/>
      </c>
      <c r="H2736" t="str">
        <f t="shared" si="48"/>
        <v>BCBS PAYABLE</v>
      </c>
    </row>
    <row r="2737" spans="5:8" x14ac:dyDescent="0.25">
      <c r="E2737" t="str">
        <f>""</f>
        <v/>
      </c>
      <c r="F2737" t="str">
        <f>""</f>
        <v/>
      </c>
      <c r="H2737" t="str">
        <f t="shared" si="48"/>
        <v>BCBS PAYABLE</v>
      </c>
    </row>
    <row r="2738" spans="5:8" x14ac:dyDescent="0.25">
      <c r="E2738" t="str">
        <f>""</f>
        <v/>
      </c>
      <c r="F2738" t="str">
        <f>""</f>
        <v/>
      </c>
      <c r="H2738" t="str">
        <f t="shared" si="48"/>
        <v>BCBS PAYABLE</v>
      </c>
    </row>
    <row r="2739" spans="5:8" x14ac:dyDescent="0.25">
      <c r="E2739" t="str">
        <f>""</f>
        <v/>
      </c>
      <c r="F2739" t="str">
        <f>""</f>
        <v/>
      </c>
      <c r="H2739" t="str">
        <f t="shared" si="48"/>
        <v>BCBS PAYABLE</v>
      </c>
    </row>
    <row r="2740" spans="5:8" x14ac:dyDescent="0.25">
      <c r="E2740" t="str">
        <f>""</f>
        <v/>
      </c>
      <c r="F2740" t="str">
        <f>""</f>
        <v/>
      </c>
      <c r="H2740" t="str">
        <f t="shared" si="48"/>
        <v>BCBS PAYABLE</v>
      </c>
    </row>
    <row r="2741" spans="5:8" x14ac:dyDescent="0.25">
      <c r="E2741" t="str">
        <f>""</f>
        <v/>
      </c>
      <c r="F2741" t="str">
        <f>""</f>
        <v/>
      </c>
      <c r="H2741" t="str">
        <f t="shared" si="48"/>
        <v>BCBS PAYABLE</v>
      </c>
    </row>
    <row r="2742" spans="5:8" x14ac:dyDescent="0.25">
      <c r="E2742" t="str">
        <f>""</f>
        <v/>
      </c>
      <c r="F2742" t="str">
        <f>""</f>
        <v/>
      </c>
      <c r="H2742" t="str">
        <f t="shared" si="48"/>
        <v>BCBS PAYABLE</v>
      </c>
    </row>
    <row r="2743" spans="5:8" x14ac:dyDescent="0.25">
      <c r="E2743" t="str">
        <f>""</f>
        <v/>
      </c>
      <c r="F2743" t="str">
        <f>""</f>
        <v/>
      </c>
      <c r="H2743" t="str">
        <f t="shared" si="48"/>
        <v>BCBS PAYABLE</v>
      </c>
    </row>
    <row r="2744" spans="5:8" x14ac:dyDescent="0.25">
      <c r="E2744" t="str">
        <f>""</f>
        <v/>
      </c>
      <c r="F2744" t="str">
        <f>""</f>
        <v/>
      </c>
      <c r="H2744" t="str">
        <f t="shared" si="48"/>
        <v>BCBS PAYABLE</v>
      </c>
    </row>
    <row r="2745" spans="5:8" x14ac:dyDescent="0.25">
      <c r="E2745" t="str">
        <f>""</f>
        <v/>
      </c>
      <c r="F2745" t="str">
        <f>""</f>
        <v/>
      </c>
      <c r="H2745" t="str">
        <f t="shared" si="48"/>
        <v>BCBS PAYABLE</v>
      </c>
    </row>
    <row r="2746" spans="5:8" x14ac:dyDescent="0.25">
      <c r="E2746" t="str">
        <f>""</f>
        <v/>
      </c>
      <c r="F2746" t="str">
        <f>""</f>
        <v/>
      </c>
      <c r="H2746" t="str">
        <f t="shared" si="48"/>
        <v>BCBS PAYABLE</v>
      </c>
    </row>
    <row r="2747" spans="5:8" x14ac:dyDescent="0.25">
      <c r="E2747" t="str">
        <f>""</f>
        <v/>
      </c>
      <c r="F2747" t="str">
        <f>""</f>
        <v/>
      </c>
      <c r="H2747" t="str">
        <f t="shared" si="48"/>
        <v>BCBS PAYABLE</v>
      </c>
    </row>
    <row r="2748" spans="5:8" x14ac:dyDescent="0.25">
      <c r="E2748" t="str">
        <f>""</f>
        <v/>
      </c>
      <c r="F2748" t="str">
        <f>""</f>
        <v/>
      </c>
      <c r="H2748" t="str">
        <f t="shared" si="48"/>
        <v>BCBS PAYABLE</v>
      </c>
    </row>
    <row r="2749" spans="5:8" x14ac:dyDescent="0.25">
      <c r="E2749" t="str">
        <f>""</f>
        <v/>
      </c>
      <c r="F2749" t="str">
        <f>""</f>
        <v/>
      </c>
      <c r="H2749" t="str">
        <f t="shared" si="48"/>
        <v>BCBS PAYABLE</v>
      </c>
    </row>
    <row r="2750" spans="5:8" x14ac:dyDescent="0.25">
      <c r="E2750" t="str">
        <f>""</f>
        <v/>
      </c>
      <c r="F2750" t="str">
        <f>""</f>
        <v/>
      </c>
      <c r="H2750" t="str">
        <f t="shared" si="48"/>
        <v>BCBS PAYABLE</v>
      </c>
    </row>
    <row r="2751" spans="5:8" x14ac:dyDescent="0.25">
      <c r="E2751" t="str">
        <f>""</f>
        <v/>
      </c>
      <c r="F2751" t="str">
        <f>""</f>
        <v/>
      </c>
      <c r="H2751" t="str">
        <f t="shared" si="48"/>
        <v>BCBS PAYABLE</v>
      </c>
    </row>
    <row r="2752" spans="5:8" x14ac:dyDescent="0.25">
      <c r="E2752" t="str">
        <f>""</f>
        <v/>
      </c>
      <c r="F2752" t="str">
        <f>""</f>
        <v/>
      </c>
      <c r="H2752" t="str">
        <f t="shared" si="48"/>
        <v>BCBS PAYABLE</v>
      </c>
    </row>
    <row r="2753" spans="5:8" x14ac:dyDescent="0.25">
      <c r="E2753" t="str">
        <f>""</f>
        <v/>
      </c>
      <c r="F2753" t="str">
        <f>""</f>
        <v/>
      </c>
      <c r="H2753" t="str">
        <f t="shared" si="48"/>
        <v>BCBS PAYABLE</v>
      </c>
    </row>
    <row r="2754" spans="5:8" x14ac:dyDescent="0.25">
      <c r="E2754" t="str">
        <f>""</f>
        <v/>
      </c>
      <c r="F2754" t="str">
        <f>""</f>
        <v/>
      </c>
      <c r="H2754" t="str">
        <f t="shared" si="48"/>
        <v>BCBS PAYABLE</v>
      </c>
    </row>
    <row r="2755" spans="5:8" x14ac:dyDescent="0.25">
      <c r="E2755" t="str">
        <f>""</f>
        <v/>
      </c>
      <c r="F2755" t="str">
        <f>""</f>
        <v/>
      </c>
      <c r="H2755" t="str">
        <f t="shared" si="48"/>
        <v>BCBS PAYABLE</v>
      </c>
    </row>
    <row r="2756" spans="5:8" x14ac:dyDescent="0.25">
      <c r="E2756" t="str">
        <f>""</f>
        <v/>
      </c>
      <c r="F2756" t="str">
        <f>""</f>
        <v/>
      </c>
      <c r="H2756" t="str">
        <f t="shared" si="48"/>
        <v>BCBS PAYABLE</v>
      </c>
    </row>
    <row r="2757" spans="5:8" x14ac:dyDescent="0.25">
      <c r="E2757" t="str">
        <f>""</f>
        <v/>
      </c>
      <c r="F2757" t="str">
        <f>""</f>
        <v/>
      </c>
      <c r="H2757" t="str">
        <f t="shared" si="48"/>
        <v>BCBS PAYABLE</v>
      </c>
    </row>
    <row r="2758" spans="5:8" x14ac:dyDescent="0.25">
      <c r="E2758" t="str">
        <f>""</f>
        <v/>
      </c>
      <c r="F2758" t="str">
        <f>""</f>
        <v/>
      </c>
      <c r="H2758" t="str">
        <f t="shared" si="48"/>
        <v>BCBS PAYABLE</v>
      </c>
    </row>
    <row r="2759" spans="5:8" x14ac:dyDescent="0.25">
      <c r="E2759" t="str">
        <f>""</f>
        <v/>
      </c>
      <c r="F2759" t="str">
        <f>""</f>
        <v/>
      </c>
      <c r="H2759" t="str">
        <f t="shared" si="48"/>
        <v>BCBS PAYABLE</v>
      </c>
    </row>
    <row r="2760" spans="5:8" x14ac:dyDescent="0.25">
      <c r="E2760" t="str">
        <f>""</f>
        <v/>
      </c>
      <c r="F2760" t="str">
        <f>""</f>
        <v/>
      </c>
      <c r="H2760" t="str">
        <f t="shared" si="48"/>
        <v>BCBS PAYABLE</v>
      </c>
    </row>
    <row r="2761" spans="5:8" x14ac:dyDescent="0.25">
      <c r="E2761" t="str">
        <f>""</f>
        <v/>
      </c>
      <c r="F2761" t="str">
        <f>""</f>
        <v/>
      </c>
      <c r="H2761" t="str">
        <f t="shared" si="48"/>
        <v>BCBS PAYABLE</v>
      </c>
    </row>
    <row r="2762" spans="5:8" x14ac:dyDescent="0.25">
      <c r="E2762" t="str">
        <f>""</f>
        <v/>
      </c>
      <c r="F2762" t="str">
        <f>""</f>
        <v/>
      </c>
      <c r="H2762" t="str">
        <f t="shared" si="48"/>
        <v>BCBS PAYABLE</v>
      </c>
    </row>
    <row r="2763" spans="5:8" x14ac:dyDescent="0.25">
      <c r="E2763" t="str">
        <f>""</f>
        <v/>
      </c>
      <c r="F2763" t="str">
        <f>""</f>
        <v/>
      </c>
      <c r="H2763" t="str">
        <f t="shared" si="48"/>
        <v>BCBS PAYABLE</v>
      </c>
    </row>
    <row r="2764" spans="5:8" x14ac:dyDescent="0.25">
      <c r="E2764" t="str">
        <f>""</f>
        <v/>
      </c>
      <c r="F2764" t="str">
        <f>""</f>
        <v/>
      </c>
      <c r="H2764" t="str">
        <f t="shared" si="48"/>
        <v>BCBS PAYABLE</v>
      </c>
    </row>
    <row r="2765" spans="5:8" x14ac:dyDescent="0.25">
      <c r="E2765" t="str">
        <f>"2EO202012220866"</f>
        <v>2EO202012220866</v>
      </c>
      <c r="F2765" t="str">
        <f>"BCBS PAYABLE"</f>
        <v>BCBS PAYABLE</v>
      </c>
      <c r="G2765" s="3">
        <v>3076.47</v>
      </c>
      <c r="H2765" t="str">
        <f t="shared" si="48"/>
        <v>BCBS PAYABLE</v>
      </c>
    </row>
    <row r="2766" spans="5:8" x14ac:dyDescent="0.25">
      <c r="E2766" t="str">
        <f>"2ES202012090689"</f>
        <v>2ES202012090689</v>
      </c>
      <c r="F2766" t="str">
        <f>"BCBS PAYABLE"</f>
        <v>BCBS PAYABLE</v>
      </c>
      <c r="G2766" s="3">
        <v>16308.9</v>
      </c>
      <c r="H2766" t="str">
        <f t="shared" si="48"/>
        <v>BCBS PAYABLE</v>
      </c>
    </row>
    <row r="2767" spans="5:8" x14ac:dyDescent="0.25">
      <c r="E2767" t="str">
        <f>""</f>
        <v/>
      </c>
      <c r="F2767" t="str">
        <f>""</f>
        <v/>
      </c>
      <c r="H2767" t="str">
        <f t="shared" si="48"/>
        <v>BCBS PAYABLE</v>
      </c>
    </row>
    <row r="2768" spans="5:8" x14ac:dyDescent="0.25">
      <c r="E2768" t="str">
        <f>""</f>
        <v/>
      </c>
      <c r="F2768" t="str">
        <f>""</f>
        <v/>
      </c>
      <c r="H2768" t="str">
        <f t="shared" si="48"/>
        <v>BCBS PAYABLE</v>
      </c>
    </row>
    <row r="2769" spans="5:8" x14ac:dyDescent="0.25">
      <c r="E2769" t="str">
        <f>""</f>
        <v/>
      </c>
      <c r="F2769" t="str">
        <f>""</f>
        <v/>
      </c>
      <c r="H2769" t="str">
        <f t="shared" si="48"/>
        <v>BCBS PAYABLE</v>
      </c>
    </row>
    <row r="2770" spans="5:8" x14ac:dyDescent="0.25">
      <c r="E2770" t="str">
        <f>""</f>
        <v/>
      </c>
      <c r="F2770" t="str">
        <f>""</f>
        <v/>
      </c>
      <c r="H2770" t="str">
        <f t="shared" si="48"/>
        <v>BCBS PAYABLE</v>
      </c>
    </row>
    <row r="2771" spans="5:8" x14ac:dyDescent="0.25">
      <c r="E2771" t="str">
        <f>""</f>
        <v/>
      </c>
      <c r="F2771" t="str">
        <f>""</f>
        <v/>
      </c>
      <c r="H2771" t="str">
        <f t="shared" si="48"/>
        <v>BCBS PAYABLE</v>
      </c>
    </row>
    <row r="2772" spans="5:8" x14ac:dyDescent="0.25">
      <c r="E2772" t="str">
        <f>""</f>
        <v/>
      </c>
      <c r="F2772" t="str">
        <f>""</f>
        <v/>
      </c>
      <c r="H2772" t="str">
        <f t="shared" si="48"/>
        <v>BCBS PAYABLE</v>
      </c>
    </row>
    <row r="2773" spans="5:8" x14ac:dyDescent="0.25">
      <c r="E2773" t="str">
        <f>""</f>
        <v/>
      </c>
      <c r="F2773" t="str">
        <f>""</f>
        <v/>
      </c>
      <c r="H2773" t="str">
        <f t="shared" si="48"/>
        <v>BCBS PAYABLE</v>
      </c>
    </row>
    <row r="2774" spans="5:8" x14ac:dyDescent="0.25">
      <c r="E2774" t="str">
        <f>""</f>
        <v/>
      </c>
      <c r="F2774" t="str">
        <f>""</f>
        <v/>
      </c>
      <c r="H2774" t="str">
        <f t="shared" si="48"/>
        <v>BCBS PAYABLE</v>
      </c>
    </row>
    <row r="2775" spans="5:8" x14ac:dyDescent="0.25">
      <c r="E2775" t="str">
        <f>""</f>
        <v/>
      </c>
      <c r="F2775" t="str">
        <f>""</f>
        <v/>
      </c>
      <c r="H2775" t="str">
        <f t="shared" si="48"/>
        <v>BCBS PAYABLE</v>
      </c>
    </row>
    <row r="2776" spans="5:8" x14ac:dyDescent="0.25">
      <c r="E2776" t="str">
        <f>""</f>
        <v/>
      </c>
      <c r="F2776" t="str">
        <f>""</f>
        <v/>
      </c>
      <c r="H2776" t="str">
        <f t="shared" si="48"/>
        <v>BCBS PAYABLE</v>
      </c>
    </row>
    <row r="2777" spans="5:8" x14ac:dyDescent="0.25">
      <c r="E2777" t="str">
        <f>""</f>
        <v/>
      </c>
      <c r="F2777" t="str">
        <f>""</f>
        <v/>
      </c>
      <c r="H2777" t="str">
        <f t="shared" si="48"/>
        <v>BCBS PAYABLE</v>
      </c>
    </row>
    <row r="2778" spans="5:8" x14ac:dyDescent="0.25">
      <c r="E2778" t="str">
        <f>""</f>
        <v/>
      </c>
      <c r="F2778" t="str">
        <f>""</f>
        <v/>
      </c>
      <c r="H2778" t="str">
        <f t="shared" si="48"/>
        <v>BCBS PAYABLE</v>
      </c>
    </row>
    <row r="2779" spans="5:8" x14ac:dyDescent="0.25">
      <c r="E2779" t="str">
        <f>""</f>
        <v/>
      </c>
      <c r="F2779" t="str">
        <f>""</f>
        <v/>
      </c>
      <c r="H2779" t="str">
        <f t="shared" si="48"/>
        <v>BCBS PAYABLE</v>
      </c>
    </row>
    <row r="2780" spans="5:8" x14ac:dyDescent="0.25">
      <c r="E2780" t="str">
        <f>""</f>
        <v/>
      </c>
      <c r="F2780" t="str">
        <f>""</f>
        <v/>
      </c>
      <c r="H2780" t="str">
        <f t="shared" si="48"/>
        <v>BCBS PAYABLE</v>
      </c>
    </row>
    <row r="2781" spans="5:8" x14ac:dyDescent="0.25">
      <c r="E2781" t="str">
        <f>""</f>
        <v/>
      </c>
      <c r="F2781" t="str">
        <f>""</f>
        <v/>
      </c>
      <c r="H2781" t="str">
        <f t="shared" si="48"/>
        <v>BCBS PAYABLE</v>
      </c>
    </row>
    <row r="2782" spans="5:8" x14ac:dyDescent="0.25">
      <c r="E2782" t="str">
        <f>"2ES202012220865"</f>
        <v>2ES202012220865</v>
      </c>
      <c r="F2782" t="str">
        <f>"BCBS PAYABLE"</f>
        <v>BCBS PAYABLE</v>
      </c>
      <c r="G2782" s="3">
        <v>16308.9</v>
      </c>
      <c r="H2782" t="str">
        <f t="shared" si="48"/>
        <v>BCBS PAYABLE</v>
      </c>
    </row>
    <row r="2783" spans="5:8" x14ac:dyDescent="0.25">
      <c r="E2783" t="str">
        <f>""</f>
        <v/>
      </c>
      <c r="F2783" t="str">
        <f>""</f>
        <v/>
      </c>
      <c r="H2783" t="str">
        <f t="shared" si="48"/>
        <v>BCBS PAYABLE</v>
      </c>
    </row>
    <row r="2784" spans="5:8" x14ac:dyDescent="0.25">
      <c r="E2784" t="str">
        <f>""</f>
        <v/>
      </c>
      <c r="F2784" t="str">
        <f>""</f>
        <v/>
      </c>
      <c r="H2784" t="str">
        <f t="shared" si="48"/>
        <v>BCBS PAYABLE</v>
      </c>
    </row>
    <row r="2785" spans="1:8" x14ac:dyDescent="0.25">
      <c r="E2785" t="str">
        <f>""</f>
        <v/>
      </c>
      <c r="F2785" t="str">
        <f>""</f>
        <v/>
      </c>
      <c r="H2785" t="str">
        <f t="shared" si="48"/>
        <v>BCBS PAYABLE</v>
      </c>
    </row>
    <row r="2786" spans="1:8" x14ac:dyDescent="0.25">
      <c r="E2786" t="str">
        <f>""</f>
        <v/>
      </c>
      <c r="F2786" t="str">
        <f>""</f>
        <v/>
      </c>
      <c r="H2786" t="str">
        <f t="shared" si="48"/>
        <v>BCBS PAYABLE</v>
      </c>
    </row>
    <row r="2787" spans="1:8" x14ac:dyDescent="0.25">
      <c r="E2787" t="str">
        <f>""</f>
        <v/>
      </c>
      <c r="F2787" t="str">
        <f>""</f>
        <v/>
      </c>
      <c r="H2787" t="str">
        <f t="shared" si="48"/>
        <v>BCBS PAYABLE</v>
      </c>
    </row>
    <row r="2788" spans="1:8" x14ac:dyDescent="0.25">
      <c r="E2788" t="str">
        <f>""</f>
        <v/>
      </c>
      <c r="F2788" t="str">
        <f>""</f>
        <v/>
      </c>
      <c r="H2788" t="str">
        <f t="shared" ref="H2788:H2797" si="49">"BCBS PAYABLE"</f>
        <v>BCBS PAYABLE</v>
      </c>
    </row>
    <row r="2789" spans="1:8" x14ac:dyDescent="0.25">
      <c r="E2789" t="str">
        <f>""</f>
        <v/>
      </c>
      <c r="F2789" t="str">
        <f>""</f>
        <v/>
      </c>
      <c r="H2789" t="str">
        <f t="shared" si="49"/>
        <v>BCBS PAYABLE</v>
      </c>
    </row>
    <row r="2790" spans="1:8" x14ac:dyDescent="0.25">
      <c r="E2790" t="str">
        <f>""</f>
        <v/>
      </c>
      <c r="F2790" t="str">
        <f>""</f>
        <v/>
      </c>
      <c r="H2790" t="str">
        <f t="shared" si="49"/>
        <v>BCBS PAYABLE</v>
      </c>
    </row>
    <row r="2791" spans="1:8" x14ac:dyDescent="0.25">
      <c r="E2791" t="str">
        <f>""</f>
        <v/>
      </c>
      <c r="F2791" t="str">
        <f>""</f>
        <v/>
      </c>
      <c r="H2791" t="str">
        <f t="shared" si="49"/>
        <v>BCBS PAYABLE</v>
      </c>
    </row>
    <row r="2792" spans="1:8" x14ac:dyDescent="0.25">
      <c r="E2792" t="str">
        <f>""</f>
        <v/>
      </c>
      <c r="F2792" t="str">
        <f>""</f>
        <v/>
      </c>
      <c r="H2792" t="str">
        <f t="shared" si="49"/>
        <v>BCBS PAYABLE</v>
      </c>
    </row>
    <row r="2793" spans="1:8" x14ac:dyDescent="0.25">
      <c r="E2793" t="str">
        <f>""</f>
        <v/>
      </c>
      <c r="F2793" t="str">
        <f>""</f>
        <v/>
      </c>
      <c r="H2793" t="str">
        <f t="shared" si="49"/>
        <v>BCBS PAYABLE</v>
      </c>
    </row>
    <row r="2794" spans="1:8" x14ac:dyDescent="0.25">
      <c r="E2794" t="str">
        <f>""</f>
        <v/>
      </c>
      <c r="F2794" t="str">
        <f>""</f>
        <v/>
      </c>
      <c r="H2794" t="str">
        <f t="shared" si="49"/>
        <v>BCBS PAYABLE</v>
      </c>
    </row>
    <row r="2795" spans="1:8" x14ac:dyDescent="0.25">
      <c r="E2795" t="str">
        <f>""</f>
        <v/>
      </c>
      <c r="F2795" t="str">
        <f>""</f>
        <v/>
      </c>
      <c r="H2795" t="str">
        <f t="shared" si="49"/>
        <v>BCBS PAYABLE</v>
      </c>
    </row>
    <row r="2796" spans="1:8" x14ac:dyDescent="0.25">
      <c r="E2796" t="str">
        <f>""</f>
        <v/>
      </c>
      <c r="F2796" t="str">
        <f>""</f>
        <v/>
      </c>
      <c r="H2796" t="str">
        <f t="shared" si="49"/>
        <v>BCBS PAYABLE</v>
      </c>
    </row>
    <row r="2797" spans="1:8" x14ac:dyDescent="0.25">
      <c r="E2797" t="str">
        <f>""</f>
        <v/>
      </c>
      <c r="F2797" t="str">
        <f>""</f>
        <v/>
      </c>
      <c r="H2797" t="str">
        <f t="shared" si="49"/>
        <v>BCBS PAYABLE</v>
      </c>
    </row>
    <row r="2798" spans="1:8" x14ac:dyDescent="0.25">
      <c r="A2798" t="s">
        <v>9</v>
      </c>
      <c r="B2798">
        <v>885</v>
      </c>
      <c r="C2798" s="3">
        <v>112.42</v>
      </c>
      <c r="D2798" s="5">
        <v>44193</v>
      </c>
      <c r="E2798" t="str">
        <f>"202101301419"</f>
        <v>202101301419</v>
      </c>
      <c r="F2798" t="str">
        <f>"ACCT#72-5613 / 12032020"</f>
        <v>ACCT#72-5613 / 12032020</v>
      </c>
      <c r="G2798" s="3">
        <v>112.42</v>
      </c>
      <c r="H2798" t="str">
        <f t="shared" ref="H2798:H2813" si="50">"ACCT#72-5613 / 12032020"</f>
        <v>ACCT#72-5613 / 12032020</v>
      </c>
    </row>
    <row r="2799" spans="1:8" x14ac:dyDescent="0.25">
      <c r="A2799" t="s">
        <v>10</v>
      </c>
      <c r="B2799">
        <v>886</v>
      </c>
      <c r="C2799" s="3">
        <v>959.64</v>
      </c>
      <c r="D2799" s="5">
        <v>44193</v>
      </c>
      <c r="E2799" t="str">
        <f>"202101301420"</f>
        <v>202101301420</v>
      </c>
      <c r="F2799" t="str">
        <f>"ACCT#72-5613 / 12032020"</f>
        <v>ACCT#72-5613 / 12032020</v>
      </c>
      <c r="G2799" s="3">
        <v>959.64</v>
      </c>
      <c r="H2799" t="str">
        <f t="shared" si="50"/>
        <v>ACCT#72-5613 / 12032020</v>
      </c>
    </row>
    <row r="2800" spans="1:8" x14ac:dyDescent="0.25">
      <c r="A2800" t="s">
        <v>11</v>
      </c>
      <c r="B2800">
        <v>887</v>
      </c>
      <c r="C2800" s="3">
        <v>2449.8000000000002</v>
      </c>
      <c r="D2800" s="5">
        <v>44193</v>
      </c>
      <c r="E2800" t="str">
        <f>"202101301423"</f>
        <v>202101301423</v>
      </c>
      <c r="F2800" t="str">
        <f>"ACCT#72-5613 / 12032020"</f>
        <v>ACCT#72-5613 / 12032020</v>
      </c>
      <c r="G2800" s="3">
        <v>2449.8000000000002</v>
      </c>
      <c r="H2800" t="str">
        <f t="shared" si="50"/>
        <v>ACCT#72-5613 / 12032020</v>
      </c>
    </row>
    <row r="2801" spans="1:8" x14ac:dyDescent="0.25">
      <c r="E2801" t="str">
        <f>""</f>
        <v/>
      </c>
      <c r="F2801" t="str">
        <f>""</f>
        <v/>
      </c>
      <c r="H2801" t="str">
        <f t="shared" si="50"/>
        <v>ACCT#72-5613 / 12032020</v>
      </c>
    </row>
    <row r="2802" spans="1:8" x14ac:dyDescent="0.25">
      <c r="A2802" t="s">
        <v>12</v>
      </c>
      <c r="B2802">
        <v>888</v>
      </c>
      <c r="C2802" s="3">
        <v>12.48</v>
      </c>
      <c r="D2802" s="5">
        <v>44193</v>
      </c>
      <c r="E2802" t="str">
        <f>"202101301429"</f>
        <v>202101301429</v>
      </c>
      <c r="F2802" t="str">
        <f t="shared" ref="F2802:F2809" si="51">"ACCT#72-5613 / 12032020"</f>
        <v>ACCT#72-5613 / 12032020</v>
      </c>
      <c r="G2802" s="3">
        <v>12.48</v>
      </c>
      <c r="H2802" t="str">
        <f t="shared" si="50"/>
        <v>ACCT#72-5613 / 12032020</v>
      </c>
    </row>
    <row r="2803" spans="1:8" x14ac:dyDescent="0.25">
      <c r="A2803" t="s">
        <v>13</v>
      </c>
      <c r="B2803">
        <v>889</v>
      </c>
      <c r="C2803" s="3">
        <v>477.34</v>
      </c>
      <c r="D2803" s="5">
        <v>44193</v>
      </c>
      <c r="E2803" t="str">
        <f>"202101301428"</f>
        <v>202101301428</v>
      </c>
      <c r="F2803" t="str">
        <f t="shared" si="51"/>
        <v>ACCT#72-5613 / 12032020</v>
      </c>
      <c r="G2803" s="3">
        <v>477.34</v>
      </c>
      <c r="H2803" t="str">
        <f t="shared" si="50"/>
        <v>ACCT#72-5613 / 12032020</v>
      </c>
    </row>
    <row r="2804" spans="1:8" x14ac:dyDescent="0.25">
      <c r="A2804" t="s">
        <v>14</v>
      </c>
      <c r="B2804">
        <v>890</v>
      </c>
      <c r="C2804" s="3">
        <v>6</v>
      </c>
      <c r="D2804" s="5">
        <v>44193</v>
      </c>
      <c r="E2804" t="str">
        <f>"202101301425"</f>
        <v>202101301425</v>
      </c>
      <c r="F2804" t="str">
        <f t="shared" si="51"/>
        <v>ACCT#72-5613 / 12032020</v>
      </c>
      <c r="G2804" s="3">
        <v>6</v>
      </c>
      <c r="H2804" t="str">
        <f t="shared" si="50"/>
        <v>ACCT#72-5613 / 12032020</v>
      </c>
    </row>
    <row r="2805" spans="1:8" x14ac:dyDescent="0.25">
      <c r="A2805" t="s">
        <v>15</v>
      </c>
      <c r="B2805">
        <v>891</v>
      </c>
      <c r="C2805" s="3">
        <v>215.82</v>
      </c>
      <c r="D2805" s="5">
        <v>44193</v>
      </c>
      <c r="E2805" t="str">
        <f>"202101301418"</f>
        <v>202101301418</v>
      </c>
      <c r="F2805" t="str">
        <f t="shared" si="51"/>
        <v>ACCT#72-5613 / 12032020</v>
      </c>
      <c r="G2805" s="3">
        <v>215.82</v>
      </c>
      <c r="H2805" t="str">
        <f t="shared" si="50"/>
        <v>ACCT#72-5613 / 12032020</v>
      </c>
    </row>
    <row r="2806" spans="1:8" x14ac:dyDescent="0.25">
      <c r="A2806" t="s">
        <v>16</v>
      </c>
      <c r="B2806">
        <v>892</v>
      </c>
      <c r="C2806" s="3">
        <v>359.99</v>
      </c>
      <c r="D2806" s="5">
        <v>44193</v>
      </c>
      <c r="E2806" t="str">
        <f>"202101301417"</f>
        <v>202101301417</v>
      </c>
      <c r="F2806" t="str">
        <f t="shared" si="51"/>
        <v>ACCT#72-5613 / 12032020</v>
      </c>
      <c r="G2806" s="3">
        <v>359.99</v>
      </c>
      <c r="H2806" t="str">
        <f t="shared" si="50"/>
        <v>ACCT#72-5613 / 12032020</v>
      </c>
    </row>
    <row r="2807" spans="1:8" x14ac:dyDescent="0.25">
      <c r="A2807" t="s">
        <v>17</v>
      </c>
      <c r="B2807">
        <v>893</v>
      </c>
      <c r="C2807" s="3">
        <v>472.82</v>
      </c>
      <c r="D2807" s="5">
        <v>44193</v>
      </c>
      <c r="E2807" t="str">
        <f>"202101301427"</f>
        <v>202101301427</v>
      </c>
      <c r="F2807" t="str">
        <f t="shared" si="51"/>
        <v>ACCT#72-5613 / 12032020</v>
      </c>
      <c r="G2807" s="3">
        <v>472.82</v>
      </c>
      <c r="H2807" t="str">
        <f t="shared" si="50"/>
        <v>ACCT#72-5613 / 12032020</v>
      </c>
    </row>
    <row r="2808" spans="1:8" x14ac:dyDescent="0.25">
      <c r="A2808" t="s">
        <v>18</v>
      </c>
      <c r="B2808">
        <v>894</v>
      </c>
      <c r="C2808" s="3">
        <v>167.19</v>
      </c>
      <c r="D2808" s="5">
        <v>44193</v>
      </c>
      <c r="E2808" t="str">
        <f>"202101301426"</f>
        <v>202101301426</v>
      </c>
      <c r="F2808" t="str">
        <f t="shared" si="51"/>
        <v>ACCT#72-5613 / 12032020</v>
      </c>
      <c r="G2808" s="3">
        <v>167.19</v>
      </c>
      <c r="H2808" t="str">
        <f t="shared" si="50"/>
        <v>ACCT#72-5613 / 12032020</v>
      </c>
    </row>
    <row r="2809" spans="1:8" x14ac:dyDescent="0.25">
      <c r="A2809" t="s">
        <v>19</v>
      </c>
      <c r="B2809">
        <v>895</v>
      </c>
      <c r="C2809" s="3">
        <v>429.96</v>
      </c>
      <c r="D2809" s="5">
        <v>44193</v>
      </c>
      <c r="E2809" t="str">
        <f>"202101301422"</f>
        <v>202101301422</v>
      </c>
      <c r="F2809" t="str">
        <f t="shared" si="51"/>
        <v>ACCT#72-5613 / 12032020</v>
      </c>
      <c r="G2809" s="3">
        <v>429.96</v>
      </c>
      <c r="H2809" t="str">
        <f t="shared" si="50"/>
        <v>ACCT#72-5613 / 12032020</v>
      </c>
    </row>
    <row r="2810" spans="1:8" x14ac:dyDescent="0.25">
      <c r="E2810" t="str">
        <f>""</f>
        <v/>
      </c>
      <c r="F2810" t="str">
        <f>""</f>
        <v/>
      </c>
      <c r="H2810" t="str">
        <f t="shared" si="50"/>
        <v>ACCT#72-5613 / 12032020</v>
      </c>
    </row>
    <row r="2811" spans="1:8" x14ac:dyDescent="0.25">
      <c r="A2811" t="s">
        <v>20</v>
      </c>
      <c r="B2811">
        <v>896</v>
      </c>
      <c r="C2811" s="3">
        <v>1991.9</v>
      </c>
      <c r="D2811" s="5">
        <v>44193</v>
      </c>
      <c r="E2811" t="str">
        <f>"202101301421"</f>
        <v>202101301421</v>
      </c>
      <c r="F2811" t="str">
        <f>"ACCT#72-5613 / 12032020"</f>
        <v>ACCT#72-5613 / 12032020</v>
      </c>
      <c r="G2811" s="3">
        <v>1991.9</v>
      </c>
      <c r="H2811" t="str">
        <f t="shared" si="50"/>
        <v>ACCT#72-5613 / 12032020</v>
      </c>
    </row>
    <row r="2812" spans="1:8" x14ac:dyDescent="0.25">
      <c r="A2812" t="s">
        <v>21</v>
      </c>
      <c r="B2812">
        <v>897</v>
      </c>
      <c r="C2812" s="3">
        <v>104.94</v>
      </c>
      <c r="D2812" s="5">
        <v>44193</v>
      </c>
      <c r="E2812" t="str">
        <f>"202101301430"</f>
        <v>202101301430</v>
      </c>
      <c r="F2812" t="str">
        <f>"ACCT#72-5613 / 12032020"</f>
        <v>ACCT#72-5613 / 12032020</v>
      </c>
      <c r="G2812" s="3">
        <v>104.94</v>
      </c>
      <c r="H2812" t="str">
        <f t="shared" si="50"/>
        <v>ACCT#72-5613 / 12032020</v>
      </c>
    </row>
    <row r="2813" spans="1:8" x14ac:dyDescent="0.25">
      <c r="A2813" t="s">
        <v>22</v>
      </c>
      <c r="B2813">
        <v>898</v>
      </c>
      <c r="C2813" s="3">
        <v>169.4</v>
      </c>
      <c r="D2813" s="5">
        <v>44193</v>
      </c>
      <c r="E2813" t="str">
        <f>"202101301424"</f>
        <v>202101301424</v>
      </c>
      <c r="F2813" t="str">
        <f>"ACCT#72-5613 / 12032020"</f>
        <v>ACCT#72-5613 / 12032020</v>
      </c>
      <c r="G2813" s="3">
        <v>169.4</v>
      </c>
      <c r="H2813" t="str">
        <f t="shared" si="50"/>
        <v>ACCT#72-5613 / 12032020</v>
      </c>
    </row>
    <row r="2814" spans="1:8" ht="15.75" thickBot="1" x14ac:dyDescent="0.3">
      <c r="C2814" s="6">
        <f>SUM(C2:C2813)</f>
        <v>5123516.8200000012</v>
      </c>
      <c r="G2814" s="6">
        <f>SUM(G2:G2813)</f>
        <v>5123516.820000005</v>
      </c>
    </row>
    <row r="2815" spans="1:8" ht="15.75" thickTop="1" x14ac:dyDescent="0.25"/>
  </sheetData>
  <autoFilter ref="A1:H2814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AP-CHK-RPT-20210325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Dawn Bomar</dc:creator>
  <cp:lastModifiedBy>Jo Dawn Bomar</cp:lastModifiedBy>
  <dcterms:created xsi:type="dcterms:W3CDTF">2021-03-25T15:54:15Z</dcterms:created>
  <dcterms:modified xsi:type="dcterms:W3CDTF">2021-03-25T16:04:41Z</dcterms:modified>
</cp:coreProperties>
</file>