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1700"/>
  </bookViews>
  <sheets>
    <sheet name="AP-CHK-RPT-20210921" sheetId="1" r:id="rId1"/>
  </sheets>
  <definedNames>
    <definedName name="_xlnm._FilterDatabase" localSheetId="0" hidden="1">'AP-CHK-RPT-20210921'!$A$1:$H$2628</definedName>
  </definedNames>
  <calcPr calcId="162913"/>
</workbook>
</file>

<file path=xl/calcChain.xml><?xml version="1.0" encoding="utf-8"?>
<calcChain xmlns="http://schemas.openxmlformats.org/spreadsheetml/2006/main">
  <c r="C2628" i="1" l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E1225" i="1"/>
  <c r="F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</calcChain>
</file>

<file path=xl/sharedStrings.xml><?xml version="1.0" encoding="utf-8"?>
<sst xmlns="http://schemas.openxmlformats.org/spreadsheetml/2006/main" count="553" uniqueCount="433">
  <si>
    <t>Name</t>
  </si>
  <si>
    <t>Check #</t>
  </si>
  <si>
    <t>Check Amount</t>
  </si>
  <si>
    <t>Check Date</t>
  </si>
  <si>
    <t>Invoice ID</t>
  </si>
  <si>
    <t>Invoice Desc</t>
  </si>
  <si>
    <t>GL Description</t>
  </si>
  <si>
    <t xml:space="preserve">GL Amount </t>
  </si>
  <si>
    <t>CHRISTINA CANNON</t>
  </si>
  <si>
    <t>973 MATERIALS  LLC</t>
  </si>
  <si>
    <t>A PLUS BAIL BONDS</t>
  </si>
  <si>
    <t>ARNOLD OIL COMPANY OF AUSTIN LP</t>
  </si>
  <si>
    <t>ADAM DAKOTA ROWINS</t>
  </si>
  <si>
    <t>ADAM MUERY</t>
  </si>
  <si>
    <t>ADENA LEWIS</t>
  </si>
  <si>
    <t>ADVANCED GRAPHIX INC</t>
  </si>
  <si>
    <t>AIRGAS INC</t>
  </si>
  <si>
    <t>ALAMO  GROUP (TX)  INC</t>
  </si>
  <si>
    <t>TIMOTHY HALL</t>
  </si>
  <si>
    <t>AMAZON CAPITAL SERVICES INC</t>
  </si>
  <si>
    <t>AMERICAN FASTENERS  INC.</t>
  </si>
  <si>
    <t>AMERICAN TIRE DISTRIBUTORS INC</t>
  </si>
  <si>
    <t>AMERISOURCEBERGEN</t>
  </si>
  <si>
    <t>ANDERSON &amp; ANDERSON LAW FIRM PC</t>
  </si>
  <si>
    <t>ANTONIO R VILLAFRANCA</t>
  </si>
  <si>
    <t>C APPLEMAN ENT INC</t>
  </si>
  <si>
    <t>APPRISS INC</t>
  </si>
  <si>
    <t>AQUA BEVERAGE COMPANY/OZARKA</t>
  </si>
  <si>
    <t>AQUA WATER SUPPLY CORPORATION</t>
  </si>
  <si>
    <t>ARA / ST.DAVID'S IMAGING  LP</t>
  </si>
  <si>
    <t>ARCHITEXAS - ARCHITECTURE  PLANNING &amp; HISTORIC PRE</t>
  </si>
  <si>
    <t>ARSENAL ADVERTISING LLC</t>
  </si>
  <si>
    <t>ASCENSION SETON</t>
  </si>
  <si>
    <t>AT&amp;T</t>
  </si>
  <si>
    <t>AT&amp;T MOBILITY</t>
  </si>
  <si>
    <t>RICHARD ATWOOD</t>
  </si>
  <si>
    <t>THE AUBAINE SUPPLY COMPANY  INC</t>
  </si>
  <si>
    <t>BUTLER &amp; BURNS EAR NOSE &amp; THROAT ASSO</t>
  </si>
  <si>
    <t>VIVIAN PAN</t>
  </si>
  <si>
    <t>AUSTIN RADIOLOGICAL ASSOC</t>
  </si>
  <si>
    <t>AMERICAN TITLE COMPANY OF AUSTIN</t>
  </si>
  <si>
    <t>AUSTIN TOOL INC</t>
  </si>
  <si>
    <t>TOM LOFTUS  INC</t>
  </si>
  <si>
    <t>JIM ATTRA INC</t>
  </si>
  <si>
    <t>BARBARA GOMEZ</t>
  </si>
  <si>
    <t>MICHAEL OLDHAM TIRE INC</t>
  </si>
  <si>
    <t>BASTROP CENTRAL APPRAISAL DIST.</t>
  </si>
  <si>
    <t>BASTROP COUNTY SHERIFF'S DEPT</t>
  </si>
  <si>
    <t>BASTROP CO SHERIFF'S OFFICE FORFEITURE FUND</t>
  </si>
  <si>
    <t>="13</t>
  </si>
  <si>
    <t>DANIEL L HEPKER</t>
  </si>
  <si>
    <t>BASTROP COUNTY CARES</t>
  </si>
  <si>
    <t>BASTROP COUNTY TAX ASSESSOR</t>
  </si>
  <si>
    <t>BASTROP COUNTY PROBATION DEPT</t>
  </si>
  <si>
    <t>BASTROP MEDICAL CLINIC</t>
  </si>
  <si>
    <t>BASTROP POLICE DEPT</t>
  </si>
  <si>
    <t>BASTROP PROVIDENCE  LLC</t>
  </si>
  <si>
    <t>BASTROP VETERINARY HOSPITAL  INC.</t>
  </si>
  <si>
    <t>DAVID H OUTON</t>
  </si>
  <si>
    <t>BELL COUNTY</t>
  </si>
  <si>
    <t>BEN E KEITH CO.</t>
  </si>
  <si>
    <t>BEN LUGO</t>
  </si>
  <si>
    <t>BERAN'S GIN MILL &amp; FEED CO  LP</t>
  </si>
  <si>
    <t>B C FOOD GROUP  LLC</t>
  </si>
  <si>
    <t>BIG CITY CRUSHED CONCRETE  LLC</t>
  </si>
  <si>
    <t>BIMBO FOODS INC</t>
  </si>
  <si>
    <t>BLUEBONNET AREA CRIME STOPPERS PROGRAM</t>
  </si>
  <si>
    <t>BLUEBONNET ELECTRIC COOPERATIVE  INC.</t>
  </si>
  <si>
    <t>BLUEBONNET TRAILS MHMR</t>
  </si>
  <si>
    <t>BONS BARRICADES  INC</t>
  </si>
  <si>
    <t>BRAUNTEX MATERIALS INC</t>
  </si>
  <si>
    <t>BRYAN GOERTZ</t>
  </si>
  <si>
    <t>LAW OFFICE OF BRYAN W. MCDANIEL  P.C.</t>
  </si>
  <si>
    <t>BUREAU OF VITAL STATISTICS</t>
  </si>
  <si>
    <t>CALDWELL COUNTY SHERIFF</t>
  </si>
  <si>
    <t>CANYON TELECOM INC</t>
  </si>
  <si>
    <t>TIB-THE INDEPENDENT BANKERS BANK</t>
  </si>
  <si>
    <t>CAROLYN DILL</t>
  </si>
  <si>
    <t>CDW GOVERNMENT INC</t>
  </si>
  <si>
    <t>CEN-TEX MARINE FABRICATORS INC</t>
  </si>
  <si>
    <t>CHARLES W CARVER</t>
  </si>
  <si>
    <t>CHARM-TEX</t>
  </si>
  <si>
    <t>CHRIS MATT DILLON</t>
  </si>
  <si>
    <t>CHRISTINE FILES</t>
  </si>
  <si>
    <t>CINTAS</t>
  </si>
  <si>
    <t>CINTAS CORPORATION</t>
  </si>
  <si>
    <t>CITIBANK</t>
  </si>
  <si>
    <t>CITY OF BASTROP</t>
  </si>
  <si>
    <t>CITY OF SMITHVILLE</t>
  </si>
  <si>
    <t>CLIFFORD POWER SYSTEMS INC</t>
  </si>
  <si>
    <t>CLINICAL PATHOLOGY LABORATORIES INC</t>
  </si>
  <si>
    <t>CNA SURETY</t>
  </si>
  <si>
    <t>COLLIN COUNTY SHERIFF</t>
  </si>
  <si>
    <t>COLORADO MATERIALS CO.</t>
  </si>
  <si>
    <t>COLUMBUS EYE ASSOCIATES</t>
  </si>
  <si>
    <t>GREENWICH INC</t>
  </si>
  <si>
    <t>COMMUNITY COFFEE COMPANY LLC</t>
  </si>
  <si>
    <t>COMMUNITY HEALTH CENTERS</t>
  </si>
  <si>
    <t>CONNECTED NATION  INC.</t>
  </si>
  <si>
    <t>CONTECH ENGINEERED SOLUTIONS INC</t>
  </si>
  <si>
    <t>CONVERGENCE CABLING  INC.</t>
  </si>
  <si>
    <t>COOPER EQUIPMENT CO.</t>
  </si>
  <si>
    <t>COUNTY OF BEXAR - SHERIFF</t>
  </si>
  <si>
    <t>BUTLER ANIMAL HEALTH HOLDING COMPANY  LLC</t>
  </si>
  <si>
    <t>CRAIG WINTER</t>
  </si>
  <si>
    <t>CRESSIDA EVELYN KWOLEK  Ph.D.</t>
  </si>
  <si>
    <t>DALTON DAWSON</t>
  </si>
  <si>
    <t>DASH MEDICAL GLOVES INC.</t>
  </si>
  <si>
    <t>DAVID B BROOKS</t>
  </si>
  <si>
    <t>DAVID M COLLINS</t>
  </si>
  <si>
    <t>DEAN DAIRY CORPORATE  LLC</t>
  </si>
  <si>
    <t>DEENA THOMAS</t>
  </si>
  <si>
    <t>DELL</t>
  </si>
  <si>
    <t>DENTRUST DENTAL TX PC</t>
  </si>
  <si>
    <t>DIANA MENDEZ</t>
  </si>
  <si>
    <t>ALBERT R DIAZ</t>
  </si>
  <si>
    <t>DIGI MAC SOLUTIONS  INC.</t>
  </si>
  <si>
    <t>DISCOUNT DOOR &amp; METAL  LLC</t>
  </si>
  <si>
    <t>THE REINALT - THOMAS CORPORATION</t>
  </si>
  <si>
    <t>DONNA D HAGEN</t>
  </si>
  <si>
    <t>DONNIE STARK</t>
  </si>
  <si>
    <t>DORA HERNANDEZ</t>
  </si>
  <si>
    <t>DOUBLE D INTERNATIONAL FOOD CO.  INC.</t>
  </si>
  <si>
    <t>KRISTI ARRINGTON KALLINA</t>
  </si>
  <si>
    <t>DUNNE &amp; JUAREZ L.L.C.</t>
  </si>
  <si>
    <t>DAVID MCMULLEN</t>
  </si>
  <si>
    <t>ECOLAB INC</t>
  </si>
  <si>
    <t>ELANCO US INC</t>
  </si>
  <si>
    <t>BLACKLANDS PUBLICATIONS INC</t>
  </si>
  <si>
    <t>RALPH DAVID GLASS</t>
  </si>
  <si>
    <t>ELGIN POLICE DEPARTMENT</t>
  </si>
  <si>
    <t>CITY OF ELGIN UTILITIES</t>
  </si>
  <si>
    <t>ELLIOTT ELECTRIC SUPPLY INC</t>
  </si>
  <si>
    <t>ELSWORTH SHERMAN</t>
  </si>
  <si>
    <t>ERGON ASPHALT &amp; EMULSIONS INC</t>
  </si>
  <si>
    <t>ESMERALDA OSORIO</t>
  </si>
  <si>
    <t>EWALD KUBOTA  INC.</t>
  </si>
  <si>
    <t>FAMILY HEALTH CENTER OF BASTROP PLLC</t>
  </si>
  <si>
    <t>FAYETTE COUNTY SHERIFF</t>
  </si>
  <si>
    <t>FEDERAL EXPRESS</t>
  </si>
  <si>
    <t>FERGUSON ENTERPRISES  INC.</t>
  </si>
  <si>
    <t>FLEETPRIDE</t>
  </si>
  <si>
    <t>4283929 DELAWARE LLC</t>
  </si>
  <si>
    <t>FORREST L. SANDERSON</t>
  </si>
  <si>
    <t>FRANCES HUNTER</t>
  </si>
  <si>
    <t>AUSTIN TRUCK AND EQUIPMENT  LTD</t>
  </si>
  <si>
    <t>EUGENE W BRIGGS JR</t>
  </si>
  <si>
    <t>GALLS PARENT HOLDINGS LLC</t>
  </si>
  <si>
    <t>GALVESTON COUNTY SHERIFF</t>
  </si>
  <si>
    <t>GOVERNMENTAL COLLECTORS ASSOCIATION OF TEXAS</t>
  </si>
  <si>
    <t>GRAINGER INC</t>
  </si>
  <si>
    <t>GREG E NORMAN</t>
  </si>
  <si>
    <t>GT DISTRIBUTORS  INC.</t>
  </si>
  <si>
    <t>GTS TECHNOLOGY SOLUTIONS  INC.</t>
  </si>
  <si>
    <t>GULF COAST PAPER CO. INC.</t>
  </si>
  <si>
    <t>GUNFIGHTER SUPPLY  LLC</t>
  </si>
  <si>
    <t>DOUGLAS D. SPILLMAN</t>
  </si>
  <si>
    <t>HARRIS COUNTY CONSTABLE PCT 1</t>
  </si>
  <si>
    <t>HAYS COUNTY CONSTABLE PCT 4</t>
  </si>
  <si>
    <t>HEADSETS DIRECT INC.</t>
  </si>
  <si>
    <t>HENGST PRINTING &amp; SUPPLIES</t>
  </si>
  <si>
    <t>FERTITTA HOSPITALITY LLC</t>
  </si>
  <si>
    <t>BASCOM L HODGES JR</t>
  </si>
  <si>
    <t>HODGSON G ECKEL</t>
  </si>
  <si>
    <t>HOLLY SCHULZ  CSR  RPR</t>
  </si>
  <si>
    <t>BD HOLT CO</t>
  </si>
  <si>
    <t>NORTHWEST CASCADE INC</t>
  </si>
  <si>
    <t>AMERICAS EQUINE WAREHOUSE  INC.</t>
  </si>
  <si>
    <t>GREGORY LUCAS</t>
  </si>
  <si>
    <t>HEAT TRANSFER SOLUTIONS  INC.</t>
  </si>
  <si>
    <t>HYDRAULIC HOUSE INC</t>
  </si>
  <si>
    <t>IDEXX DISTRIBUTION INC</t>
  </si>
  <si>
    <t>INDIGENT HEALTHCARE SOLUTIONS</t>
  </si>
  <si>
    <t>IRON MOUNTAIN RECORDS MGMT INC</t>
  </si>
  <si>
    <t>JAMES K ALTGELT</t>
  </si>
  <si>
    <t>JENKINS &amp; JENKINS LLP</t>
  </si>
  <si>
    <t>JERRY STEDMAN</t>
  </si>
  <si>
    <t>JOHNNA GRIFFITH</t>
  </si>
  <si>
    <t>JON ETHEREDGE</t>
  </si>
  <si>
    <t>JORDAN BATTERSBY  MCDONALD</t>
  </si>
  <si>
    <t>JUSTIN MATTHEW FOHN</t>
  </si>
  <si>
    <t>MAX ACOSTA-RUBIO</t>
  </si>
  <si>
    <t>KENNETH LIMUEL</t>
  </si>
  <si>
    <t>KENT BROUSSARD TOWER RENTAL INC</t>
  </si>
  <si>
    <t>KERR COUNTY SHERIFF'S OFFICE</t>
  </si>
  <si>
    <t>CAPITAL AREA SURGEONS  PLLC</t>
  </si>
  <si>
    <t>KLEIBER FORD TRACTOR  INC.</t>
  </si>
  <si>
    <t>KNIGHT SECURITY SYSTEMS LLC</t>
  </si>
  <si>
    <t>KOETTER FIRE PROTECTION OF AUSTIN  LLC</t>
  </si>
  <si>
    <t>THE LA GRANGE PARTS HOUSE INC</t>
  </si>
  <si>
    <t>LABATT INSTITUTIONAL SUPPLY CO</t>
  </si>
  <si>
    <t>LAURA ROBERTSON</t>
  </si>
  <si>
    <t>LAVACA COUNTY SHERIFF</t>
  </si>
  <si>
    <t>LUCIO LEAL</t>
  </si>
  <si>
    <t>LEE COUNTY WATER SUPPLY CORP</t>
  </si>
  <si>
    <t>LEROY FERRELL</t>
  </si>
  <si>
    <t>LEXIS-NEXIS</t>
  </si>
  <si>
    <t>LEXISNEXIS RISK DATA MGMT INC</t>
  </si>
  <si>
    <t>LIBERTY COUNTY SHERIFF</t>
  </si>
  <si>
    <t>LISA MILLER</t>
  </si>
  <si>
    <t>LONE STAR CIRCLE OF CARE</t>
  </si>
  <si>
    <t>UNITED KWB COLLABORATIONS LLC</t>
  </si>
  <si>
    <t>LONNIE LAWRENCE DAVIS JR</t>
  </si>
  <si>
    <t>SCOTT BRYANT</t>
  </si>
  <si>
    <t>MACKAY COMMUNICATIONS  INC</t>
  </si>
  <si>
    <t>MARK GARCIA</t>
  </si>
  <si>
    <t>MARK T. MALONE  M.D. P.A</t>
  </si>
  <si>
    <t>JOHN W GASPARINI INC</t>
  </si>
  <si>
    <t>MARY BETH SCOTT</t>
  </si>
  <si>
    <t>MATHESON TRI-GAS INC</t>
  </si>
  <si>
    <t>McCREARY  VESELKA  BRAGG &amp; ALLEN P</t>
  </si>
  <si>
    <t>McKESSON MEDICAL-SURGICAL GOVERNMENT SOLUTIONS LLC</t>
  </si>
  <si>
    <t>MEDIMPACT HEALTHCARE SYSTEMS INC</t>
  </si>
  <si>
    <t>MELLANIE MICKELSON</t>
  </si>
  <si>
    <t>MENTALIX INC</t>
  </si>
  <si>
    <t>MIDTEX MATERIALS</t>
  </si>
  <si>
    <t>MILLER VETERINARY SUPPLY CO INC</t>
  </si>
  <si>
    <t>Children's Advocacy Center</t>
  </si>
  <si>
    <t>Family Crisis Center</t>
  </si>
  <si>
    <t>COURT APPOINTED SPECIAL ADVOCA</t>
  </si>
  <si>
    <t>Child Protective Services</t>
  </si>
  <si>
    <t>JACQUELINE ALVARENGA-GUTIERREZ</t>
  </si>
  <si>
    <t>ANDREA MARIE HIGGINS-WILLIAMS</t>
  </si>
  <si>
    <t>DAVID NOE MARTINEZ</t>
  </si>
  <si>
    <t>ADRIAN MARC MATA</t>
  </si>
  <si>
    <t>JAMES KEITH MCGOWIN</t>
  </si>
  <si>
    <t>ANTHONY LOUIS OSWALD</t>
  </si>
  <si>
    <t>GRACE NICOLE PEREZ</t>
  </si>
  <si>
    <t>SUSANA ROBERTSON</t>
  </si>
  <si>
    <t>MARY SANCHEZ SALAZAR</t>
  </si>
  <si>
    <t>ROLAND G SILVA</t>
  </si>
  <si>
    <t>MELBA JANE SKUBIATA</t>
  </si>
  <si>
    <t>BREANNA NOEL STEADMAN</t>
  </si>
  <si>
    <t>TIANNA KEANDREA HIGGINS</t>
  </si>
  <si>
    <t>MARJORIE OLIVER HICKS</t>
  </si>
  <si>
    <t>CIANNA GARCIA</t>
  </si>
  <si>
    <t>NICHOLAS JOHN STEINBRING</t>
  </si>
  <si>
    <t>TORRILYN GRACE GANNON</t>
  </si>
  <si>
    <t>COURTNEY BLAKE GAINES</t>
  </si>
  <si>
    <t>RICHARD TERRELL FRENCH</t>
  </si>
  <si>
    <t>CLIFFTON JOEL CRUTCHER</t>
  </si>
  <si>
    <t>BRIAN M CRIMINGER</t>
  </si>
  <si>
    <t>JIMMIE LEE CARTER</t>
  </si>
  <si>
    <t>HECTOR CARDONA</t>
  </si>
  <si>
    <t>TRAVIS PAUL BURKLUND</t>
  </si>
  <si>
    <t>KAYLA NICHOLE BOATRIGHT</t>
  </si>
  <si>
    <t>ROBERTO COY BARRON</t>
  </si>
  <si>
    <t>ALEXIS RAYANNA NICOLE BARRETT</t>
  </si>
  <si>
    <t>PERTHRESSIA KAY BARNETT</t>
  </si>
  <si>
    <t>BRENDA GARCIA</t>
  </si>
  <si>
    <t>TERESA CARLOS TOBAR</t>
  </si>
  <si>
    <t>FRANCES ELIZABETH DRUCK</t>
  </si>
  <si>
    <t>KIRSTEN GILLIAM GLENN</t>
  </si>
  <si>
    <t>ELIZABETH VALLE</t>
  </si>
  <si>
    <t>STARBUCK LYNN GAUL</t>
  </si>
  <si>
    <t>CLARK RONALD BERNHARD</t>
  </si>
  <si>
    <t>HEATH EDWARD FREPPON</t>
  </si>
  <si>
    <t>GLENIS JANELL MCBEE</t>
  </si>
  <si>
    <t>JEFF BELL MILLER JR</t>
  </si>
  <si>
    <t>ROBIN LYNN LILLEY</t>
  </si>
  <si>
    <t>RICHARD GERARD AMAYA</t>
  </si>
  <si>
    <t>AMY MICHELLE COLTER</t>
  </si>
  <si>
    <t>MONTGOMERY COUNTY CONSTABLE PCT 3</t>
  </si>
  <si>
    <t>MUSTANG MACHINERY COMPANY LTD</t>
  </si>
  <si>
    <t>NALCO COMPANY LLC</t>
  </si>
  <si>
    <t>NATIONAL FOOD GROUP INC</t>
  </si>
  <si>
    <t>NAVARRO COUNTY SHERIFF</t>
  </si>
  <si>
    <t>NEW HORIZONS COMPUTER LEARNING CENTERS  INC.</t>
  </si>
  <si>
    <t>JOHN NIXON</t>
  </si>
  <si>
    <t>O'REILLY AUTOMOTIVE  INC.</t>
  </si>
  <si>
    <t>OFFICE DEPOT</t>
  </si>
  <si>
    <t>NATIONAL TELEPHONE MESSAGE CORP</t>
  </si>
  <si>
    <t>OSBURN ASSOCIATES INC.</t>
  </si>
  <si>
    <t>OUTLAW TRUCK OUTFITTERS</t>
  </si>
  <si>
    <t>P SQUARED EMULSION PLANTS  LLC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</si>
  <si>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</si>
  <si>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</si>
  <si>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</si>
  <si>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</si>
  <si>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</si>
  <si>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PAUL GRANADO</t>
  </si>
  <si>
    <t>PEGGY O'GRADY</t>
  </si>
  <si>
    <t>PHILIP R DUCLOUX</t>
  </si>
  <si>
    <t>POST OAK HARDWARE  INC.</t>
  </si>
  <si>
    <t>JOHN DEERE FINANCIAL f.s.b.</t>
  </si>
  <si>
    <t>POPE PRO ENTERPRISES INC</t>
  </si>
  <si>
    <t>PROGRESSIVE - RESTITUTION ACCT</t>
  </si>
  <si>
    <t>ELGIN PROVIDENCE LLC</t>
  </si>
  <si>
    <t>MADTEX  INC.</t>
  </si>
  <si>
    <t>NESTLE WATERS N AMERICA INC</t>
  </si>
  <si>
    <t>REBECCA STRNAD</t>
  </si>
  <si>
    <t>NRG ENERGY INC</t>
  </si>
  <si>
    <t>RESERVE ACCOUNT</t>
  </si>
  <si>
    <t>RICOH USA INC</t>
  </si>
  <si>
    <t>CIT TECHNOLOGY FINANCE</t>
  </si>
  <si>
    <t>MIKE DAVIS</t>
  </si>
  <si>
    <t>RUNKLE ENTERPRISES</t>
  </si>
  <si>
    <t>ROADRUNNER RADIOLOGY EQUIP LLC</t>
  </si>
  <si>
    <t>ROBERT MADDEN INDUSTRIES LTD</t>
  </si>
  <si>
    <t>ROCKY ROAD PRINTING</t>
  </si>
  <si>
    <t>ROSE PIETSCH COUNTY CLERK</t>
  </si>
  <si>
    <t>RUSH CHEVROLET LLC</t>
  </si>
  <si>
    <t>RUTH PORTER</t>
  </si>
  <si>
    <t>SCOTT MERRIMAN INC</t>
  </si>
  <si>
    <t>SECURETECH SYSTEMS  INC.</t>
  </si>
  <si>
    <t>SETON HEALTHCARE SPONSORED PROJECTS</t>
  </si>
  <si>
    <t>SHARON HANCOCK</t>
  </si>
  <si>
    <t>SHERWIN WILLIAMS CO</t>
  </si>
  <si>
    <t>SHI GOVERNMENT SOLUTIONS INC.</t>
  </si>
  <si>
    <t>SHOPPA'S FARM SUPPLY</t>
  </si>
  <si>
    <t>SHRED-IT US HOLDCO  INC</t>
  </si>
  <si>
    <t>RONALD JOHN CALDWELL JR</t>
  </si>
  <si>
    <t>SILSBEE FORD</t>
  </si>
  <si>
    <t>SINGLETON ASSOCIATES  PA</t>
  </si>
  <si>
    <t>SKYLINE EQUIPMENT LLC</t>
  </si>
  <si>
    <t>SMITH STORES  INC.</t>
  </si>
  <si>
    <t>SMITHVILLE AUTO PARTS  INC</t>
  </si>
  <si>
    <t>SMITHVILLE COMMUNITY CLINIC  INC</t>
  </si>
  <si>
    <t>SMITHVILLE POLICE DEPT.</t>
  </si>
  <si>
    <t>SOUTH CENTRAL PLANNING AND DEVELOPMENT COMMISSION</t>
  </si>
  <si>
    <t>SOUTHERN COMPUTER WAREHOUSE INC</t>
  </si>
  <si>
    <t>SOUTHERN TIRE MART LLC</t>
  </si>
  <si>
    <t>DS WATERS OF AMERICA INC</t>
  </si>
  <si>
    <t>SPECIALTY VETERINARY PHARMACY INC</t>
  </si>
  <si>
    <t>ST. DAVIDS HEART &amp; VASCULAR  PLLC</t>
  </si>
  <si>
    <t>ST. MARK'S MEDICAL CENTER</t>
  </si>
  <si>
    <t>STAPLES  INC.</t>
  </si>
  <si>
    <t>STATE OF TEXAS</t>
  </si>
  <si>
    <t>STERICYCLE  INC.</t>
  </si>
  <si>
    <t>STEVEN HILBIG</t>
  </si>
  <si>
    <t>MATTHEW LEE SULLINS</t>
  </si>
  <si>
    <t>SUN COAST RESOURCES</t>
  </si>
  <si>
    <t>SUNSHIELD WINDOW TINT</t>
  </si>
  <si>
    <t>T-MOBILE USA</t>
  </si>
  <si>
    <t>TAVCO SERVICES INC</t>
  </si>
  <si>
    <t>TEXAS DISTRICT &amp; COUNTY ATTORNEYS ASSOCIATION</t>
  </si>
  <si>
    <t>TEXAS A&amp;M ENGINEERING EXTENSION SERVICE</t>
  </si>
  <si>
    <t>TEJAS ELEVATOR COMPANY</t>
  </si>
  <si>
    <t>JOHN J FIETSAM INC</t>
  </si>
  <si>
    <t>TEX-CON OIL CO</t>
  </si>
  <si>
    <t>TEXAS ASSOCIATES INSURORS AGENCY</t>
  </si>
  <si>
    <t>TEXAS CORRUGATORS INC</t>
  </si>
  <si>
    <t>TEXAS CRUSHED STONE CO.</t>
  </si>
  <si>
    <t>TEXAS DISPOSAL SYSTEMS  INC.</t>
  </si>
  <si>
    <t>TEXAS JUSTICE COURT TRAINING CENTER</t>
  </si>
  <si>
    <t>TEXAS STATE UNIVERSITY</t>
  </si>
  <si>
    <t>TEXAS MATERIALS GROUP  INC.</t>
  </si>
  <si>
    <t>TEXAS PARKS &amp; WILDLIFE DEPARTMENT</t>
  </si>
  <si>
    <t>TEXAS POLICE ASSOCIATION</t>
  </si>
  <si>
    <t>TEXAS TRAVEL ALLIANCE</t>
  </si>
  <si>
    <t>BUG MASTER EXTERMINATING SERVICES  LTD</t>
  </si>
  <si>
    <t>RICHARD NELSON MOORE</t>
  </si>
  <si>
    <t>WEST PUBLISHING CORPORATION</t>
  </si>
  <si>
    <t>TIM MAHONEY  ATTORNEY AT LAW  PC</t>
  </si>
  <si>
    <t>TWE-ADVANCE/NEWHOUSE PARTNERSHIP</t>
  </si>
  <si>
    <t>TELVA D KESLER</t>
  </si>
  <si>
    <t>TRACTOR SUPPLY CREDIT PLAN</t>
  </si>
  <si>
    <t>TRAVIS COUNTY CLERK</t>
  </si>
  <si>
    <t>TRAVIS COUNTY CONSTABLE PCT 5</t>
  </si>
  <si>
    <t>TRAVIS COUNTY EMERGENCY PHYSICIANS PA</t>
  </si>
  <si>
    <t>TRAVIS COUNTY MEDICAL EXAMINER</t>
  </si>
  <si>
    <t>SETON FAMILY OF DOCTORS</t>
  </si>
  <si>
    <t>TRI-TECH FORENSICS  INC.</t>
  </si>
  <si>
    <t>TULL FARLEY</t>
  </si>
  <si>
    <t>TVMDL</t>
  </si>
  <si>
    <t>TYLER TECHNOLOGIES INC</t>
  </si>
  <si>
    <t>ULINE  INC.</t>
  </si>
  <si>
    <t>COUFAL-PRATER EQUIPMENT  LLC</t>
  </si>
  <si>
    <t>UNITED REFRIGERATION INC</t>
  </si>
  <si>
    <t>UNIVERSITY OF HOUSTON-CLEAR LAKE</t>
  </si>
  <si>
    <t>VERMEER EQUIPMENT OF TEXAS  INC.</t>
  </si>
  <si>
    <t>TEXAS DEPARTMENT OF STATE HEALTH SERVICES</t>
  </si>
  <si>
    <t>VORTECH PHARMACEUTICALS LTD</t>
  </si>
  <si>
    <t>US BANK NA</t>
  </si>
  <si>
    <t>VTX COMMUNICATIONS  LLC</t>
  </si>
  <si>
    <t>VULCAN  INC.</t>
  </si>
  <si>
    <t>WALLER COUNTY ASPHALT INC</t>
  </si>
  <si>
    <t>WASTE CONNECTIONS LONE STAR. INC.</t>
  </si>
  <si>
    <t>WASTE MANAGEMENT OF TEXAS  INC</t>
  </si>
  <si>
    <t>WELLS FARGO BANK  NA</t>
  </si>
  <si>
    <t>WESTLAKE ANESTHESIA GROUP PA</t>
  </si>
  <si>
    <t>MAO PHARMACY INC</t>
  </si>
  <si>
    <t>WILSON COUNTY CONSTABLE  PCT 3</t>
  </si>
  <si>
    <t>YOKA INC</t>
  </si>
  <si>
    <t>YVONNE ROCHA</t>
  </si>
  <si>
    <t>ZOETIS US LLC</t>
  </si>
  <si>
    <t>BASTROP CHRISTIAN OUTREACH CENTER  INC</t>
  </si>
  <si>
    <t>BASTROP INDEPENDENT SCHOOL DISTRICT</t>
  </si>
  <si>
    <t>GARLAND/DBS  INC.</t>
  </si>
  <si>
    <t>H&amp;H OIL  L.P.</t>
  </si>
  <si>
    <t>LANGFORD COMMUNITY MGMT INC</t>
  </si>
  <si>
    <t>LEE CONSTRUCTION &amp; MAINTENANCE COMPANY</t>
  </si>
  <si>
    <t>MOTOROLA SOLUTIONS  IN.C</t>
  </si>
  <si>
    <t>RPS INFRASTRUCTURE</t>
  </si>
  <si>
    <t>STEVE GRANADO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</si>
  <si>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</si>
  <si>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</si>
  <si>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</si>
  <si>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</si>
  <si>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</si>
  <si>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</si>
  <si>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INDIANA STATE CENTRAL COLLECTION UNIT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</si>
  <si>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</si>
  <si>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</si>
  <si>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</si>
  <si>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</si>
  <si>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</si>
  <si>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</si>
  <si>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</si>
  <si>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7-ELEVEN AUSTIN TEXAS</t>
  </si>
  <si>
    <t>AXIA ACQUISITION CORP.</t>
  </si>
  <si>
    <t>GATEHOUSE MEDIA TEXAS HOLDINGS II  INC.</t>
  </si>
  <si>
    <t>MULTI SERVICE TECHNOLOGY SOLUTIONS  INC.</t>
  </si>
  <si>
    <t>ARV  INC</t>
  </si>
  <si>
    <t>BOBBY BROWN</t>
  </si>
  <si>
    <t>CAPITOL VISITORS PARKING</t>
  </si>
  <si>
    <t>NEW URBAN RESEARCH  INC</t>
  </si>
  <si>
    <t>MUNICIPAL SERVICES BUREAU/GILA GROUP</t>
  </si>
  <si>
    <t>DICKENS LOCKSMITH INC</t>
  </si>
  <si>
    <t>OHM GURU KRUPA LLC</t>
  </si>
  <si>
    <t>HHTX ASSOCIATES LLC</t>
  </si>
  <si>
    <t>CITIBANK (SOUTH DAKOTA)N.A./THE HOME DEPOT</t>
  </si>
  <si>
    <t>BURRIS COMPUTER FORMS</t>
  </si>
  <si>
    <t>LOWE'S</t>
  </si>
  <si>
    <t>MASTER LOCK COMPANY LLC</t>
  </si>
  <si>
    <t>McCOY'S BUILDING SUPPLY CENTER</t>
  </si>
  <si>
    <t>POSTMASTER</t>
  </si>
  <si>
    <t>Q ORE PERFORMANCE  INC</t>
  </si>
  <si>
    <t>BASTROP CAR WASH SERVICES LLC</t>
  </si>
  <si>
    <t>RED WING BUSINESS ADVANTAGE ACCOUNT</t>
  </si>
  <si>
    <t>ERIC OPIELA PLLC</t>
  </si>
  <si>
    <t>WALMART # 01-1042</t>
  </si>
  <si>
    <t>HARBOR FREIGHT TOOLS USA 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</si>
</sst>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43" fontId="0" fillId="0" borderId="0" xfId="1" applyFont="1"/>
    <xf numFmtId="43" fontId="0" fillId="0" borderId="10" xfId="1" applyFont="1" applyBorder="1"/>
    <xf numFmtId="165" fontId="18" fillId="0" borderId="0" xfId="0" applyNumberFormat="1" applyFont="1"/>
    <xf numFmtId="165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9"/>
  <sheetViews>
    <sheetView tabSelected="1" workbookViewId="0"/>
  </sheetViews>
  <sheetFormatPr defaultRowHeight="15" x14ac:dyDescent="0.25"/>
  <cols>
    <col min="1" max="1" width="57.140625" bestFit="1" customWidth="1"/>
    <col min="3" max="3" width="13.28515625" style="3" bestFit="1" customWidth="1"/>
    <col min="4" max="4" width="10.85546875" style="6" bestFit="1" customWidth="1"/>
    <col min="5" max="5" width="17.85546875" bestFit="1" customWidth="1"/>
    <col min="6" max="6" width="35.85546875" bestFit="1" customWidth="1"/>
    <col min="7" max="7" width="18" style="3" bestFit="1" customWidth="1"/>
    <col min="8" max="8" width="35.710937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5" t="s">
        <v>3</v>
      </c>
      <c r="E1" s="1" t="s">
        <v>4</v>
      </c>
      <c r="F1" s="1" t="s">
        <v>5</v>
      </c>
      <c r="G1" s="2" t="s">
        <v>7</v>
      </c>
      <c r="H1" s="1" t="s">
        <v>6</v>
      </c>
    </row>
    <row r="2" spans="1:8" x14ac:dyDescent="0.25">
      <c r="A2" t="s">
        <v>8</v>
      </c>
      <c r="B2">
        <v>136669</v>
      </c>
      <c r="C2" s="3">
        <v>45</v>
      </c>
      <c r="D2" s="6">
        <v>44426</v>
      </c>
      <c r="E2" t="str">
        <f>"202108185299"</f>
        <v>202108185299</v>
      </c>
      <c r="F2" t="str">
        <f>"REIMBURSE 23621  26260  27573"</f>
        <v>REIMBURSE 23621  26260  27573</v>
      </c>
      <c r="G2" s="3">
        <v>45</v>
      </c>
      <c r="H2" t="str">
        <f>"REIMBURSE 23621  26260  27573"</f>
        <v>REIMBURSE 23621  26260  27573</v>
      </c>
    </row>
    <row r="3" spans="1:8" x14ac:dyDescent="0.25">
      <c r="A3" t="s">
        <v>8</v>
      </c>
      <c r="B3">
        <v>136670</v>
      </c>
      <c r="C3" s="3">
        <v>60</v>
      </c>
      <c r="D3" s="6">
        <v>44431</v>
      </c>
      <c r="E3" t="str">
        <f>"202108175239"</f>
        <v>202108175239</v>
      </c>
      <c r="F3" t="str">
        <f>"REIMBURSE COUPONS #24008/25871"</f>
        <v>REIMBURSE COUPONS #24008/25871</v>
      </c>
      <c r="G3" s="3">
        <v>60</v>
      </c>
      <c r="H3" t="str">
        <f>"REIMBURSE COUPONS #24008/25871"</f>
        <v>REIMBURSE COUPONS #24008/25871</v>
      </c>
    </row>
    <row r="4" spans="1:8" x14ac:dyDescent="0.25">
      <c r="A4" t="s">
        <v>9</v>
      </c>
      <c r="B4">
        <v>4864</v>
      </c>
      <c r="C4" s="3">
        <v>1061.9100000000001</v>
      </c>
      <c r="D4" s="6">
        <v>44418</v>
      </c>
      <c r="E4" t="str">
        <f>"9725-001-122427"</f>
        <v>9725-001-122427</v>
      </c>
      <c r="F4" t="str">
        <f>"ACCT#9725-001/PCT#2"</f>
        <v>ACCT#9725-001/PCT#2</v>
      </c>
      <c r="G4" s="3">
        <v>217.8</v>
      </c>
      <c r="H4" t="str">
        <f>"ACCT#9725-001/PCT#2"</f>
        <v>ACCT#9725-001/PCT#2</v>
      </c>
    </row>
    <row r="5" spans="1:8" x14ac:dyDescent="0.25">
      <c r="E5" t="str">
        <f>"9725-001-122578"</f>
        <v>9725-001-122578</v>
      </c>
      <c r="F5" t="str">
        <f>"ACCT#9725-001/PCT#2"</f>
        <v>ACCT#9725-001/PCT#2</v>
      </c>
      <c r="G5" s="3">
        <v>215.64</v>
      </c>
      <c r="H5" t="str">
        <f>"ACCT#9725-001/PCT#2"</f>
        <v>ACCT#9725-001/PCT#2</v>
      </c>
    </row>
    <row r="6" spans="1:8" x14ac:dyDescent="0.25">
      <c r="E6" t="str">
        <f>"9725-004-122228"</f>
        <v>9725-004-122228</v>
      </c>
      <c r="F6" t="str">
        <f>"ACCT#9725-004/PCT#1"</f>
        <v>ACCT#9725-004/PCT#1</v>
      </c>
      <c r="G6" s="3">
        <v>628.47</v>
      </c>
      <c r="H6" t="str">
        <f>"ACCT#9725-004/PCT#1"</f>
        <v>ACCT#9725-004/PCT#1</v>
      </c>
    </row>
    <row r="7" spans="1:8" x14ac:dyDescent="0.25">
      <c r="A7" t="s">
        <v>9</v>
      </c>
      <c r="B7">
        <v>4933</v>
      </c>
      <c r="C7" s="3">
        <v>2804.4</v>
      </c>
      <c r="D7" s="6">
        <v>44432</v>
      </c>
      <c r="E7" t="str">
        <f>"9725-004-122212"</f>
        <v>9725-004-122212</v>
      </c>
      <c r="F7" t="str">
        <f>"ACCT#9725-004/PCT#1"</f>
        <v>ACCT#9725-004/PCT#1</v>
      </c>
      <c r="G7" s="3">
        <v>2098.71</v>
      </c>
      <c r="H7" t="str">
        <f>"ACCT#9725-004/PCT#1"</f>
        <v>ACCT#9725-004/PCT#1</v>
      </c>
    </row>
    <row r="8" spans="1:8" x14ac:dyDescent="0.25">
      <c r="E8" t="str">
        <f>"9725-004-122736"</f>
        <v>9725-004-122736</v>
      </c>
      <c r="F8" t="str">
        <f>"ACCT#9725-004/PCT#1"</f>
        <v>ACCT#9725-004/PCT#1</v>
      </c>
      <c r="G8" s="3">
        <v>267.3</v>
      </c>
      <c r="H8" t="str">
        <f>"ACCT#9725-004/PCT#1"</f>
        <v>ACCT#9725-004/PCT#1</v>
      </c>
    </row>
    <row r="9" spans="1:8" x14ac:dyDescent="0.25">
      <c r="E9" t="str">
        <f>"9725-004-122756"</f>
        <v>9725-004-122756</v>
      </c>
      <c r="F9" t="str">
        <f>"ACCT#9725-004/PCT#1"</f>
        <v>ACCT#9725-004/PCT#1</v>
      </c>
      <c r="G9" s="3">
        <v>267.3</v>
      </c>
      <c r="H9" t="str">
        <f>"ACCT#9725-004/PCT#1"</f>
        <v>ACCT#9725-004/PCT#1</v>
      </c>
    </row>
    <row r="10" spans="1:8" x14ac:dyDescent="0.25">
      <c r="E10" t="str">
        <f>"9725-004-122802"</f>
        <v>9725-004-122802</v>
      </c>
      <c r="F10" t="str">
        <f>"ACCT#9725-004"</f>
        <v>ACCT#9725-004</v>
      </c>
      <c r="G10" s="3">
        <v>171.09</v>
      </c>
      <c r="H10" t="str">
        <f>"ACCT#9725-004"</f>
        <v>ACCT#9725-004</v>
      </c>
    </row>
    <row r="11" spans="1:8" x14ac:dyDescent="0.25">
      <c r="A11" t="s">
        <v>10</v>
      </c>
      <c r="B11">
        <v>136671</v>
      </c>
      <c r="C11" s="3">
        <v>120</v>
      </c>
      <c r="D11" s="6">
        <v>44431</v>
      </c>
      <c r="E11" t="str">
        <f>"202108175238"</f>
        <v>202108175238</v>
      </c>
      <c r="F11" t="str">
        <f>"REIMBURSE COUPONS #27513/25588"</f>
        <v>REIMBURSE COUPONS #27513/25588</v>
      </c>
      <c r="G11" s="3">
        <v>120</v>
      </c>
      <c r="H11" t="str">
        <f>"REIMBURSE COUPONS #27513/25588"</f>
        <v>REIMBURSE COUPONS #27513/25588</v>
      </c>
    </row>
    <row r="12" spans="1:8" x14ac:dyDescent="0.25">
      <c r="A12" t="s">
        <v>11</v>
      </c>
      <c r="B12">
        <v>136548</v>
      </c>
      <c r="C12" s="3">
        <v>781.34</v>
      </c>
      <c r="D12" s="6">
        <v>44417</v>
      </c>
      <c r="E12" t="str">
        <f>"437980"</f>
        <v>437980</v>
      </c>
      <c r="F12" t="str">
        <f>"CUST#16500/PCT#4"</f>
        <v>CUST#16500/PCT#4</v>
      </c>
      <c r="G12" s="3">
        <v>781.34</v>
      </c>
      <c r="H12" t="str">
        <f>"CUST#16500/PCT#4"</f>
        <v>CUST#16500/PCT#4</v>
      </c>
    </row>
    <row r="13" spans="1:8" x14ac:dyDescent="0.25">
      <c r="A13" t="s">
        <v>12</v>
      </c>
      <c r="B13">
        <v>136549</v>
      </c>
      <c r="C13" s="3">
        <v>910</v>
      </c>
      <c r="D13" s="6">
        <v>44417</v>
      </c>
      <c r="E13" t="str">
        <f>"202108024842"</f>
        <v>202108024842</v>
      </c>
      <c r="F13" t="str">
        <f>"21-20807"</f>
        <v>21-20807</v>
      </c>
      <c r="G13" s="3">
        <v>302.5</v>
      </c>
      <c r="H13" t="str">
        <f>"21-20807"</f>
        <v>21-20807</v>
      </c>
    </row>
    <row r="14" spans="1:8" x14ac:dyDescent="0.25">
      <c r="E14" t="str">
        <f>"202108024843"</f>
        <v>202108024843</v>
      </c>
      <c r="F14" t="str">
        <f>"20-20454"</f>
        <v>20-20454</v>
      </c>
      <c r="G14" s="3">
        <v>22.5</v>
      </c>
      <c r="H14" t="str">
        <f>"20-20454"</f>
        <v>20-20454</v>
      </c>
    </row>
    <row r="15" spans="1:8" x14ac:dyDescent="0.25">
      <c r="E15" t="str">
        <f>"202108024844"</f>
        <v>202108024844</v>
      </c>
      <c r="F15" t="str">
        <f>"21-20724"</f>
        <v>21-20724</v>
      </c>
      <c r="G15" s="3">
        <v>60</v>
      </c>
      <c r="H15" t="str">
        <f>"21-20724"</f>
        <v>21-20724</v>
      </c>
    </row>
    <row r="16" spans="1:8" x14ac:dyDescent="0.25">
      <c r="E16" t="str">
        <f>"202108024845"</f>
        <v>202108024845</v>
      </c>
      <c r="F16" t="str">
        <f>"19-20002"</f>
        <v>19-20002</v>
      </c>
      <c r="G16" s="3">
        <v>22.5</v>
      </c>
      <c r="H16" t="str">
        <f>"19-20002"</f>
        <v>19-20002</v>
      </c>
    </row>
    <row r="17" spans="1:8" x14ac:dyDescent="0.25">
      <c r="E17" t="str">
        <f>"202108024846"</f>
        <v>202108024846</v>
      </c>
      <c r="F17" t="str">
        <f>"20-20261"</f>
        <v>20-20261</v>
      </c>
      <c r="G17" s="3">
        <v>45</v>
      </c>
      <c r="H17" t="str">
        <f>"20-20261"</f>
        <v>20-20261</v>
      </c>
    </row>
    <row r="18" spans="1:8" x14ac:dyDescent="0.25">
      <c r="E18" t="str">
        <f>"202108024847"</f>
        <v>202108024847</v>
      </c>
      <c r="F18" t="str">
        <f>"20-20321"</f>
        <v>20-20321</v>
      </c>
      <c r="G18" s="3">
        <v>307.5</v>
      </c>
      <c r="H18" t="str">
        <f>"20-20321"</f>
        <v>20-20321</v>
      </c>
    </row>
    <row r="19" spans="1:8" x14ac:dyDescent="0.25">
      <c r="E19" t="str">
        <f>"202108024848"</f>
        <v>202108024848</v>
      </c>
      <c r="F19" t="str">
        <f>"20-20077"</f>
        <v>20-20077</v>
      </c>
      <c r="G19" s="3">
        <v>67.5</v>
      </c>
      <c r="H19" t="str">
        <f>"20-20077"</f>
        <v>20-20077</v>
      </c>
    </row>
    <row r="20" spans="1:8" x14ac:dyDescent="0.25">
      <c r="E20" t="str">
        <f>"202108024849"</f>
        <v>202108024849</v>
      </c>
      <c r="F20" t="str">
        <f>"21-20702"</f>
        <v>21-20702</v>
      </c>
      <c r="G20" s="3">
        <v>30</v>
      </c>
      <c r="H20" t="str">
        <f>"21-20702"</f>
        <v>21-20702</v>
      </c>
    </row>
    <row r="21" spans="1:8" x14ac:dyDescent="0.25">
      <c r="E21" t="str">
        <f>"202108024850"</f>
        <v>202108024850</v>
      </c>
      <c r="F21" t="str">
        <f>"21-20594"</f>
        <v>21-20594</v>
      </c>
      <c r="G21" s="3">
        <v>22.5</v>
      </c>
      <c r="H21" t="str">
        <f>"21-20594"</f>
        <v>21-20594</v>
      </c>
    </row>
    <row r="22" spans="1:8" x14ac:dyDescent="0.25">
      <c r="E22" t="str">
        <f>"202108024851"</f>
        <v>202108024851</v>
      </c>
      <c r="F22" t="str">
        <f>"21-20568"</f>
        <v>21-20568</v>
      </c>
      <c r="G22" s="3">
        <v>30</v>
      </c>
      <c r="H22" t="str">
        <f>"21-20568"</f>
        <v>21-20568</v>
      </c>
    </row>
    <row r="23" spans="1:8" x14ac:dyDescent="0.25">
      <c r="A23" t="s">
        <v>13</v>
      </c>
      <c r="B23">
        <v>136550</v>
      </c>
      <c r="C23" s="3">
        <v>13500</v>
      </c>
      <c r="D23" s="6">
        <v>44417</v>
      </c>
      <c r="E23" t="str">
        <f>"202108034959"</f>
        <v>202108034959</v>
      </c>
      <c r="F23" t="str">
        <f>"16667"</f>
        <v>16667</v>
      </c>
      <c r="G23" s="3">
        <v>12900</v>
      </c>
      <c r="H23" t="str">
        <f>"16667"</f>
        <v>16667</v>
      </c>
    </row>
    <row r="24" spans="1:8" x14ac:dyDescent="0.25">
      <c r="E24" t="str">
        <f>"202108034960"</f>
        <v>202108034960</v>
      </c>
      <c r="F24" t="str">
        <f>"17-090"</f>
        <v>17-090</v>
      </c>
      <c r="G24" s="3">
        <v>600</v>
      </c>
      <c r="H24" t="str">
        <f>"17-090"</f>
        <v>17-090</v>
      </c>
    </row>
    <row r="25" spans="1:8" x14ac:dyDescent="0.25">
      <c r="A25" t="s">
        <v>14</v>
      </c>
      <c r="B25">
        <v>4943</v>
      </c>
      <c r="C25" s="3">
        <v>263</v>
      </c>
      <c r="D25" s="6">
        <v>44432</v>
      </c>
      <c r="E25" t="str">
        <f>"202108165233"</f>
        <v>202108165233</v>
      </c>
      <c r="F25" t="str">
        <f>"REIMBURSE/ADENA LEWIS"</f>
        <v>REIMBURSE/ADENA LEWIS</v>
      </c>
      <c r="G25" s="3">
        <v>263</v>
      </c>
      <c r="H25" t="str">
        <f>"REIMBURSE/ADENA LEWIS"</f>
        <v>REIMBURSE/ADENA LEWIS</v>
      </c>
    </row>
    <row r="26" spans="1:8" x14ac:dyDescent="0.25">
      <c r="A26" t="s">
        <v>15</v>
      </c>
      <c r="B26">
        <v>136672</v>
      </c>
      <c r="C26" s="3">
        <v>322.75</v>
      </c>
      <c r="D26" s="6">
        <v>44431</v>
      </c>
      <c r="E26" t="str">
        <f>"21-28124"</f>
        <v>21-28124</v>
      </c>
      <c r="F26" t="str">
        <f>"INV 207394"</f>
        <v>INV 207394</v>
      </c>
      <c r="G26" s="3">
        <v>322.75</v>
      </c>
      <c r="H26" t="str">
        <f>"INV 207394"</f>
        <v>INV 207394</v>
      </c>
    </row>
    <row r="27" spans="1:8" x14ac:dyDescent="0.25">
      <c r="A27" t="s">
        <v>16</v>
      </c>
      <c r="B27">
        <v>136551</v>
      </c>
      <c r="C27" s="3">
        <v>246.89</v>
      </c>
      <c r="D27" s="6">
        <v>44417</v>
      </c>
      <c r="E27" t="str">
        <f>"9115350827"</f>
        <v>9115350827</v>
      </c>
      <c r="F27" t="str">
        <f>"ACCT#2278443/PCT#2"</f>
        <v>ACCT#2278443/PCT#2</v>
      </c>
      <c r="G27" s="3">
        <v>223.54</v>
      </c>
      <c r="H27" t="str">
        <f>"ACCT#2278443/PCT#2"</f>
        <v>ACCT#2278443/PCT#2</v>
      </c>
    </row>
    <row r="28" spans="1:8" x14ac:dyDescent="0.25">
      <c r="E28" t="str">
        <f>"9115350828"</f>
        <v>9115350828</v>
      </c>
      <c r="F28" t="str">
        <f>"ACCT#2278443/PCT#2"</f>
        <v>ACCT#2278443/PCT#2</v>
      </c>
      <c r="G28" s="3">
        <v>23.35</v>
      </c>
      <c r="H28" t="str">
        <f>"ACCT#2278443/PCT#2"</f>
        <v>ACCT#2278443/PCT#2</v>
      </c>
    </row>
    <row r="29" spans="1:8" x14ac:dyDescent="0.25">
      <c r="A29" t="s">
        <v>17</v>
      </c>
      <c r="B29">
        <v>136552</v>
      </c>
      <c r="C29" s="3">
        <v>239.45</v>
      </c>
      <c r="D29" s="6">
        <v>44417</v>
      </c>
      <c r="E29" t="str">
        <f>"7588304"</f>
        <v>7588304</v>
      </c>
      <c r="F29" t="str">
        <f>"CUST#17295/PCT#3"</f>
        <v>CUST#17295/PCT#3</v>
      </c>
      <c r="G29" s="3">
        <v>239.45</v>
      </c>
      <c r="H29" t="str">
        <f>"CUST#17295/PCT#3"</f>
        <v>CUST#17295/PCT#3</v>
      </c>
    </row>
    <row r="30" spans="1:8" x14ac:dyDescent="0.25">
      <c r="A30" t="s">
        <v>17</v>
      </c>
      <c r="B30">
        <v>136673</v>
      </c>
      <c r="C30" s="3">
        <v>733</v>
      </c>
      <c r="D30" s="6">
        <v>44431</v>
      </c>
      <c r="E30" t="str">
        <f>"7610625"</f>
        <v>7610625</v>
      </c>
      <c r="F30" t="str">
        <f>"CUST#17295/PCT#4"</f>
        <v>CUST#17295/PCT#4</v>
      </c>
      <c r="G30" s="3">
        <v>733</v>
      </c>
      <c r="H30" t="str">
        <f>"CUST#17295/PCT#4"</f>
        <v>CUST#17295/PCT#4</v>
      </c>
    </row>
    <row r="31" spans="1:8" x14ac:dyDescent="0.25">
      <c r="A31" t="s">
        <v>18</v>
      </c>
      <c r="B31">
        <v>4869</v>
      </c>
      <c r="C31" s="3">
        <v>586.42999999999995</v>
      </c>
      <c r="D31" s="6">
        <v>44418</v>
      </c>
      <c r="E31" t="str">
        <f>"202108034963"</f>
        <v>202108034963</v>
      </c>
      <c r="F31" t="str">
        <f>"HAULING/GENERAL SVCS"</f>
        <v>HAULING/GENERAL SVCS</v>
      </c>
      <c r="G31" s="3">
        <v>586.42999999999995</v>
      </c>
      <c r="H31" t="str">
        <f>"HAULING/GENERAL SVCS"</f>
        <v>HAULING/GENERAL SVCS</v>
      </c>
    </row>
    <row r="32" spans="1:8" x14ac:dyDescent="0.25">
      <c r="A32" t="s">
        <v>19</v>
      </c>
      <c r="B32">
        <v>4882</v>
      </c>
      <c r="C32" s="3">
        <v>2289.48</v>
      </c>
      <c r="D32" s="6">
        <v>44418</v>
      </c>
      <c r="E32" t="str">
        <f>"202108035007"</f>
        <v>202108035007</v>
      </c>
      <c r="F32" t="str">
        <f>"Evidence Supplies"</f>
        <v>Evidence Supplies</v>
      </c>
      <c r="G32" s="3">
        <v>83.94</v>
      </c>
      <c r="H32" t="str">
        <f>"Orange Spray Paint"</f>
        <v>Orange Spray Paint</v>
      </c>
    </row>
    <row r="33" spans="1:8" x14ac:dyDescent="0.25">
      <c r="E33" t="str">
        <f>""</f>
        <v/>
      </c>
      <c r="F33" t="str">
        <f>""</f>
        <v/>
      </c>
      <c r="G33" s="3">
        <v>39.21</v>
      </c>
      <c r="H33" t="str">
        <f>"White Boxes"</f>
        <v>White Boxes</v>
      </c>
    </row>
    <row r="34" spans="1:8" x14ac:dyDescent="0.25">
      <c r="E34" t="str">
        <f>""</f>
        <v/>
      </c>
      <c r="F34" t="str">
        <f>""</f>
        <v/>
      </c>
      <c r="G34" s="3">
        <v>8.3800000000000008</v>
      </c>
      <c r="H34" t="str">
        <f>"Ziploc Bags"</f>
        <v>Ziploc Bags</v>
      </c>
    </row>
    <row r="35" spans="1:8" x14ac:dyDescent="0.25">
      <c r="E35" t="str">
        <f>"202108035008"</f>
        <v>202108035008</v>
      </c>
      <c r="F35" t="str">
        <f>"SD Card for Camera"</f>
        <v>SD Card for Camera</v>
      </c>
      <c r="G35" s="3">
        <v>13.95</v>
      </c>
      <c r="H35" t="str">
        <f>"SD Card for Camera"</f>
        <v>SD Card for Camera</v>
      </c>
    </row>
    <row r="36" spans="1:8" x14ac:dyDescent="0.25">
      <c r="E36" t="str">
        <f>"202108035013"</f>
        <v>202108035013</v>
      </c>
      <c r="F36" t="str">
        <f>"Cardboard Boxes"</f>
        <v>Cardboard Boxes</v>
      </c>
      <c r="G36" s="3">
        <v>210</v>
      </c>
      <c r="H36" t="str">
        <f>"Cardboard Boxes"</f>
        <v>Cardboard Boxes</v>
      </c>
    </row>
    <row r="37" spans="1:8" x14ac:dyDescent="0.25">
      <c r="E37" t="str">
        <f>"202108035015"</f>
        <v>202108035015</v>
      </c>
      <c r="F37" t="str">
        <f>"AMAZON CAPITAL SERVICES INC"</f>
        <v>AMAZON CAPITAL SERVICES INC</v>
      </c>
      <c r="G37" s="3">
        <v>156.19999999999999</v>
      </c>
      <c r="H37" t="str">
        <f>"Nupla Shovel"</f>
        <v>Nupla Shovel</v>
      </c>
    </row>
    <row r="38" spans="1:8" x14ac:dyDescent="0.25">
      <c r="E38" t="str">
        <f>"202108045045"</f>
        <v>202108045045</v>
      </c>
      <c r="F38" t="str">
        <f>"Amazon Order Supplies"</f>
        <v>Amazon Order Supplies</v>
      </c>
      <c r="G38" s="3">
        <v>194.98</v>
      </c>
      <c r="H38" t="str">
        <f>"Shredder"</f>
        <v>Shredder</v>
      </c>
    </row>
    <row r="39" spans="1:8" x14ac:dyDescent="0.25">
      <c r="E39" t="str">
        <f>""</f>
        <v/>
      </c>
      <c r="F39" t="str">
        <f>""</f>
        <v/>
      </c>
      <c r="G39" s="3">
        <v>23.45</v>
      </c>
      <c r="H39" t="str">
        <f>"Shredder Bags"</f>
        <v>Shredder Bags</v>
      </c>
    </row>
    <row r="40" spans="1:8" x14ac:dyDescent="0.25">
      <c r="E40" t="str">
        <f>""</f>
        <v/>
      </c>
      <c r="F40" t="str">
        <f>""</f>
        <v/>
      </c>
      <c r="G40" s="3">
        <v>5.43</v>
      </c>
      <c r="H40" t="str">
        <f>"Powershred Oil"</f>
        <v>Powershred Oil</v>
      </c>
    </row>
    <row r="41" spans="1:8" x14ac:dyDescent="0.25">
      <c r="E41" t="str">
        <f>""</f>
        <v/>
      </c>
      <c r="F41" t="str">
        <f>""</f>
        <v/>
      </c>
      <c r="G41" s="3">
        <v>89.99</v>
      </c>
      <c r="H41" t="str">
        <f>"Folding Rolling Cart"</f>
        <v>Folding Rolling Cart</v>
      </c>
    </row>
    <row r="42" spans="1:8" x14ac:dyDescent="0.25">
      <c r="E42" t="str">
        <f>""</f>
        <v/>
      </c>
      <c r="F42" t="str">
        <f>""</f>
        <v/>
      </c>
      <c r="G42" s="3">
        <v>104.95</v>
      </c>
      <c r="H42" t="str">
        <f>"2DrawerFileCabinet"</f>
        <v>2DrawerFileCabinet</v>
      </c>
    </row>
    <row r="43" spans="1:8" x14ac:dyDescent="0.25">
      <c r="E43" t="str">
        <f>"25175"</f>
        <v>25175</v>
      </c>
      <c r="F43" t="str">
        <f>"Pallet of Paper"</f>
        <v>Pallet of Paper</v>
      </c>
      <c r="G43" s="3">
        <v>679.5</v>
      </c>
      <c r="H43" t="str">
        <f>"Pallet of Paper"</f>
        <v>Pallet of Paper</v>
      </c>
    </row>
    <row r="44" spans="1:8" x14ac:dyDescent="0.25">
      <c r="E44" t="str">
        <f>""</f>
        <v/>
      </c>
      <c r="F44" t="str">
        <f>""</f>
        <v/>
      </c>
      <c r="G44" s="3">
        <v>679.5</v>
      </c>
      <c r="H44" t="str">
        <f>"Pallet of Paper"</f>
        <v>Pallet of Paper</v>
      </c>
    </row>
    <row r="45" spans="1:8" x14ac:dyDescent="0.25">
      <c r="A45" t="s">
        <v>19</v>
      </c>
      <c r="B45">
        <v>4958</v>
      </c>
      <c r="C45" s="3">
        <v>850.94</v>
      </c>
      <c r="D45" s="6">
        <v>44432</v>
      </c>
      <c r="E45" t="str">
        <f>"25431"</f>
        <v>25431</v>
      </c>
      <c r="F45" t="str">
        <f>"Electronic Stapler"</f>
        <v>Electronic Stapler</v>
      </c>
      <c r="G45" s="3">
        <v>34.57</v>
      </c>
      <c r="H45" t="str">
        <f>"Electronic Stapler"</f>
        <v>Electronic Stapler</v>
      </c>
    </row>
    <row r="46" spans="1:8" x14ac:dyDescent="0.25">
      <c r="E46" t="str">
        <f>""</f>
        <v/>
      </c>
      <c r="F46" t="str">
        <f>""</f>
        <v/>
      </c>
      <c r="G46" s="3">
        <v>11.99</v>
      </c>
      <c r="H46" t="str">
        <f>"Staples Box 5000"</f>
        <v>Staples Box 5000</v>
      </c>
    </row>
    <row r="47" spans="1:8" x14ac:dyDescent="0.25">
      <c r="E47" t="str">
        <f>""</f>
        <v/>
      </c>
      <c r="F47" t="str">
        <f>""</f>
        <v/>
      </c>
      <c r="G47" s="3">
        <v>5.99</v>
      </c>
      <c r="H47" t="str">
        <f>"Shipping"</f>
        <v>Shipping</v>
      </c>
    </row>
    <row r="48" spans="1:8" x14ac:dyDescent="0.25">
      <c r="E48" t="str">
        <f>"25468"</f>
        <v>25468</v>
      </c>
      <c r="F48" t="str">
        <f>"AMAZON CAPITAL SERVICES INC"</f>
        <v>AMAZON CAPITAL SERVICES INC</v>
      </c>
      <c r="G48" s="3">
        <v>39.99</v>
      </c>
      <c r="H48" t="str">
        <f>"Paperlike"</f>
        <v>Paperlike</v>
      </c>
    </row>
    <row r="49" spans="1:8" x14ac:dyDescent="0.25">
      <c r="E49" t="str">
        <f>""</f>
        <v/>
      </c>
      <c r="F49" t="str">
        <f>""</f>
        <v/>
      </c>
      <c r="G49" s="3">
        <v>124.98</v>
      </c>
      <c r="H49" t="str">
        <f>"Apple Pencil"</f>
        <v>Apple Pencil</v>
      </c>
    </row>
    <row r="50" spans="1:8" x14ac:dyDescent="0.25">
      <c r="E50" t="str">
        <f>"25541"</f>
        <v>25541</v>
      </c>
      <c r="F50" t="str">
        <f>"AMAZON CAPITAL SERVICES INC"</f>
        <v>AMAZON CAPITAL SERVICES INC</v>
      </c>
      <c r="G50" s="3">
        <v>8.99</v>
      </c>
      <c r="H50" t="str">
        <f>"Rails"</f>
        <v>Rails</v>
      </c>
    </row>
    <row r="51" spans="1:8" x14ac:dyDescent="0.25">
      <c r="E51" t="str">
        <f>""</f>
        <v/>
      </c>
      <c r="F51" t="str">
        <f>""</f>
        <v/>
      </c>
      <c r="G51" s="3">
        <v>41.85</v>
      </c>
      <c r="H51" t="str">
        <f>"Cables"</f>
        <v>Cables</v>
      </c>
    </row>
    <row r="52" spans="1:8" x14ac:dyDescent="0.25">
      <c r="E52" t="str">
        <f>""</f>
        <v/>
      </c>
      <c r="F52" t="str">
        <f>""</f>
        <v/>
      </c>
      <c r="G52" s="3">
        <v>40.78</v>
      </c>
      <c r="H52" t="str">
        <f>"Lighning Arrestors"</f>
        <v>Lighning Arrestors</v>
      </c>
    </row>
    <row r="53" spans="1:8" x14ac:dyDescent="0.25">
      <c r="E53" t="str">
        <f>""</f>
        <v/>
      </c>
      <c r="F53" t="str">
        <f>""</f>
        <v/>
      </c>
      <c r="G53" s="3">
        <v>10.83</v>
      </c>
      <c r="H53" t="str">
        <f>"Shipping"</f>
        <v>Shipping</v>
      </c>
    </row>
    <row r="54" spans="1:8" x14ac:dyDescent="0.25">
      <c r="E54" t="str">
        <f>"25570"</f>
        <v>25570</v>
      </c>
      <c r="F54" t="str">
        <f>"AMAZON CAPITAL SERVICES INC"</f>
        <v>AMAZON CAPITAL SERVICES INC</v>
      </c>
      <c r="G54" s="3">
        <v>358.99</v>
      </c>
      <c r="H54" t="str">
        <f>"Speaker Phone"</f>
        <v>Speaker Phone</v>
      </c>
    </row>
    <row r="55" spans="1:8" x14ac:dyDescent="0.25">
      <c r="E55" t="str">
        <f>""</f>
        <v/>
      </c>
      <c r="F55" t="str">
        <f>""</f>
        <v/>
      </c>
      <c r="G55" s="3">
        <v>99.99</v>
      </c>
      <c r="H55" t="str">
        <f>"Logitech C922x"</f>
        <v>Logitech C922x</v>
      </c>
    </row>
    <row r="56" spans="1:8" x14ac:dyDescent="0.25">
      <c r="E56" t="str">
        <f>""</f>
        <v/>
      </c>
      <c r="F56" t="str">
        <f>""</f>
        <v/>
      </c>
      <c r="G56" s="3">
        <v>71.989999999999995</v>
      </c>
      <c r="H56" t="str">
        <f>"Tripod"</f>
        <v>Tripod</v>
      </c>
    </row>
    <row r="57" spans="1:8" x14ac:dyDescent="0.25">
      <c r="A57" t="s">
        <v>20</v>
      </c>
      <c r="B57">
        <v>136674</v>
      </c>
      <c r="C57" s="3">
        <v>54.5</v>
      </c>
      <c r="D57" s="6">
        <v>44431</v>
      </c>
      <c r="E57" t="str">
        <f>"5423353"</f>
        <v>5423353</v>
      </c>
      <c r="F57" t="str">
        <f>"ORDER#1543853/PCT#3"</f>
        <v>ORDER#1543853/PCT#3</v>
      </c>
      <c r="G57" s="3">
        <v>49.04</v>
      </c>
      <c r="H57" t="str">
        <f>"ORDER#1543853/PCT#3"</f>
        <v>ORDER#1543853/PCT#3</v>
      </c>
    </row>
    <row r="58" spans="1:8" x14ac:dyDescent="0.25">
      <c r="E58" t="str">
        <f>"5425445"</f>
        <v>5425445</v>
      </c>
      <c r="F58" t="str">
        <f>"ORDER#1546715/PCT#3"</f>
        <v>ORDER#1546715/PCT#3</v>
      </c>
      <c r="G58" s="3">
        <v>5.46</v>
      </c>
      <c r="H58" t="str">
        <f>"ORDER#1546715/PCT#3"</f>
        <v>ORDER#1546715/PCT#3</v>
      </c>
    </row>
    <row r="59" spans="1:8" x14ac:dyDescent="0.25">
      <c r="A59" t="s">
        <v>21</v>
      </c>
      <c r="B59">
        <v>4872</v>
      </c>
      <c r="C59" s="3">
        <v>582.83000000000004</v>
      </c>
      <c r="D59" s="6">
        <v>44418</v>
      </c>
      <c r="E59" t="str">
        <f>"202108034952"</f>
        <v>202108034952</v>
      </c>
      <c r="F59" t="str">
        <f>"ACCT#379865/PCT#2"</f>
        <v>ACCT#379865/PCT#2</v>
      </c>
      <c r="G59" s="3">
        <v>582.83000000000004</v>
      </c>
      <c r="H59" t="str">
        <f>"ACCT#379865/PCT#2"</f>
        <v>ACCT#379865/PCT#2</v>
      </c>
    </row>
    <row r="60" spans="1:8" x14ac:dyDescent="0.25">
      <c r="A60" t="s">
        <v>22</v>
      </c>
      <c r="B60">
        <v>136553</v>
      </c>
      <c r="C60" s="3">
        <v>98.66</v>
      </c>
      <c r="D60" s="6">
        <v>44417</v>
      </c>
      <c r="E60" t="str">
        <f>"3061904352"</f>
        <v>3061904352</v>
      </c>
      <c r="F60" t="str">
        <f>"INV 3061904352  306190435"</f>
        <v>INV 3061904352  306190435</v>
      </c>
      <c r="G60" s="3">
        <v>14.76</v>
      </c>
      <c r="H60" t="str">
        <f>"INV 3061904352"</f>
        <v>INV 3061904352</v>
      </c>
    </row>
    <row r="61" spans="1:8" x14ac:dyDescent="0.25">
      <c r="E61" t="str">
        <f>""</f>
        <v/>
      </c>
      <c r="F61" t="str">
        <f>""</f>
        <v/>
      </c>
      <c r="G61" s="3">
        <v>83.9</v>
      </c>
      <c r="H61" t="str">
        <f>"INV 3061904353"</f>
        <v>INV 3061904353</v>
      </c>
    </row>
    <row r="62" spans="1:8" x14ac:dyDescent="0.25">
      <c r="A62" t="s">
        <v>22</v>
      </c>
      <c r="B62">
        <v>136675</v>
      </c>
      <c r="C62" s="3">
        <v>84.22</v>
      </c>
      <c r="D62" s="6">
        <v>44431</v>
      </c>
      <c r="E62" t="str">
        <f>"3063581160"</f>
        <v>3063581160</v>
      </c>
      <c r="F62" t="str">
        <f>"INV 3063581160"</f>
        <v>INV 3063581160</v>
      </c>
      <c r="G62" s="3">
        <v>84.22</v>
      </c>
      <c r="H62" t="str">
        <f>"INV 3063581160"</f>
        <v>INV 3063581160</v>
      </c>
    </row>
    <row r="63" spans="1:8" x14ac:dyDescent="0.25">
      <c r="A63" t="s">
        <v>23</v>
      </c>
      <c r="B63">
        <v>4922</v>
      </c>
      <c r="C63" s="3">
        <v>4815</v>
      </c>
      <c r="D63" s="6">
        <v>44418</v>
      </c>
      <c r="E63" t="str">
        <f>"202107274775"</f>
        <v>202107274775</v>
      </c>
      <c r="F63" t="str">
        <f>"423-7608"</f>
        <v>423-7608</v>
      </c>
      <c r="G63" s="3">
        <v>100</v>
      </c>
      <c r="H63" t="str">
        <f>"423-7608"</f>
        <v>423-7608</v>
      </c>
    </row>
    <row r="64" spans="1:8" x14ac:dyDescent="0.25">
      <c r="E64" t="str">
        <f>"202107274776"</f>
        <v>202107274776</v>
      </c>
      <c r="F64" t="str">
        <f>"21-20608"</f>
        <v>21-20608</v>
      </c>
      <c r="G64" s="3">
        <v>30</v>
      </c>
      <c r="H64" t="str">
        <f>"21-20608"</f>
        <v>21-20608</v>
      </c>
    </row>
    <row r="65" spans="5:8" x14ac:dyDescent="0.25">
      <c r="E65" t="str">
        <f>"202107274777"</f>
        <v>202107274777</v>
      </c>
      <c r="F65" t="str">
        <f>"21-20702"</f>
        <v>21-20702</v>
      </c>
      <c r="G65" s="3">
        <v>730</v>
      </c>
      <c r="H65" t="str">
        <f>"21-20702"</f>
        <v>21-20702</v>
      </c>
    </row>
    <row r="66" spans="5:8" x14ac:dyDescent="0.25">
      <c r="E66" t="str">
        <f>"202107274778"</f>
        <v>202107274778</v>
      </c>
      <c r="F66" t="str">
        <f>"20-20179"</f>
        <v>20-20179</v>
      </c>
      <c r="G66" s="3">
        <v>480</v>
      </c>
      <c r="H66" t="str">
        <f>"20-20179"</f>
        <v>20-20179</v>
      </c>
    </row>
    <row r="67" spans="5:8" x14ac:dyDescent="0.25">
      <c r="E67" t="str">
        <f>"202107274779"</f>
        <v>202107274779</v>
      </c>
      <c r="F67" t="str">
        <f>"20-20527"</f>
        <v>20-20527</v>
      </c>
      <c r="G67" s="3">
        <v>52.5</v>
      </c>
      <c r="H67" t="str">
        <f>"20-20527"</f>
        <v>20-20527</v>
      </c>
    </row>
    <row r="68" spans="5:8" x14ac:dyDescent="0.25">
      <c r="E68" t="str">
        <f>"202107274780"</f>
        <v>202107274780</v>
      </c>
      <c r="F68" t="str">
        <f>"20-20372"</f>
        <v>20-20372</v>
      </c>
      <c r="G68" s="3">
        <v>135</v>
      </c>
      <c r="H68" t="str">
        <f>"20-20372"</f>
        <v>20-20372</v>
      </c>
    </row>
    <row r="69" spans="5:8" x14ac:dyDescent="0.25">
      <c r="E69" t="str">
        <f>"202107274781"</f>
        <v>202107274781</v>
      </c>
      <c r="F69" t="str">
        <f>"15-17399"</f>
        <v>15-17399</v>
      </c>
      <c r="G69" s="3">
        <v>157.5</v>
      </c>
      <c r="H69" t="str">
        <f>"15-17399"</f>
        <v>15-17399</v>
      </c>
    </row>
    <row r="70" spans="5:8" x14ac:dyDescent="0.25">
      <c r="E70" t="str">
        <f>"202107274782"</f>
        <v>202107274782</v>
      </c>
      <c r="F70" t="str">
        <f>"20-20403"</f>
        <v>20-20403</v>
      </c>
      <c r="G70" s="3">
        <v>195</v>
      </c>
      <c r="H70" t="str">
        <f>"20-20403"</f>
        <v>20-20403</v>
      </c>
    </row>
    <row r="71" spans="5:8" x14ac:dyDescent="0.25">
      <c r="E71" t="str">
        <f>"202107274783"</f>
        <v>202107274783</v>
      </c>
      <c r="F71" t="str">
        <f>"20-20293"</f>
        <v>20-20293</v>
      </c>
      <c r="G71" s="3">
        <v>232.5</v>
      </c>
      <c r="H71" t="str">
        <f>"20-20293"</f>
        <v>20-20293</v>
      </c>
    </row>
    <row r="72" spans="5:8" x14ac:dyDescent="0.25">
      <c r="E72" t="str">
        <f>"202107274784"</f>
        <v>202107274784</v>
      </c>
      <c r="F72" t="str">
        <f>"21-20562"</f>
        <v>21-20562</v>
      </c>
      <c r="G72" s="3">
        <v>535</v>
      </c>
      <c r="H72" t="str">
        <f>"21-20562"</f>
        <v>21-20562</v>
      </c>
    </row>
    <row r="73" spans="5:8" x14ac:dyDescent="0.25">
      <c r="E73" t="str">
        <f>"202107274785"</f>
        <v>202107274785</v>
      </c>
      <c r="F73" t="str">
        <f>"20-20514"</f>
        <v>20-20514</v>
      </c>
      <c r="G73" s="3">
        <v>67.5</v>
      </c>
      <c r="H73" t="str">
        <f>"20-20514"</f>
        <v>20-20514</v>
      </c>
    </row>
    <row r="74" spans="5:8" x14ac:dyDescent="0.25">
      <c r="E74" t="str">
        <f>"202107274786"</f>
        <v>202107274786</v>
      </c>
      <c r="F74" t="str">
        <f>"1810-335"</f>
        <v>1810-335</v>
      </c>
      <c r="G74" s="3">
        <v>100</v>
      </c>
      <c r="H74" t="str">
        <f>"1810-335"</f>
        <v>1810-335</v>
      </c>
    </row>
    <row r="75" spans="5:8" x14ac:dyDescent="0.25">
      <c r="E75" t="str">
        <f>"202107274787"</f>
        <v>202107274787</v>
      </c>
      <c r="F75" t="str">
        <f>"02-1314-17"</f>
        <v>02-1314-17</v>
      </c>
      <c r="G75" s="3">
        <v>250</v>
      </c>
      <c r="H75" t="str">
        <f>"02-1314-17"</f>
        <v>02-1314-17</v>
      </c>
    </row>
    <row r="76" spans="5:8" x14ac:dyDescent="0.25">
      <c r="E76" t="str">
        <f>"202107284789"</f>
        <v>202107284789</v>
      </c>
      <c r="F76" t="str">
        <f>"102032019A"</f>
        <v>102032019A</v>
      </c>
      <c r="G76" s="3">
        <v>400</v>
      </c>
      <c r="H76" t="str">
        <f>"102032019A"</f>
        <v>102032019A</v>
      </c>
    </row>
    <row r="77" spans="5:8" x14ac:dyDescent="0.25">
      <c r="E77" t="str">
        <f>"202107284802"</f>
        <v>202107284802</v>
      </c>
      <c r="F77" t="str">
        <f>"4110820-11"</f>
        <v>4110820-11</v>
      </c>
      <c r="G77" s="3">
        <v>250</v>
      </c>
      <c r="H77" t="str">
        <f>"4110820-11"</f>
        <v>4110820-11</v>
      </c>
    </row>
    <row r="78" spans="5:8" x14ac:dyDescent="0.25">
      <c r="E78" t="str">
        <f>"202107304830"</f>
        <v>202107304830</v>
      </c>
      <c r="F78" t="str">
        <f>"17-377"</f>
        <v>17-377</v>
      </c>
      <c r="G78" s="3">
        <v>400</v>
      </c>
      <c r="H78" t="str">
        <f>"17-377"</f>
        <v>17-377</v>
      </c>
    </row>
    <row r="79" spans="5:8" x14ac:dyDescent="0.25">
      <c r="E79" t="str">
        <f>"202107304831"</f>
        <v>202107304831</v>
      </c>
      <c r="F79" t="str">
        <f>"423-7828"</f>
        <v>423-7828</v>
      </c>
      <c r="G79" s="3">
        <v>200</v>
      </c>
      <c r="H79" t="str">
        <f>"423-7828"</f>
        <v>423-7828</v>
      </c>
    </row>
    <row r="80" spans="5:8" x14ac:dyDescent="0.25">
      <c r="E80" t="str">
        <f>"202107304832"</f>
        <v>202107304832</v>
      </c>
      <c r="F80" t="str">
        <f>"JP1102602020A"</f>
        <v>JP1102602020A</v>
      </c>
      <c r="G80" s="3">
        <v>400</v>
      </c>
      <c r="H80" t="str">
        <f>"JP1102602020A"</f>
        <v>JP1102602020A</v>
      </c>
    </row>
    <row r="81" spans="1:8" x14ac:dyDescent="0.25">
      <c r="E81" t="str">
        <f>"202108024853"</f>
        <v>202108024853</v>
      </c>
      <c r="F81" t="str">
        <f>"21-20811"</f>
        <v>21-20811</v>
      </c>
      <c r="G81" s="3">
        <v>100</v>
      </c>
      <c r="H81" t="str">
        <f>"21-20811"</f>
        <v>21-20811</v>
      </c>
    </row>
    <row r="82" spans="1:8" x14ac:dyDescent="0.25">
      <c r="A82" t="s">
        <v>23</v>
      </c>
      <c r="B82">
        <v>4989</v>
      </c>
      <c r="C82" s="3">
        <v>850</v>
      </c>
      <c r="D82" s="6">
        <v>44432</v>
      </c>
      <c r="E82" t="str">
        <f>"202108115141"</f>
        <v>202108115141</v>
      </c>
      <c r="F82" t="str">
        <f>"57-793"</f>
        <v>57-793</v>
      </c>
      <c r="G82" s="3">
        <v>250</v>
      </c>
      <c r="H82" t="str">
        <f>"57-793"</f>
        <v>57-793</v>
      </c>
    </row>
    <row r="83" spans="1:8" x14ac:dyDescent="0.25">
      <c r="E83" t="str">
        <f>"202108115142"</f>
        <v>202108115142</v>
      </c>
      <c r="F83" t="str">
        <f>"57-598"</f>
        <v>57-598</v>
      </c>
      <c r="G83" s="3">
        <v>250</v>
      </c>
      <c r="H83" t="str">
        <f>"57-598"</f>
        <v>57-598</v>
      </c>
    </row>
    <row r="84" spans="1:8" x14ac:dyDescent="0.25">
      <c r="E84" t="str">
        <f>"202108165226"</f>
        <v>202108165226</v>
      </c>
      <c r="F84" t="str">
        <f>"21-20849"</f>
        <v>21-20849</v>
      </c>
      <c r="G84" s="3">
        <v>100</v>
      </c>
      <c r="H84" t="str">
        <f>"21-20849"</f>
        <v>21-20849</v>
      </c>
    </row>
    <row r="85" spans="1:8" x14ac:dyDescent="0.25">
      <c r="E85" t="str">
        <f>"202108185285"</f>
        <v>202108185285</v>
      </c>
      <c r="F85" t="str">
        <f>"56-235"</f>
        <v>56-235</v>
      </c>
      <c r="G85" s="3">
        <v>250</v>
      </c>
      <c r="H85" t="str">
        <f>"56-235"</f>
        <v>56-235</v>
      </c>
    </row>
    <row r="86" spans="1:8" x14ac:dyDescent="0.25">
      <c r="A86" t="s">
        <v>24</v>
      </c>
      <c r="B86">
        <v>136554</v>
      </c>
      <c r="C86" s="3">
        <v>590</v>
      </c>
      <c r="D86" s="6">
        <v>44417</v>
      </c>
      <c r="E86" t="str">
        <f>"21-02247"</f>
        <v>21-02247</v>
      </c>
      <c r="F86" t="str">
        <f>"FREIGHTLINER TOW/PCT#2"</f>
        <v>FREIGHTLINER TOW/PCT#2</v>
      </c>
      <c r="G86" s="3">
        <v>590</v>
      </c>
      <c r="H86" t="str">
        <f>"FREIGHTLINER TOW/PCT#2"</f>
        <v>FREIGHTLINER TOW/PCT#2</v>
      </c>
    </row>
    <row r="87" spans="1:8" x14ac:dyDescent="0.25">
      <c r="A87" t="s">
        <v>25</v>
      </c>
      <c r="B87">
        <v>136555</v>
      </c>
      <c r="C87" s="3">
        <v>420.17</v>
      </c>
      <c r="D87" s="6">
        <v>44417</v>
      </c>
      <c r="E87" t="str">
        <f>"202107304834"</f>
        <v>202107304834</v>
      </c>
      <c r="F87" t="str">
        <f>"ACCT#3-3053/PCT#2"</f>
        <v>ACCT#3-3053/PCT#2</v>
      </c>
      <c r="G87" s="3">
        <v>420.17</v>
      </c>
      <c r="H87" t="str">
        <f>"ACCT#3-3053/PCT#2"</f>
        <v>ACCT#3-3053/PCT#2</v>
      </c>
    </row>
    <row r="88" spans="1:8" x14ac:dyDescent="0.25">
      <c r="A88" t="s">
        <v>26</v>
      </c>
      <c r="B88">
        <v>136676</v>
      </c>
      <c r="C88" s="3">
        <v>4642.78</v>
      </c>
      <c r="D88" s="6">
        <v>44431</v>
      </c>
      <c r="E88" t="str">
        <f>"97648"</f>
        <v>97648</v>
      </c>
      <c r="F88" t="str">
        <f>"BASTROP COUNTY/VINE SERVICE"</f>
        <v>BASTROP COUNTY/VINE SERVICE</v>
      </c>
      <c r="G88" s="3">
        <v>4642.78</v>
      </c>
      <c r="H88" t="str">
        <f>"BASTROP COUNTY/VINE SERVICE"</f>
        <v>BASTROP COUNTY/VINE SERVICE</v>
      </c>
    </row>
    <row r="89" spans="1:8" x14ac:dyDescent="0.25">
      <c r="A89" t="s">
        <v>27</v>
      </c>
      <c r="B89">
        <v>136556</v>
      </c>
      <c r="C89" s="3">
        <v>786.98</v>
      </c>
      <c r="D89" s="6">
        <v>44417</v>
      </c>
      <c r="E89" t="str">
        <f>"202108024856"</f>
        <v>202108024856</v>
      </c>
      <c r="F89" t="str">
        <f>"ACCT#012803/COUNTY JUDGE"</f>
        <v>ACCT#012803/COUNTY JUDGE</v>
      </c>
      <c r="G89" s="3">
        <v>39</v>
      </c>
      <c r="H89" t="str">
        <f>"ACCT#012803/COUNTY JUDGE"</f>
        <v>ACCT#012803/COUNTY JUDGE</v>
      </c>
    </row>
    <row r="90" spans="1:8" x14ac:dyDescent="0.25">
      <c r="E90" t="str">
        <f>"202108024857"</f>
        <v>202108024857</v>
      </c>
      <c r="F90" t="str">
        <f>"ACCT#015476/PURCHASING"</f>
        <v>ACCT#015476/PURCHASING</v>
      </c>
      <c r="G90" s="3">
        <v>26.5</v>
      </c>
      <c r="H90" t="str">
        <f>"ACCT#015476/PURCHASING"</f>
        <v>ACCT#015476/PURCHASING</v>
      </c>
    </row>
    <row r="91" spans="1:8" x14ac:dyDescent="0.25">
      <c r="E91" t="str">
        <f>"202108024858"</f>
        <v>202108024858</v>
      </c>
      <c r="F91" t="str">
        <f>"ACCT#013393/HUMAN RESCOURCES"</f>
        <v>ACCT#013393/HUMAN RESCOURCES</v>
      </c>
      <c r="G91" s="3">
        <v>13.5</v>
      </c>
      <c r="H91" t="str">
        <f>"ACCT#013393/HUMAN RESCOURCES"</f>
        <v>ACCT#013393/HUMAN RESCOURCES</v>
      </c>
    </row>
    <row r="92" spans="1:8" x14ac:dyDescent="0.25">
      <c r="E92" t="str">
        <f>"202108024859"</f>
        <v>202108024859</v>
      </c>
      <c r="F92" t="str">
        <f>"ACCT#011280/COUNTY CLERK"</f>
        <v>ACCT#011280/COUNTY CLERK</v>
      </c>
      <c r="G92" s="3">
        <v>61.5</v>
      </c>
      <c r="H92" t="str">
        <f>"ACCT#011280/COUNTY CLERK"</f>
        <v>ACCT#011280/COUNTY CLERK</v>
      </c>
    </row>
    <row r="93" spans="1:8" x14ac:dyDescent="0.25">
      <c r="E93" t="str">
        <f>"202108024860"</f>
        <v>202108024860</v>
      </c>
      <c r="F93" t="str">
        <f>"ACCT#012259/DISTRICT CLERK"</f>
        <v>ACCT#012259/DISTRICT CLERK</v>
      </c>
      <c r="G93" s="3">
        <v>54</v>
      </c>
      <c r="H93" t="str">
        <f>"ACCT#012259/DISTRICT CLERK"</f>
        <v>ACCT#012259/DISTRICT CLERK</v>
      </c>
    </row>
    <row r="94" spans="1:8" x14ac:dyDescent="0.25">
      <c r="E94" t="str">
        <f>"202108024861"</f>
        <v>202108024861</v>
      </c>
      <c r="F94" t="str">
        <f>"ACCT#012260/DISTRICT ATTNY"</f>
        <v>ACCT#012260/DISTRICT ATTNY</v>
      </c>
      <c r="G94" s="3">
        <v>42</v>
      </c>
      <c r="H94" t="str">
        <f>"ACCT#012260/DISTRICT ATTNY"</f>
        <v>ACCT#012260/DISTRICT ATTNY</v>
      </c>
    </row>
    <row r="95" spans="1:8" x14ac:dyDescent="0.25">
      <c r="E95" t="str">
        <f>"202108024862"</f>
        <v>202108024862</v>
      </c>
      <c r="F95" t="str">
        <f>"ACCT#012571/TREASURER"</f>
        <v>ACCT#012571/TREASURER</v>
      </c>
      <c r="G95" s="3">
        <v>16.5</v>
      </c>
      <c r="H95" t="str">
        <f>"ACCT#012571/TREASURER"</f>
        <v>ACCT#012571/TREASURER</v>
      </c>
    </row>
    <row r="96" spans="1:8" x14ac:dyDescent="0.25">
      <c r="E96" t="str">
        <f>"202108034936"</f>
        <v>202108034936</v>
      </c>
      <c r="F96" t="str">
        <f>"ACCT#011033/IT"</f>
        <v>ACCT#011033/IT</v>
      </c>
      <c r="G96" s="3">
        <v>61.5</v>
      </c>
      <c r="H96" t="str">
        <f>"ACCT#011033/IT"</f>
        <v>ACCT#011033/IT</v>
      </c>
    </row>
    <row r="97" spans="1:8" x14ac:dyDescent="0.25">
      <c r="E97" t="str">
        <f>"202108034943"</f>
        <v>202108034943</v>
      </c>
      <c r="F97" t="str">
        <f>"ACCT#010149/TEXAS AGRI LIFE"</f>
        <v>ACCT#010149/TEXAS AGRI LIFE</v>
      </c>
      <c r="G97" s="3">
        <v>15</v>
      </c>
      <c r="H97" t="str">
        <f>"ACCT#010149/TEXAS AGRI LIFE"</f>
        <v>ACCT#010149/TEXAS AGRI LIFE</v>
      </c>
    </row>
    <row r="98" spans="1:8" x14ac:dyDescent="0.25">
      <c r="E98" t="str">
        <f>"202108034946"</f>
        <v>202108034946</v>
      </c>
      <c r="F98" t="str">
        <f>"ACCT#010238/GENERAL SVCS"</f>
        <v>ACCT#010238/GENERAL SVCS</v>
      </c>
      <c r="G98" s="3">
        <v>76.5</v>
      </c>
      <c r="H98" t="str">
        <f>"ACCT#010238/GENERAL SVCS"</f>
        <v>ACCT#010238/GENERAL SVCS</v>
      </c>
    </row>
    <row r="99" spans="1:8" x14ac:dyDescent="0.25">
      <c r="E99" t="str">
        <f>"202108034979"</f>
        <v>202108034979</v>
      </c>
      <c r="F99" t="str">
        <f>"ACCT#010057/AUDITOR"</f>
        <v>ACCT#010057/AUDITOR</v>
      </c>
      <c r="G99" s="3">
        <v>24</v>
      </c>
      <c r="H99" t="str">
        <f>"ACCT#010057/AUDITOR"</f>
        <v>ACCT#010057/AUDITOR</v>
      </c>
    </row>
    <row r="100" spans="1:8" x14ac:dyDescent="0.25">
      <c r="E100" t="str">
        <f>"202108034980"</f>
        <v>202108034980</v>
      </c>
      <c r="F100" t="str">
        <f>"ACCT#011474/ELECTIONS"</f>
        <v>ACCT#011474/ELECTIONS</v>
      </c>
      <c r="G100" s="3">
        <v>17.5</v>
      </c>
      <c r="H100" t="str">
        <f>"ACCT#011474/ELECTIONS"</f>
        <v>ACCT#011474/ELECTIONS</v>
      </c>
    </row>
    <row r="101" spans="1:8" x14ac:dyDescent="0.25">
      <c r="E101" t="str">
        <f>"202108034981"</f>
        <v>202108034981</v>
      </c>
      <c r="F101" t="str">
        <f>"ACCT#016020/COLLECTIONS"</f>
        <v>ACCT#016020/COLLECTIONS</v>
      </c>
      <c r="G101" s="3">
        <v>64.98</v>
      </c>
      <c r="H101" t="str">
        <f>"ACCT#016020/COLLECTIONS"</f>
        <v>ACCT#016020/COLLECTIONS</v>
      </c>
    </row>
    <row r="102" spans="1:8" x14ac:dyDescent="0.25">
      <c r="E102" t="str">
        <f>"202108034982"</f>
        <v>202108034982</v>
      </c>
      <c r="F102" t="str">
        <f>"ACCT#014877/INDIGENT HEALTH"</f>
        <v>ACCT#014877/INDIGENT HEALTH</v>
      </c>
      <c r="G102" s="3">
        <v>56</v>
      </c>
      <c r="H102" t="str">
        <f>"ACCT#014877/INDIGENT HEALTH"</f>
        <v>ACCT#014877/INDIGENT HEALTH</v>
      </c>
    </row>
    <row r="103" spans="1:8" x14ac:dyDescent="0.25">
      <c r="E103" t="str">
        <f>"202108034983"</f>
        <v>202108034983</v>
      </c>
      <c r="F103" t="str">
        <f>"ACCT#012231/CO DIST JUDGE"</f>
        <v>ACCT#012231/CO DIST JUDGE</v>
      </c>
      <c r="G103" s="3">
        <v>10</v>
      </c>
      <c r="H103" t="str">
        <f>"ACCT#012231/CO DIST JUDGE"</f>
        <v>ACCT#012231/CO DIST JUDGE</v>
      </c>
    </row>
    <row r="104" spans="1:8" x14ac:dyDescent="0.25">
      <c r="E104" t="str">
        <f>"202108034984"</f>
        <v>202108034984</v>
      </c>
      <c r="F104" t="str">
        <f>"ACCT#011955/DISTRICT JUDGE"</f>
        <v>ACCT#011955/DISTRICT JUDGE</v>
      </c>
      <c r="G104" s="3">
        <v>55.5</v>
      </c>
      <c r="H104" t="str">
        <f>"ACCT#011955/DISTRICT JUDGE"</f>
        <v>ACCT#011955/DISTRICT JUDGE</v>
      </c>
    </row>
    <row r="105" spans="1:8" x14ac:dyDescent="0.25">
      <c r="E105" t="str">
        <f>"202108034991"</f>
        <v>202108034991</v>
      </c>
      <c r="F105" t="str">
        <f>"ACCT#010835/PCT#1"</f>
        <v>ACCT#010835/PCT#1</v>
      </c>
      <c r="G105" s="3">
        <v>34</v>
      </c>
      <c r="H105" t="str">
        <f>"ACCT#010835/PCT#1"</f>
        <v>ACCT#010835/PCT#1</v>
      </c>
    </row>
    <row r="106" spans="1:8" x14ac:dyDescent="0.25">
      <c r="E106" t="str">
        <f>"202108045054"</f>
        <v>202108045054</v>
      </c>
      <c r="F106" t="str">
        <f>"ACCT#014737/ANIMAL SVCS"</f>
        <v>ACCT#014737/ANIMAL SVCS</v>
      </c>
      <c r="G106" s="3">
        <v>67</v>
      </c>
      <c r="H106" t="str">
        <f>"ACCT#014737/ANIMAL SVCS"</f>
        <v>ACCT#014737/ANIMAL SVCS</v>
      </c>
    </row>
    <row r="107" spans="1:8" x14ac:dyDescent="0.25">
      <c r="E107" t="str">
        <f>"202108045056"</f>
        <v>202108045056</v>
      </c>
      <c r="F107" t="str">
        <f>"ACCT#010602/COMMISSIONERS"</f>
        <v>ACCT#010602/COMMISSIONERS</v>
      </c>
      <c r="G107" s="3">
        <v>24</v>
      </c>
      <c r="H107" t="str">
        <f>"ACCT#010602/COMMISSIONERS"</f>
        <v>ACCT#010602/COMMISSIONERS</v>
      </c>
    </row>
    <row r="108" spans="1:8" x14ac:dyDescent="0.25">
      <c r="E108" t="str">
        <f>"202108045057"</f>
        <v>202108045057</v>
      </c>
      <c r="F108" t="str">
        <f>"ACCT#010311/COUNTY COURT"</f>
        <v>ACCT#010311/COUNTY COURT</v>
      </c>
      <c r="G108" s="3">
        <v>28</v>
      </c>
      <c r="H108" t="str">
        <f>"ACCT#010311/COUNTY COURT"</f>
        <v>ACCT#010311/COUNTY COURT</v>
      </c>
    </row>
    <row r="109" spans="1:8" x14ac:dyDescent="0.25">
      <c r="A109" t="s">
        <v>27</v>
      </c>
      <c r="B109">
        <v>136677</v>
      </c>
      <c r="C109" s="3">
        <v>9</v>
      </c>
      <c r="D109" s="6">
        <v>44431</v>
      </c>
      <c r="E109" t="str">
        <f>"202108115180"</f>
        <v>202108115180</v>
      </c>
      <c r="F109" t="str">
        <f>"ACCT#015199/JP#1"</f>
        <v>ACCT#015199/JP#1</v>
      </c>
      <c r="G109" s="3">
        <v>9</v>
      </c>
      <c r="H109" t="str">
        <f>"ACCT#015199/JP#1"</f>
        <v>ACCT#015199/JP#1</v>
      </c>
    </row>
    <row r="110" spans="1:8" x14ac:dyDescent="0.25">
      <c r="A110" t="s">
        <v>28</v>
      </c>
      <c r="B110">
        <v>136542</v>
      </c>
      <c r="C110" s="3">
        <v>123.83</v>
      </c>
      <c r="D110" s="6">
        <v>44412</v>
      </c>
      <c r="E110" t="str">
        <f>"202108045051"</f>
        <v>202108045051</v>
      </c>
      <c r="F110" t="str">
        <f>"ACCT#0201855301 / 07022021"</f>
        <v>ACCT#0201855301 / 07022021</v>
      </c>
      <c r="G110" s="3">
        <v>66.31</v>
      </c>
      <c r="H110" t="str">
        <f>"ACCT#0201855301 / 07022021"</f>
        <v>ACCT#0201855301 / 07022021</v>
      </c>
    </row>
    <row r="111" spans="1:8" x14ac:dyDescent="0.25">
      <c r="E111" t="str">
        <f>"202108045052"</f>
        <v>202108045052</v>
      </c>
      <c r="F111" t="str">
        <f>"ACCT#0201891404 / 07012021"</f>
        <v>ACCT#0201891404 / 07012021</v>
      </c>
      <c r="G111" s="3">
        <v>25.28</v>
      </c>
      <c r="H111" t="str">
        <f>"ACCT#0201891404 / 07012021"</f>
        <v>ACCT#0201891404 / 07012021</v>
      </c>
    </row>
    <row r="112" spans="1:8" x14ac:dyDescent="0.25">
      <c r="E112" t="str">
        <f>"202108045053"</f>
        <v>202108045053</v>
      </c>
      <c r="F112" t="str">
        <f>"ACCT#0202496901 / 07152021"</f>
        <v>ACCT#0202496901 / 07152021</v>
      </c>
      <c r="G112" s="3">
        <v>32.24</v>
      </c>
      <c r="H112" t="str">
        <f>"ACCT#0202496901 / 07152021"</f>
        <v>ACCT#0202496901 / 07152021</v>
      </c>
    </row>
    <row r="113" spans="1:8" x14ac:dyDescent="0.25">
      <c r="A113" t="s">
        <v>28</v>
      </c>
      <c r="B113">
        <v>136678</v>
      </c>
      <c r="C113" s="3">
        <v>1004.5</v>
      </c>
      <c r="D113" s="6">
        <v>44431</v>
      </c>
      <c r="E113" t="str">
        <f>"202108125205"</f>
        <v>202108125205</v>
      </c>
      <c r="F113" t="str">
        <f>"ACCT#7700010026/PCT#3"</f>
        <v>ACCT#7700010026/PCT#3</v>
      </c>
      <c r="G113" s="3">
        <v>266.5</v>
      </c>
      <c r="H113" t="str">
        <f>"ACCT#7700010026/PCT#3"</f>
        <v>ACCT#7700010026/PCT#3</v>
      </c>
    </row>
    <row r="114" spans="1:8" x14ac:dyDescent="0.25">
      <c r="E114" t="str">
        <f>"202108125207"</f>
        <v>202108125207</v>
      </c>
      <c r="F114" t="str">
        <f>"ACCT#7700010027/PCT#4"</f>
        <v>ACCT#7700010027/PCT#4</v>
      </c>
      <c r="G114" s="3">
        <v>717.5</v>
      </c>
      <c r="H114" t="str">
        <f>"ACCT#7700010027/PCT#4"</f>
        <v>ACCT#7700010027/PCT#4</v>
      </c>
    </row>
    <row r="115" spans="1:8" x14ac:dyDescent="0.25">
      <c r="E115" t="str">
        <f>"202108165225"</f>
        <v>202108165225</v>
      </c>
      <c r="F115" t="str">
        <f>"ACCT#7700010025/PCT#2"</f>
        <v>ACCT#7700010025/PCT#2</v>
      </c>
      <c r="G115" s="3">
        <v>20.5</v>
      </c>
      <c r="H115" t="str">
        <f>"ACCT#7700010025/PCT#2"</f>
        <v>ACCT#7700010025/PCT#2</v>
      </c>
    </row>
    <row r="116" spans="1:8" x14ac:dyDescent="0.25">
      <c r="A116" t="s">
        <v>28</v>
      </c>
      <c r="B116">
        <v>136827</v>
      </c>
      <c r="C116" s="3">
        <v>1008.39</v>
      </c>
      <c r="D116" s="6">
        <v>44434</v>
      </c>
      <c r="E116" t="str">
        <f>"202108255310"</f>
        <v>202108255310</v>
      </c>
      <c r="F116" t="str">
        <f>"ACCT#0102120801 / 08/03/2021"</f>
        <v>ACCT#0102120801 / 08/03/2021</v>
      </c>
      <c r="G116" s="3">
        <v>55.45</v>
      </c>
      <c r="H116" t="str">
        <f>"ACCT#0102120801 / 08/03/2021"</f>
        <v>ACCT#0102120801 / 08/03/2021</v>
      </c>
    </row>
    <row r="117" spans="1:8" x14ac:dyDescent="0.25">
      <c r="E117" t="str">
        <f>"202108255311"</f>
        <v>202108255311</v>
      </c>
      <c r="F117" t="str">
        <f>"ACCT#0400785803 / 08032021"</f>
        <v>ACCT#0400785803 / 08032021</v>
      </c>
      <c r="G117" s="3">
        <v>212.08</v>
      </c>
      <c r="H117" t="str">
        <f>"AQUA WATER SUPPLY CORPORATION"</f>
        <v>AQUA WATER SUPPLY CORPORATION</v>
      </c>
    </row>
    <row r="118" spans="1:8" x14ac:dyDescent="0.25">
      <c r="E118" t="str">
        <f>"202108255312"</f>
        <v>202108255312</v>
      </c>
      <c r="F118" t="str">
        <f>"ACCT#0401408501 / 08032021"</f>
        <v>ACCT#0401408501 / 08032021</v>
      </c>
      <c r="G118" s="3">
        <v>634.91</v>
      </c>
      <c r="H118" t="str">
        <f>"AQUA WATER SUPPLY CORPORATION"</f>
        <v>AQUA WATER SUPPLY CORPORATION</v>
      </c>
    </row>
    <row r="119" spans="1:8" x14ac:dyDescent="0.25">
      <c r="E119" t="str">
        <f>"202108255313"</f>
        <v>202108255313</v>
      </c>
      <c r="F119" t="str">
        <f>"ACCT#0800042801 / 08032021"</f>
        <v>ACCT#0800042801 / 08032021</v>
      </c>
      <c r="G119" s="3">
        <v>69.84</v>
      </c>
      <c r="H119" t="str">
        <f>"AQUA WATER SUPPLY CORPORATION"</f>
        <v>AQUA WATER SUPPLY CORPORATION</v>
      </c>
    </row>
    <row r="120" spans="1:8" x14ac:dyDescent="0.25">
      <c r="E120" t="str">
        <f>"202108255314"</f>
        <v>202108255314</v>
      </c>
      <c r="F120" t="str">
        <f>"ACCT#0802361501 / 08032021"</f>
        <v>ACCT#0802361501 / 08032021</v>
      </c>
      <c r="G120" s="3">
        <v>36.11</v>
      </c>
      <c r="H120" t="str">
        <f>"AQUA WATER SUPPLY CORPORATION"</f>
        <v>AQUA WATER SUPPLY CORPORATION</v>
      </c>
    </row>
    <row r="121" spans="1:8" x14ac:dyDescent="0.25">
      <c r="A121" t="s">
        <v>29</v>
      </c>
      <c r="B121">
        <v>136679</v>
      </c>
      <c r="C121" s="3">
        <v>286.27999999999997</v>
      </c>
      <c r="D121" s="6">
        <v>44431</v>
      </c>
      <c r="E121" t="str">
        <f>"202108175243"</f>
        <v>202108175243</v>
      </c>
      <c r="F121" t="str">
        <f>"INDIGENT HEALTH"</f>
        <v>INDIGENT HEALTH</v>
      </c>
      <c r="G121" s="3">
        <v>286.27999999999997</v>
      </c>
      <c r="H121" t="str">
        <f>"INDIGENT HEALTH"</f>
        <v>INDIGENT HEALTH</v>
      </c>
    </row>
    <row r="122" spans="1:8" x14ac:dyDescent="0.25">
      <c r="A122" t="s">
        <v>30</v>
      </c>
      <c r="B122">
        <v>136557</v>
      </c>
      <c r="C122" s="3">
        <v>6750</v>
      </c>
      <c r="D122" s="6">
        <v>44417</v>
      </c>
      <c r="E122" t="str">
        <f>"2125.01"</f>
        <v>2125.01</v>
      </c>
      <c r="F122" t="str">
        <f>"HERITAGE PARK"</f>
        <v>HERITAGE PARK</v>
      </c>
      <c r="G122" s="3">
        <v>6750</v>
      </c>
      <c r="H122" t="str">
        <f>"HERITAGE PARK"</f>
        <v>HERITAGE PARK</v>
      </c>
    </row>
    <row r="123" spans="1:8" x14ac:dyDescent="0.25">
      <c r="A123" t="s">
        <v>31</v>
      </c>
      <c r="B123">
        <v>4947</v>
      </c>
      <c r="C123" s="3">
        <v>7799.01</v>
      </c>
      <c r="D123" s="6">
        <v>44432</v>
      </c>
      <c r="E123" t="str">
        <f>"15214"</f>
        <v>15214</v>
      </c>
      <c r="F123" t="str">
        <f>"SOCIAL MEDIA MGT/TOURISM"</f>
        <v>SOCIAL MEDIA MGT/TOURISM</v>
      </c>
      <c r="G123" s="3">
        <v>5399.01</v>
      </c>
      <c r="H123" t="str">
        <f>"SOCIAL MEDIA MGT/TOURISM"</f>
        <v>SOCIAL MEDIA MGT/TOURISM</v>
      </c>
    </row>
    <row r="124" spans="1:8" x14ac:dyDescent="0.25">
      <c r="E124" t="str">
        <f>"15215"</f>
        <v>15215</v>
      </c>
      <c r="F124" t="str">
        <f>"WEBSITE HOSTING/TOURISM"</f>
        <v>WEBSITE HOSTING/TOURISM</v>
      </c>
      <c r="G124" s="3">
        <v>2400</v>
      </c>
      <c r="H124" t="str">
        <f>"WEBSITE HOSTING/"</f>
        <v>WEBSITE HOSTING/</v>
      </c>
    </row>
    <row r="125" spans="1:8" x14ac:dyDescent="0.25">
      <c r="A125" t="s">
        <v>32</v>
      </c>
      <c r="B125">
        <v>136680</v>
      </c>
      <c r="C125" s="3">
        <v>1182.75</v>
      </c>
      <c r="D125" s="6">
        <v>44431</v>
      </c>
      <c r="E125" t="str">
        <f>"202108175244"</f>
        <v>202108175244</v>
      </c>
      <c r="F125" t="str">
        <f>"INDIGENT HEALTH"</f>
        <v>INDIGENT HEALTH</v>
      </c>
      <c r="G125" s="3">
        <v>1182.75</v>
      </c>
      <c r="H125" t="str">
        <f>"INDIGENT HEALTH"</f>
        <v>INDIGENT HEALTH</v>
      </c>
    </row>
    <row r="126" spans="1:8" x14ac:dyDescent="0.25">
      <c r="A126" t="s">
        <v>33</v>
      </c>
      <c r="B126">
        <v>136558</v>
      </c>
      <c r="C126" s="3">
        <v>6318</v>
      </c>
      <c r="D126" s="6">
        <v>44417</v>
      </c>
      <c r="E126" t="str">
        <f>"202108034940"</f>
        <v>202108034940</v>
      </c>
      <c r="F126" t="str">
        <f>"ACCT#512-308-9870-530"</f>
        <v>ACCT#512-308-9870-530</v>
      </c>
      <c r="G126" s="3">
        <v>1085.76</v>
      </c>
      <c r="H126" t="str">
        <f>"ACCT#512-308-9870-530"</f>
        <v>ACCT#512-308-9870-530</v>
      </c>
    </row>
    <row r="127" spans="1:8" x14ac:dyDescent="0.25">
      <c r="E127" t="str">
        <f>"202108034941"</f>
        <v>202108034941</v>
      </c>
      <c r="F127" t="str">
        <f>"ACCT#512A49-0048-1933"</f>
        <v>ACCT#512A49-0048-1933</v>
      </c>
      <c r="G127" s="3">
        <v>4836.32</v>
      </c>
      <c r="H127" t="str">
        <f>"ACCT#512A49-0048-1933"</f>
        <v>ACCT#512A49-0048-1933</v>
      </c>
    </row>
    <row r="128" spans="1:8" x14ac:dyDescent="0.25">
      <c r="E128" t="str">
        <f>""</f>
        <v/>
      </c>
      <c r="F128" t="str">
        <f>""</f>
        <v/>
      </c>
      <c r="G128" s="3">
        <v>254.01</v>
      </c>
      <c r="H128" t="str">
        <f>"ACCT#512A49-0048-1933"</f>
        <v>ACCT#512A49-0048-1933</v>
      </c>
    </row>
    <row r="129" spans="1:8" x14ac:dyDescent="0.25">
      <c r="E129" t="str">
        <f>""</f>
        <v/>
      </c>
      <c r="F129" t="str">
        <f>""</f>
        <v/>
      </c>
      <c r="G129" s="3">
        <v>141.91</v>
      </c>
      <c r="H129" t="str">
        <f>"ACCT#512A49-0048-1933"</f>
        <v>ACCT#512A49-0048-1933</v>
      </c>
    </row>
    <row r="130" spans="1:8" x14ac:dyDescent="0.25">
      <c r="A130" t="s">
        <v>33</v>
      </c>
      <c r="B130">
        <v>136559</v>
      </c>
      <c r="C130" s="3">
        <v>4559.32</v>
      </c>
      <c r="D130" s="6">
        <v>44417</v>
      </c>
      <c r="E130" t="str">
        <f>"202108034937"</f>
        <v>202108034937</v>
      </c>
      <c r="F130" t="str">
        <f>"ACCT#831-000-7218-923"</f>
        <v>ACCT#831-000-7218-923</v>
      </c>
      <c r="G130" s="3">
        <v>874.25</v>
      </c>
      <c r="H130" t="str">
        <f>"ACCT#831-000-7218-923"</f>
        <v>ACCT#831-000-7218-923</v>
      </c>
    </row>
    <row r="131" spans="1:8" x14ac:dyDescent="0.25">
      <c r="E131" t="str">
        <f>"202108034938"</f>
        <v>202108034938</v>
      </c>
      <c r="F131" t="str">
        <f>"ACCT#831-000-6084-095"</f>
        <v>ACCT#831-000-6084-095</v>
      </c>
      <c r="G131" s="3">
        <v>1684.69</v>
      </c>
      <c r="H131" t="str">
        <f>"ACCT#831-000-6084-095"</f>
        <v>ACCT#831-000-6084-095</v>
      </c>
    </row>
    <row r="132" spans="1:8" x14ac:dyDescent="0.25">
      <c r="E132" t="str">
        <f>"202108034939"</f>
        <v>202108034939</v>
      </c>
      <c r="F132" t="str">
        <f>"ACCT#831-000-7919-623"</f>
        <v>ACCT#831-000-7919-623</v>
      </c>
      <c r="G132" s="3">
        <v>2000.38</v>
      </c>
      <c r="H132" t="str">
        <f>"ACCT#831-000-7919-623"</f>
        <v>ACCT#831-000-7919-623</v>
      </c>
    </row>
    <row r="133" spans="1:8" x14ac:dyDescent="0.25">
      <c r="A133" t="s">
        <v>34</v>
      </c>
      <c r="B133">
        <v>136560</v>
      </c>
      <c r="C133" s="3">
        <v>6316.27</v>
      </c>
      <c r="D133" s="6">
        <v>44417</v>
      </c>
      <c r="E133" t="str">
        <f>"202107284790"</f>
        <v>202107284790</v>
      </c>
      <c r="F133" t="str">
        <f>"ACCT#287263291654"</f>
        <v>ACCT#287263291654</v>
      </c>
      <c r="G133" s="3">
        <v>75.98</v>
      </c>
      <c r="H133" t="str">
        <f t="shared" ref="H133:H150" si="0">"ACCT#287263291654"</f>
        <v>ACCT#287263291654</v>
      </c>
    </row>
    <row r="134" spans="1:8" x14ac:dyDescent="0.25">
      <c r="E134" t="str">
        <f>""</f>
        <v/>
      </c>
      <c r="F134" t="str">
        <f>""</f>
        <v/>
      </c>
      <c r="G134" s="3">
        <v>75.98</v>
      </c>
      <c r="H134" t="str">
        <f t="shared" si="0"/>
        <v>ACCT#287263291654</v>
      </c>
    </row>
    <row r="135" spans="1:8" x14ac:dyDescent="0.25">
      <c r="E135" t="str">
        <f>""</f>
        <v/>
      </c>
      <c r="F135" t="str">
        <f>""</f>
        <v/>
      </c>
      <c r="G135" s="3">
        <v>37.99</v>
      </c>
      <c r="H135" t="str">
        <f t="shared" si="0"/>
        <v>ACCT#287263291654</v>
      </c>
    </row>
    <row r="136" spans="1:8" x14ac:dyDescent="0.25">
      <c r="E136" t="str">
        <f>""</f>
        <v/>
      </c>
      <c r="F136" t="str">
        <f>""</f>
        <v/>
      </c>
      <c r="G136" s="3">
        <v>189.95</v>
      </c>
      <c r="H136" t="str">
        <f t="shared" si="0"/>
        <v>ACCT#287263291654</v>
      </c>
    </row>
    <row r="137" spans="1:8" x14ac:dyDescent="0.25">
      <c r="E137" t="str">
        <f>""</f>
        <v/>
      </c>
      <c r="F137" t="str">
        <f>""</f>
        <v/>
      </c>
      <c r="G137" s="3">
        <v>75.98</v>
      </c>
      <c r="H137" t="str">
        <f t="shared" si="0"/>
        <v>ACCT#287263291654</v>
      </c>
    </row>
    <row r="138" spans="1:8" x14ac:dyDescent="0.25">
      <c r="E138" t="str">
        <f>""</f>
        <v/>
      </c>
      <c r="F138" t="str">
        <f>""</f>
        <v/>
      </c>
      <c r="G138" s="3">
        <v>37.99</v>
      </c>
      <c r="H138" t="str">
        <f t="shared" si="0"/>
        <v>ACCT#287263291654</v>
      </c>
    </row>
    <row r="139" spans="1:8" x14ac:dyDescent="0.25">
      <c r="E139" t="str">
        <f>""</f>
        <v/>
      </c>
      <c r="F139" t="str">
        <f>""</f>
        <v/>
      </c>
      <c r="G139" s="3">
        <v>315.48</v>
      </c>
      <c r="H139" t="str">
        <f t="shared" si="0"/>
        <v>ACCT#287263291654</v>
      </c>
    </row>
    <row r="140" spans="1:8" x14ac:dyDescent="0.25">
      <c r="E140" t="str">
        <f>""</f>
        <v/>
      </c>
      <c r="F140" t="str">
        <f>""</f>
        <v/>
      </c>
      <c r="G140" s="3">
        <v>75.98</v>
      </c>
      <c r="H140" t="str">
        <f t="shared" si="0"/>
        <v>ACCT#287263291654</v>
      </c>
    </row>
    <row r="141" spans="1:8" x14ac:dyDescent="0.25">
      <c r="E141" t="str">
        <f>""</f>
        <v/>
      </c>
      <c r="F141" t="str">
        <f>""</f>
        <v/>
      </c>
      <c r="G141" s="3">
        <v>151.96</v>
      </c>
      <c r="H141" t="str">
        <f t="shared" si="0"/>
        <v>ACCT#287263291654</v>
      </c>
    </row>
    <row r="142" spans="1:8" x14ac:dyDescent="0.25">
      <c r="E142" t="str">
        <f>""</f>
        <v/>
      </c>
      <c r="F142" t="str">
        <f>""</f>
        <v/>
      </c>
      <c r="G142" s="3">
        <v>189.95</v>
      </c>
      <c r="H142" t="str">
        <f t="shared" si="0"/>
        <v>ACCT#287263291654</v>
      </c>
    </row>
    <row r="143" spans="1:8" x14ac:dyDescent="0.25">
      <c r="E143" t="str">
        <f>""</f>
        <v/>
      </c>
      <c r="F143" t="str">
        <f>""</f>
        <v/>
      </c>
      <c r="G143" s="3">
        <v>37.99</v>
      </c>
      <c r="H143" t="str">
        <f t="shared" si="0"/>
        <v>ACCT#287263291654</v>
      </c>
    </row>
    <row r="144" spans="1:8" x14ac:dyDescent="0.25">
      <c r="E144" t="str">
        <f>""</f>
        <v/>
      </c>
      <c r="F144" t="str">
        <f>""</f>
        <v/>
      </c>
      <c r="G144" s="3">
        <v>75.98</v>
      </c>
      <c r="H144" t="str">
        <f t="shared" si="0"/>
        <v>ACCT#287263291654</v>
      </c>
    </row>
    <row r="145" spans="5:8" x14ac:dyDescent="0.25">
      <c r="E145" t="str">
        <f>""</f>
        <v/>
      </c>
      <c r="F145" t="str">
        <f>""</f>
        <v/>
      </c>
      <c r="G145" s="3">
        <v>37.99</v>
      </c>
      <c r="H145" t="str">
        <f t="shared" si="0"/>
        <v>ACCT#287263291654</v>
      </c>
    </row>
    <row r="146" spans="5:8" x14ac:dyDescent="0.25">
      <c r="E146" t="str">
        <f>""</f>
        <v/>
      </c>
      <c r="F146" t="str">
        <f>""</f>
        <v/>
      </c>
      <c r="G146" s="3">
        <v>37.99</v>
      </c>
      <c r="H146" t="str">
        <f t="shared" si="0"/>
        <v>ACCT#287263291654</v>
      </c>
    </row>
    <row r="147" spans="5:8" x14ac:dyDescent="0.25">
      <c r="E147" t="str">
        <f>""</f>
        <v/>
      </c>
      <c r="F147" t="str">
        <f>""</f>
        <v/>
      </c>
      <c r="G147" s="3">
        <v>37.99</v>
      </c>
      <c r="H147" t="str">
        <f t="shared" si="0"/>
        <v>ACCT#287263291654</v>
      </c>
    </row>
    <row r="148" spans="5:8" x14ac:dyDescent="0.25">
      <c r="E148" t="str">
        <f>""</f>
        <v/>
      </c>
      <c r="F148" t="str">
        <f>""</f>
        <v/>
      </c>
      <c r="G148" s="3">
        <v>37.99</v>
      </c>
      <c r="H148" t="str">
        <f t="shared" si="0"/>
        <v>ACCT#287263291654</v>
      </c>
    </row>
    <row r="149" spans="5:8" x14ac:dyDescent="0.25">
      <c r="E149" t="str">
        <f>""</f>
        <v/>
      </c>
      <c r="F149" t="str">
        <f>""</f>
        <v/>
      </c>
      <c r="G149" s="3">
        <v>160.16</v>
      </c>
      <c r="H149" t="str">
        <f t="shared" si="0"/>
        <v>ACCT#287263291654</v>
      </c>
    </row>
    <row r="150" spans="5:8" x14ac:dyDescent="0.25">
      <c r="E150" t="str">
        <f>""</f>
        <v/>
      </c>
      <c r="F150" t="str">
        <f>""</f>
        <v/>
      </c>
      <c r="G150" s="3">
        <v>75.98</v>
      </c>
      <c r="H150" t="str">
        <f t="shared" si="0"/>
        <v>ACCT#287263291654</v>
      </c>
    </row>
    <row r="151" spans="5:8" x14ac:dyDescent="0.25">
      <c r="E151" t="str">
        <f>"202108034947"</f>
        <v>202108034947</v>
      </c>
      <c r="F151" t="str">
        <f>"ACCT#287290524359"</f>
        <v>ACCT#287290524359</v>
      </c>
      <c r="G151" s="3">
        <v>148</v>
      </c>
      <c r="H151" t="str">
        <f t="shared" ref="H151:H163" si="1">"ACCT#287290524359"</f>
        <v>ACCT#287290524359</v>
      </c>
    </row>
    <row r="152" spans="5:8" x14ac:dyDescent="0.25">
      <c r="E152" t="str">
        <f>""</f>
        <v/>
      </c>
      <c r="F152" t="str">
        <f>""</f>
        <v/>
      </c>
      <c r="G152" s="3">
        <v>259</v>
      </c>
      <c r="H152" t="str">
        <f t="shared" si="1"/>
        <v>ACCT#287290524359</v>
      </c>
    </row>
    <row r="153" spans="5:8" x14ac:dyDescent="0.25">
      <c r="E153" t="str">
        <f>""</f>
        <v/>
      </c>
      <c r="F153" t="str">
        <f>""</f>
        <v/>
      </c>
      <c r="G153" s="3">
        <v>37</v>
      </c>
      <c r="H153" t="str">
        <f t="shared" si="1"/>
        <v>ACCT#287290524359</v>
      </c>
    </row>
    <row r="154" spans="5:8" x14ac:dyDescent="0.25">
      <c r="E154" t="str">
        <f>""</f>
        <v/>
      </c>
      <c r="F154" t="str">
        <f>""</f>
        <v/>
      </c>
      <c r="G154" s="3">
        <v>37</v>
      </c>
      <c r="H154" t="str">
        <f t="shared" si="1"/>
        <v>ACCT#287290524359</v>
      </c>
    </row>
    <row r="155" spans="5:8" x14ac:dyDescent="0.25">
      <c r="E155" t="str">
        <f>""</f>
        <v/>
      </c>
      <c r="F155" t="str">
        <f>""</f>
        <v/>
      </c>
      <c r="G155" s="3">
        <v>185</v>
      </c>
      <c r="H155" t="str">
        <f t="shared" si="1"/>
        <v>ACCT#287290524359</v>
      </c>
    </row>
    <row r="156" spans="5:8" x14ac:dyDescent="0.25">
      <c r="E156" t="str">
        <f>""</f>
        <v/>
      </c>
      <c r="F156" t="str">
        <f>""</f>
        <v/>
      </c>
      <c r="G156" s="3">
        <v>37</v>
      </c>
      <c r="H156" t="str">
        <f t="shared" si="1"/>
        <v>ACCT#287290524359</v>
      </c>
    </row>
    <row r="157" spans="5:8" x14ac:dyDescent="0.25">
      <c r="E157" t="str">
        <f>""</f>
        <v/>
      </c>
      <c r="F157" t="str">
        <f>""</f>
        <v/>
      </c>
      <c r="G157" s="3">
        <v>523.6</v>
      </c>
      <c r="H157" t="str">
        <f t="shared" si="1"/>
        <v>ACCT#287290524359</v>
      </c>
    </row>
    <row r="158" spans="5:8" x14ac:dyDescent="0.25">
      <c r="E158" t="str">
        <f>""</f>
        <v/>
      </c>
      <c r="F158" t="str">
        <f>""</f>
        <v/>
      </c>
      <c r="G158" s="3">
        <v>185</v>
      </c>
      <c r="H158" t="str">
        <f t="shared" si="1"/>
        <v>ACCT#287290524359</v>
      </c>
    </row>
    <row r="159" spans="5:8" x14ac:dyDescent="0.25">
      <c r="E159" t="str">
        <f>""</f>
        <v/>
      </c>
      <c r="F159" t="str">
        <f>""</f>
        <v/>
      </c>
      <c r="G159" s="3">
        <v>222</v>
      </c>
      <c r="H159" t="str">
        <f t="shared" si="1"/>
        <v>ACCT#287290524359</v>
      </c>
    </row>
    <row r="160" spans="5:8" x14ac:dyDescent="0.25">
      <c r="E160" t="str">
        <f>""</f>
        <v/>
      </c>
      <c r="F160" t="str">
        <f>""</f>
        <v/>
      </c>
      <c r="G160" s="3">
        <v>37</v>
      </c>
      <c r="H160" t="str">
        <f t="shared" si="1"/>
        <v>ACCT#287290524359</v>
      </c>
    </row>
    <row r="161" spans="1:8" x14ac:dyDescent="0.25">
      <c r="E161" t="str">
        <f>""</f>
        <v/>
      </c>
      <c r="F161" t="str">
        <f>""</f>
        <v/>
      </c>
      <c r="G161" s="3">
        <v>2805.36</v>
      </c>
      <c r="H161" t="str">
        <f t="shared" si="1"/>
        <v>ACCT#287290524359</v>
      </c>
    </row>
    <row r="162" spans="1:8" x14ac:dyDescent="0.25">
      <c r="E162" t="str">
        <f>""</f>
        <v/>
      </c>
      <c r="F162" t="str">
        <f>""</f>
        <v/>
      </c>
      <c r="G162" s="3">
        <v>74</v>
      </c>
      <c r="H162" t="str">
        <f t="shared" si="1"/>
        <v>ACCT#287290524359</v>
      </c>
    </row>
    <row r="163" spans="1:8" x14ac:dyDescent="0.25">
      <c r="E163" t="str">
        <f>""</f>
        <v/>
      </c>
      <c r="F163" t="str">
        <f>""</f>
        <v/>
      </c>
      <c r="G163" s="3">
        <v>37</v>
      </c>
      <c r="H163" t="str">
        <f t="shared" si="1"/>
        <v>ACCT#287290524359</v>
      </c>
    </row>
    <row r="164" spans="1:8" x14ac:dyDescent="0.25">
      <c r="A164" t="s">
        <v>35</v>
      </c>
      <c r="B164">
        <v>136561</v>
      </c>
      <c r="C164" s="3">
        <v>171.89</v>
      </c>
      <c r="D164" s="6">
        <v>44417</v>
      </c>
      <c r="E164" t="str">
        <f>"229640"</f>
        <v>229640</v>
      </c>
      <c r="F164" t="str">
        <f>"INV 229640"</f>
        <v>INV 229640</v>
      </c>
      <c r="G164" s="3">
        <v>156.47999999999999</v>
      </c>
      <c r="H164" t="str">
        <f>"INV 229640"</f>
        <v>INV 229640</v>
      </c>
    </row>
    <row r="165" spans="1:8" x14ac:dyDescent="0.25">
      <c r="E165" t="str">
        <f>""</f>
        <v/>
      </c>
      <c r="F165" t="str">
        <f>""</f>
        <v/>
      </c>
      <c r="G165" s="3">
        <v>15.41</v>
      </c>
      <c r="H165" t="str">
        <f>"SHIPPING"</f>
        <v>SHIPPING</v>
      </c>
    </row>
    <row r="166" spans="1:8" x14ac:dyDescent="0.25">
      <c r="A166" t="s">
        <v>36</v>
      </c>
      <c r="B166">
        <v>4895</v>
      </c>
      <c r="C166" s="3">
        <v>378.73</v>
      </c>
      <c r="D166" s="6">
        <v>44418</v>
      </c>
      <c r="E166" t="str">
        <f>"5438"</f>
        <v>5438</v>
      </c>
      <c r="F166" t="str">
        <f>"SUPPLIES/PCT#4"</f>
        <v>SUPPLIES/PCT#4</v>
      </c>
      <c r="G166" s="3">
        <v>378.73</v>
      </c>
      <c r="H166" t="str">
        <f>"SUPPLIES/PCT#4"</f>
        <v>SUPPLIES/PCT#4</v>
      </c>
    </row>
    <row r="167" spans="1:8" x14ac:dyDescent="0.25">
      <c r="A167" t="s">
        <v>37</v>
      </c>
      <c r="B167">
        <v>136681</v>
      </c>
      <c r="C167" s="3">
        <v>178.57</v>
      </c>
      <c r="D167" s="6">
        <v>44431</v>
      </c>
      <c r="E167" t="str">
        <f>"202108175246"</f>
        <v>202108175246</v>
      </c>
      <c r="F167" t="str">
        <f>"INDIGENT HEALTH"</f>
        <v>INDIGENT HEALTH</v>
      </c>
      <c r="G167" s="3">
        <v>178.57</v>
      </c>
      <c r="H167" t="str">
        <f>"INDIGENT HEALTH"</f>
        <v>INDIGENT HEALTH</v>
      </c>
    </row>
    <row r="168" spans="1:8" x14ac:dyDescent="0.25">
      <c r="A168" t="s">
        <v>38</v>
      </c>
      <c r="B168">
        <v>4881</v>
      </c>
      <c r="C168" s="3">
        <v>1592.5</v>
      </c>
      <c r="D168" s="6">
        <v>44418</v>
      </c>
      <c r="E168" t="str">
        <f>"202107274756"</f>
        <v>202107274756</v>
      </c>
      <c r="F168" t="str">
        <f>"CASE#16561/VIVIAN PAN"</f>
        <v>CASE#16561/VIVIAN PAN</v>
      </c>
      <c r="G168" s="3">
        <v>742.5</v>
      </c>
      <c r="H168" t="str">
        <f>"CASE#16561/VIVIAN PAN"</f>
        <v>CASE#16561/VIVIAN PAN</v>
      </c>
    </row>
    <row r="169" spans="1:8" x14ac:dyDescent="0.25">
      <c r="E169" t="str">
        <f>"202107274757"</f>
        <v>202107274757</v>
      </c>
      <c r="F169" t="str">
        <f>"CASE#17360/VIVIAN PAN"</f>
        <v>CASE#17360/VIVIAN PAN</v>
      </c>
      <c r="G169" s="3">
        <v>850</v>
      </c>
      <c r="H169" t="str">
        <f>"CASE#17360/VIVIAN PAN"</f>
        <v>CASE#17360/VIVIAN PAN</v>
      </c>
    </row>
    <row r="170" spans="1:8" x14ac:dyDescent="0.25">
      <c r="A170" t="s">
        <v>39</v>
      </c>
      <c r="B170">
        <v>136682</v>
      </c>
      <c r="C170" s="3">
        <v>156.12</v>
      </c>
      <c r="D170" s="6">
        <v>44431</v>
      </c>
      <c r="E170" t="str">
        <f>"202108175247"</f>
        <v>202108175247</v>
      </c>
      <c r="F170" t="str">
        <f>"INDIGENT HEALTH"</f>
        <v>INDIGENT HEALTH</v>
      </c>
      <c r="G170" s="3">
        <v>156.12</v>
      </c>
      <c r="H170" t="str">
        <f>"INDIGENT HEALTH"</f>
        <v>INDIGENT HEALTH</v>
      </c>
    </row>
    <row r="171" spans="1:8" x14ac:dyDescent="0.25">
      <c r="A171" t="s">
        <v>40</v>
      </c>
      <c r="B171">
        <v>136562</v>
      </c>
      <c r="C171" s="3">
        <v>60</v>
      </c>
      <c r="D171" s="6">
        <v>44417</v>
      </c>
      <c r="E171" t="str">
        <f>"9652"</f>
        <v>9652</v>
      </c>
      <c r="F171" t="str">
        <f>"REFUND COURT COST"</f>
        <v>REFUND COURT COST</v>
      </c>
      <c r="G171" s="3">
        <v>60</v>
      </c>
      <c r="H171" t="str">
        <f>"REFUND COURT COST"</f>
        <v>REFUND COURT COST</v>
      </c>
    </row>
    <row r="172" spans="1:8" x14ac:dyDescent="0.25">
      <c r="A172" t="s">
        <v>41</v>
      </c>
      <c r="B172">
        <v>136683</v>
      </c>
      <c r="C172" s="3">
        <v>80.13</v>
      </c>
      <c r="D172" s="6">
        <v>44431</v>
      </c>
      <c r="E172" t="str">
        <f>"121590"</f>
        <v>121590</v>
      </c>
      <c r="F172" t="str">
        <f>"SO#122911/PCT#3"</f>
        <v>SO#122911/PCT#3</v>
      </c>
      <c r="G172" s="3">
        <v>80.13</v>
      </c>
      <c r="H172" t="str">
        <f>"SO#122911/PCT#3"</f>
        <v>SO#122911/PCT#3</v>
      </c>
    </row>
    <row r="173" spans="1:8" x14ac:dyDescent="0.25">
      <c r="A173" t="s">
        <v>42</v>
      </c>
      <c r="B173">
        <v>136684</v>
      </c>
      <c r="C173" s="3">
        <v>65.23</v>
      </c>
      <c r="D173" s="6">
        <v>44431</v>
      </c>
      <c r="E173" t="str">
        <f>"103940"</f>
        <v>103940</v>
      </c>
      <c r="F173" t="str">
        <f>"CUST#083005/PCT#4"</f>
        <v>CUST#083005/PCT#4</v>
      </c>
      <c r="G173" s="3">
        <v>65.23</v>
      </c>
      <c r="H173" t="str">
        <f>"ORDER#224624/PCT#4"</f>
        <v>ORDER#224624/PCT#4</v>
      </c>
    </row>
    <row r="174" spans="1:8" x14ac:dyDescent="0.25">
      <c r="A174" t="s">
        <v>43</v>
      </c>
      <c r="B174">
        <v>136685</v>
      </c>
      <c r="C174" s="3">
        <v>30.96</v>
      </c>
      <c r="D174" s="6">
        <v>44431</v>
      </c>
      <c r="E174" t="str">
        <f>"174556"</f>
        <v>174556</v>
      </c>
      <c r="F174" t="str">
        <f>"INV 174556"</f>
        <v>INV 174556</v>
      </c>
      <c r="G174" s="3">
        <v>30.96</v>
      </c>
      <c r="H174" t="str">
        <f>"INV 174556"</f>
        <v>INV 174556</v>
      </c>
    </row>
    <row r="175" spans="1:8" x14ac:dyDescent="0.25">
      <c r="A175" t="s">
        <v>44</v>
      </c>
      <c r="B175">
        <v>136686</v>
      </c>
      <c r="C175" s="3">
        <v>185</v>
      </c>
      <c r="D175" s="6">
        <v>44431</v>
      </c>
      <c r="E175" t="str">
        <f>"202108115192"</f>
        <v>202108115192</v>
      </c>
      <c r="F175" t="str">
        <f>"PER DIEM"</f>
        <v>PER DIEM</v>
      </c>
      <c r="G175" s="3">
        <v>185</v>
      </c>
      <c r="H175" t="str">
        <f>"PER DIEM"</f>
        <v>PER DIEM</v>
      </c>
    </row>
    <row r="176" spans="1:8" x14ac:dyDescent="0.25">
      <c r="A176" t="s">
        <v>45</v>
      </c>
      <c r="B176">
        <v>4898</v>
      </c>
      <c r="C176" s="3">
        <v>2823.28</v>
      </c>
      <c r="D176" s="6">
        <v>44418</v>
      </c>
      <c r="E176" t="str">
        <f>"202107284813"</f>
        <v>202107284813</v>
      </c>
      <c r="F176" t="str">
        <f>"CUST#0011/PCT#3"</f>
        <v>CUST#0011/PCT#3</v>
      </c>
      <c r="G176" s="3">
        <v>46</v>
      </c>
      <c r="H176" t="str">
        <f>"CUST#0011/PCT#3"</f>
        <v>CUST#0011/PCT#3</v>
      </c>
    </row>
    <row r="177" spans="1:8" x14ac:dyDescent="0.25">
      <c r="E177" t="str">
        <f>"202107284814"</f>
        <v>202107284814</v>
      </c>
      <c r="F177" t="str">
        <f>"CUST#0009/PCT#1"</f>
        <v>CUST#0009/PCT#1</v>
      </c>
      <c r="G177" s="3">
        <v>182.44</v>
      </c>
      <c r="H177" t="str">
        <f>"CUST#0009/PCT#1"</f>
        <v>CUST#0009/PCT#1</v>
      </c>
    </row>
    <row r="178" spans="1:8" x14ac:dyDescent="0.25">
      <c r="E178" t="str">
        <f>"202107284815"</f>
        <v>202107284815</v>
      </c>
      <c r="F178" t="str">
        <f>"CUST#010/PCT#2"</f>
        <v>CUST#010/PCT#2</v>
      </c>
      <c r="G178" s="3">
        <v>259</v>
      </c>
      <c r="H178" t="str">
        <f>"CUST#010/PCT#2"</f>
        <v>CUST#010/PCT#2</v>
      </c>
    </row>
    <row r="179" spans="1:8" x14ac:dyDescent="0.25">
      <c r="E179" t="str">
        <f>"202108024864"</f>
        <v>202108024864</v>
      </c>
      <c r="F179" t="str">
        <f>"CUST#0009/PCT#1"</f>
        <v>CUST#0009/PCT#1</v>
      </c>
      <c r="G179" s="3">
        <v>314.98</v>
      </c>
      <c r="H179" t="str">
        <f>"CUST#0009/PCT#1"</f>
        <v>CUST#0009/PCT#1</v>
      </c>
    </row>
    <row r="180" spans="1:8" x14ac:dyDescent="0.25">
      <c r="E180" t="str">
        <f>"202108034953"</f>
        <v>202108034953</v>
      </c>
      <c r="F180" t="str">
        <f>"ACCT#0010/PCT#2"</f>
        <v>ACCT#0010/PCT#2</v>
      </c>
      <c r="G180" s="3">
        <v>266</v>
      </c>
      <c r="H180" t="str">
        <f>"ACCT#0010/PCT#2"</f>
        <v>ACCT#0010/PCT#2</v>
      </c>
    </row>
    <row r="181" spans="1:8" x14ac:dyDescent="0.25">
      <c r="E181" t="str">
        <f>"202108045046"</f>
        <v>202108045046</v>
      </c>
      <c r="F181" t="str">
        <f>"CUST#0011/PCT#3"</f>
        <v>CUST#0011/PCT#3</v>
      </c>
      <c r="G181" s="3">
        <v>1754.86</v>
      </c>
      <c r="H181" t="str">
        <f>"CUST#0011/PCT#3"</f>
        <v>CUST#0011/PCT#3</v>
      </c>
    </row>
    <row r="182" spans="1:8" x14ac:dyDescent="0.25">
      <c r="A182" t="s">
        <v>46</v>
      </c>
      <c r="B182">
        <v>136687</v>
      </c>
      <c r="C182" s="3">
        <v>154634.20000000001</v>
      </c>
      <c r="D182" s="6">
        <v>44431</v>
      </c>
      <c r="E182" t="str">
        <f>"202108185297"</f>
        <v>202108185297</v>
      </c>
      <c r="F182" t="str">
        <f>"4 QTR 2021/CAD"</f>
        <v>4 QTR 2021/CAD</v>
      </c>
      <c r="G182" s="3">
        <v>154634.20000000001</v>
      </c>
      <c r="H182" t="str">
        <f>"4 QTR 2021/CAD"</f>
        <v>4 QTR 2021/CAD</v>
      </c>
    </row>
    <row r="183" spans="1:8" x14ac:dyDescent="0.25">
      <c r="A183" t="s">
        <v>47</v>
      </c>
      <c r="B183">
        <v>136563</v>
      </c>
      <c r="C183" s="3">
        <v>1019</v>
      </c>
      <c r="D183" s="6">
        <v>44417</v>
      </c>
      <c r="E183" t="str">
        <f>"12892"</f>
        <v>12892</v>
      </c>
      <c r="F183" t="str">
        <f t="shared" ref="F183:F189" si="2">"SERVICE"</f>
        <v>SERVICE</v>
      </c>
      <c r="G183" s="3">
        <v>325</v>
      </c>
      <c r="H183" t="str">
        <f t="shared" ref="H183:H189" si="3">"SERVICE"</f>
        <v>SERVICE</v>
      </c>
    </row>
    <row r="184" spans="1:8" x14ac:dyDescent="0.25">
      <c r="E184" t="str">
        <f>"13646-1"</f>
        <v>13646-1</v>
      </c>
      <c r="F184" t="str">
        <f t="shared" si="2"/>
        <v>SERVICE</v>
      </c>
      <c r="G184" s="3">
        <v>9</v>
      </c>
      <c r="H184" t="str">
        <f t="shared" si="3"/>
        <v>SERVICE</v>
      </c>
    </row>
    <row r="185" spans="1:8" x14ac:dyDescent="0.25">
      <c r="E185" t="str">
        <f>"13656"</f>
        <v>13656</v>
      </c>
      <c r="F185" t="str">
        <f t="shared" si="2"/>
        <v>SERVICE</v>
      </c>
      <c r="G185" s="3">
        <v>150</v>
      </c>
      <c r="H185" t="str">
        <f t="shared" si="3"/>
        <v>SERVICE</v>
      </c>
    </row>
    <row r="186" spans="1:8" x14ac:dyDescent="0.25">
      <c r="E186" t="str">
        <f>"13660 6-16-21"</f>
        <v>13660 6-16-21</v>
      </c>
      <c r="F186" t="str">
        <f t="shared" si="2"/>
        <v>SERVICE</v>
      </c>
      <c r="G186" s="3">
        <v>55</v>
      </c>
      <c r="H186" t="str">
        <f t="shared" si="3"/>
        <v>SERVICE</v>
      </c>
    </row>
    <row r="187" spans="1:8" x14ac:dyDescent="0.25">
      <c r="E187" t="str">
        <f>"13706"</f>
        <v>13706</v>
      </c>
      <c r="F187" t="str">
        <f t="shared" si="2"/>
        <v>SERVICE</v>
      </c>
      <c r="G187" s="3">
        <v>150</v>
      </c>
      <c r="H187" t="str">
        <f t="shared" si="3"/>
        <v>SERVICE</v>
      </c>
    </row>
    <row r="188" spans="1:8" x14ac:dyDescent="0.25">
      <c r="E188" t="str">
        <f>"13730"</f>
        <v>13730</v>
      </c>
      <c r="F188" t="str">
        <f t="shared" si="2"/>
        <v>SERVICE</v>
      </c>
      <c r="G188" s="3">
        <v>150</v>
      </c>
      <c r="H188" t="str">
        <f t="shared" si="3"/>
        <v>SERVICE</v>
      </c>
    </row>
    <row r="189" spans="1:8" x14ac:dyDescent="0.25">
      <c r="E189" t="str">
        <f>"9652"</f>
        <v>9652</v>
      </c>
      <c r="F189" t="str">
        <f t="shared" si="2"/>
        <v>SERVICE</v>
      </c>
      <c r="G189" s="3">
        <v>180</v>
      </c>
      <c r="H189" t="str">
        <f t="shared" si="3"/>
        <v>SERVICE</v>
      </c>
    </row>
    <row r="190" spans="1:8" x14ac:dyDescent="0.25">
      <c r="A190" t="s">
        <v>48</v>
      </c>
      <c r="B190">
        <v>136835</v>
      </c>
      <c r="C190" s="3">
        <v>6900</v>
      </c>
      <c r="D190" s="6">
        <v>44434</v>
      </c>
      <c r="E190" t="str">
        <f>"202108265377"</f>
        <v>202108265377</v>
      </c>
      <c r="F190" t="str">
        <f>"SEIZED AUCTION PROCEEDS"</f>
        <v>SEIZED AUCTION PROCEEDS</v>
      </c>
      <c r="G190" s="3">
        <v>6900</v>
      </c>
      <c r="H190" t="str">
        <f>"BASTROP CO SHERIFF'S OFFICE FO"</f>
        <v>BASTROP CO SHERIFF'S OFFICE FO</v>
      </c>
    </row>
    <row r="191" spans="1:8" x14ac:dyDescent="0.25">
      <c r="A191" t="s">
        <v>47</v>
      </c>
      <c r="B191">
        <v>136836</v>
      </c>
      <c r="C191" s="3">
        <v>1912</v>
      </c>
      <c r="D191" s="6">
        <v>44434</v>
      </c>
      <c r="E191" t="s">
        <v>49</v>
      </c>
      <c r="F191" s="3" t="str">
        <f>"SERVICE 07/02/21"</f>
        <v>SERVICE 07/02/21</v>
      </c>
      <c r="G191" s="3">
        <v>50</v>
      </c>
      <c r="H191" s="3" t="str">
        <f>"BASTROP COUNTY SHERIFF'S DEPT"</f>
        <v>BASTROP COUNTY SHERIFF'S DEPT</v>
      </c>
    </row>
    <row r="192" spans="1:8" x14ac:dyDescent="0.25">
      <c r="E192" t="str">
        <f>"13094  04/05/21"</f>
        <v>13094  04/05/21</v>
      </c>
      <c r="F192" t="str">
        <f t="shared" ref="F192:F201" si="4">"SERVICE"</f>
        <v>SERVICE</v>
      </c>
      <c r="G192" s="3">
        <v>325</v>
      </c>
      <c r="H192" t="str">
        <f>"BASTROP COUNTY SHERIFF'S DEPT"</f>
        <v>BASTROP COUNTY SHERIFF'S DEPT</v>
      </c>
    </row>
    <row r="193" spans="1:8" x14ac:dyDescent="0.25">
      <c r="E193" t="str">
        <f>"13227  04/05/21"</f>
        <v>13227  04/05/21</v>
      </c>
      <c r="F193" t="str">
        <f t="shared" si="4"/>
        <v>SERVICE</v>
      </c>
      <c r="G193" s="3">
        <v>850</v>
      </c>
      <c r="H193" t="str">
        <f>"BASTROP COUNTY SHERIFF'S DEPT"</f>
        <v>BASTROP COUNTY SHERIFF'S DEPT</v>
      </c>
    </row>
    <row r="194" spans="1:8" x14ac:dyDescent="0.25">
      <c r="E194" t="str">
        <f>"13268  07/20/21"</f>
        <v>13268  07/20/21</v>
      </c>
      <c r="F194" t="str">
        <f t="shared" si="4"/>
        <v>SERVICE</v>
      </c>
      <c r="G194" s="3">
        <v>75</v>
      </c>
      <c r="H194" t="str">
        <f>"SERVICE"</f>
        <v>SERVICE</v>
      </c>
    </row>
    <row r="195" spans="1:8" x14ac:dyDescent="0.25">
      <c r="E195" t="str">
        <f>"13285  06/23/21"</f>
        <v>13285  06/23/21</v>
      </c>
      <c r="F195" t="str">
        <f t="shared" si="4"/>
        <v>SERVICE</v>
      </c>
      <c r="G195" s="3">
        <v>250</v>
      </c>
      <c r="H195" t="str">
        <f>"SERVICE"</f>
        <v>SERVICE</v>
      </c>
    </row>
    <row r="196" spans="1:8" x14ac:dyDescent="0.25">
      <c r="E196" t="str">
        <f>"13390  07/01/21"</f>
        <v>13390  07/01/21</v>
      </c>
      <c r="F196" t="str">
        <f t="shared" si="4"/>
        <v>SERVICE</v>
      </c>
      <c r="G196" s="3">
        <v>27</v>
      </c>
      <c r="H196" t="str">
        <f>"SERVICE"</f>
        <v>SERVICE</v>
      </c>
    </row>
    <row r="197" spans="1:8" x14ac:dyDescent="0.25">
      <c r="E197" t="str">
        <f>"13417  07/12/21"</f>
        <v>13417  07/12/21</v>
      </c>
      <c r="F197" t="str">
        <f t="shared" si="4"/>
        <v>SERVICE</v>
      </c>
      <c r="G197" s="3">
        <v>150</v>
      </c>
      <c r="H197" t="str">
        <f>"SERVICE"</f>
        <v>SERVICE</v>
      </c>
    </row>
    <row r="198" spans="1:8" x14ac:dyDescent="0.25">
      <c r="E198" t="str">
        <f>"13510  06/23/21"</f>
        <v>13510  06/23/21</v>
      </c>
      <c r="F198" t="str">
        <f t="shared" si="4"/>
        <v>SERVICE</v>
      </c>
      <c r="G198" s="3">
        <v>25</v>
      </c>
      <c r="H198" t="str">
        <f>"BASTROP COUNTY SHERIFF'S DEPT"</f>
        <v>BASTROP COUNTY SHERIFF'S DEPT</v>
      </c>
    </row>
    <row r="199" spans="1:8" x14ac:dyDescent="0.25">
      <c r="E199" t="str">
        <f>"13588  06/21/21"</f>
        <v>13588  06/21/21</v>
      </c>
      <c r="F199" t="str">
        <f t="shared" si="4"/>
        <v>SERVICE</v>
      </c>
      <c r="G199" s="3">
        <v>10</v>
      </c>
      <c r="H199" t="str">
        <f>"BASTROP COUNTY SHERIFF'S DEPT"</f>
        <v>BASTROP COUNTY SHERIFF'S DEPT</v>
      </c>
    </row>
    <row r="200" spans="1:8" x14ac:dyDescent="0.25">
      <c r="E200" t="str">
        <f>"13729  07/01/21"</f>
        <v>13729  07/01/21</v>
      </c>
      <c r="F200" t="str">
        <f t="shared" si="4"/>
        <v>SERVICE</v>
      </c>
      <c r="G200" s="3">
        <v>75</v>
      </c>
      <c r="H200" t="str">
        <f>"BASTROP COUNTY SHERIFF'S DEPT"</f>
        <v>BASTROP COUNTY SHERIFF'S DEPT</v>
      </c>
    </row>
    <row r="201" spans="1:8" x14ac:dyDescent="0.25">
      <c r="E201" t="str">
        <f>"13732  07/19/21"</f>
        <v>13732  07/19/21</v>
      </c>
      <c r="F201" t="str">
        <f t="shared" si="4"/>
        <v>SERVICE</v>
      </c>
      <c r="G201" s="3">
        <v>75</v>
      </c>
      <c r="H201" t="str">
        <f>"BASTROP COUNTY SHERIFF'S DEPT"</f>
        <v>BASTROP COUNTY SHERIFF'S DEPT</v>
      </c>
    </row>
    <row r="202" spans="1:8" x14ac:dyDescent="0.25">
      <c r="A202" t="s">
        <v>50</v>
      </c>
      <c r="B202">
        <v>4896</v>
      </c>
      <c r="C202" s="3">
        <v>1115.06</v>
      </c>
      <c r="D202" s="6">
        <v>44418</v>
      </c>
      <c r="E202" t="str">
        <f>"202107294820"</f>
        <v>202107294820</v>
      </c>
      <c r="F202" t="str">
        <f>"BASTROP COPIER/DANIEL L HEPKER"</f>
        <v>BASTROP COPIER/DANIEL L HEPKER</v>
      </c>
      <c r="G202" s="3">
        <v>276.67</v>
      </c>
      <c r="H202" t="str">
        <f>"BASTROP COPIER/DANIEL L HEPKER"</f>
        <v>BASTROP COPIER/DANIEL L HEPKER</v>
      </c>
    </row>
    <row r="203" spans="1:8" x14ac:dyDescent="0.25">
      <c r="E203" t="str">
        <f>""</f>
        <v/>
      </c>
      <c r="F203" t="str">
        <f>""</f>
        <v/>
      </c>
      <c r="G203" s="3">
        <v>84</v>
      </c>
      <c r="H203" t="str">
        <f>"BASTROP COPIER/DANIEL L HEPKER"</f>
        <v>BASTROP COPIER/DANIEL L HEPKER</v>
      </c>
    </row>
    <row r="204" spans="1:8" x14ac:dyDescent="0.25">
      <c r="E204" t="str">
        <f>""</f>
        <v/>
      </c>
      <c r="F204" t="str">
        <f>""</f>
        <v/>
      </c>
      <c r="G204" s="3">
        <v>453</v>
      </c>
      <c r="H204" t="str">
        <f>"BASTROP COPIER/DANIEL L HEPKER"</f>
        <v>BASTROP COPIER/DANIEL L HEPKER</v>
      </c>
    </row>
    <row r="205" spans="1:8" x14ac:dyDescent="0.25">
      <c r="E205" t="str">
        <f>""</f>
        <v/>
      </c>
      <c r="F205" t="str">
        <f>""</f>
        <v/>
      </c>
      <c r="G205" s="3">
        <v>301.39</v>
      </c>
      <c r="H205" t="str">
        <f>"BASTROP COPIER/DANIEL L HEPKER"</f>
        <v>BASTROP COPIER/DANIEL L HEPKER</v>
      </c>
    </row>
    <row r="206" spans="1:8" x14ac:dyDescent="0.25">
      <c r="A206" t="s">
        <v>50</v>
      </c>
      <c r="B206">
        <v>4970</v>
      </c>
      <c r="C206" s="3">
        <v>1883.9</v>
      </c>
      <c r="D206" s="6">
        <v>44432</v>
      </c>
      <c r="E206" t="str">
        <f>"202108165218"</f>
        <v>202108165218</v>
      </c>
      <c r="F206" t="str">
        <f>"ACCT#BC01"</f>
        <v>ACCT#BC01</v>
      </c>
      <c r="G206" s="3">
        <v>198</v>
      </c>
      <c r="H206" t="str">
        <f>"ACCT#BC01"</f>
        <v>ACCT#BC01</v>
      </c>
    </row>
    <row r="207" spans="1:8" x14ac:dyDescent="0.25">
      <c r="E207" t="str">
        <f>""</f>
        <v/>
      </c>
      <c r="F207" t="str">
        <f>""</f>
        <v/>
      </c>
      <c r="G207" s="3">
        <v>435.99</v>
      </c>
      <c r="H207" t="str">
        <f>"ACCT#BC01"</f>
        <v>ACCT#BC01</v>
      </c>
    </row>
    <row r="208" spans="1:8" x14ac:dyDescent="0.25">
      <c r="E208" t="str">
        <f>""</f>
        <v/>
      </c>
      <c r="F208" t="str">
        <f>""</f>
        <v/>
      </c>
      <c r="G208" s="3">
        <v>999.23</v>
      </c>
      <c r="H208" t="str">
        <f>"ACCT#BC01"</f>
        <v>ACCT#BC01</v>
      </c>
    </row>
    <row r="209" spans="1:8" x14ac:dyDescent="0.25">
      <c r="E209" t="str">
        <f>""</f>
        <v/>
      </c>
      <c r="F209" t="str">
        <f>""</f>
        <v/>
      </c>
      <c r="G209" s="3">
        <v>250.68</v>
      </c>
      <c r="H209" t="str">
        <f>"ACCT#BC01"</f>
        <v>ACCT#BC01</v>
      </c>
    </row>
    <row r="210" spans="1:8" x14ac:dyDescent="0.25">
      <c r="A210" t="s">
        <v>51</v>
      </c>
      <c r="B210">
        <v>4884</v>
      </c>
      <c r="C210" s="3">
        <v>26175.56</v>
      </c>
      <c r="D210" s="6">
        <v>44418</v>
      </c>
      <c r="E210" t="str">
        <f>"202107294818"</f>
        <v>202107294818</v>
      </c>
      <c r="F210" t="str">
        <f>"ST.DAVIDS FOUNDATION/"</f>
        <v>ST.DAVIDS FOUNDATION/</v>
      </c>
      <c r="G210" s="3">
        <v>11000</v>
      </c>
      <c r="H210" t="str">
        <f>"ST.DAVIDS FOUNDATION/"</f>
        <v>ST.DAVIDS FOUNDATION/</v>
      </c>
    </row>
    <row r="211" spans="1:8" x14ac:dyDescent="0.25">
      <c r="E211" t="str">
        <f>"202107304841"</f>
        <v>202107304841</v>
      </c>
      <c r="F211" t="str">
        <f>"HOME VISIT GRANT JUNE 2021"</f>
        <v>HOME VISIT GRANT JUNE 2021</v>
      </c>
      <c r="G211" s="3">
        <v>15175.56</v>
      </c>
      <c r="H211" t="str">
        <f>"HOME VISIT GRANT JUNE 2021"</f>
        <v>HOME VISIT GRANT JUNE 2021</v>
      </c>
    </row>
    <row r="212" spans="1:8" x14ac:dyDescent="0.25">
      <c r="A212" t="s">
        <v>52</v>
      </c>
      <c r="B212">
        <v>4979</v>
      </c>
      <c r="C212" s="3">
        <v>96.5</v>
      </c>
      <c r="D212" s="6">
        <v>44432</v>
      </c>
      <c r="E212" t="str">
        <f>"202108165216"</f>
        <v>202108165216</v>
      </c>
      <c r="F212" t="str">
        <f>"VEHICLE REGISTRATION/AUGUST"</f>
        <v>VEHICLE REGISTRATION/AUGUST</v>
      </c>
      <c r="G212" s="3">
        <v>7.5</v>
      </c>
      <c r="H212" t="str">
        <f>"VEHICLE REGISTRATION/AUGUST"</f>
        <v>VEHICLE REGISTRATION/AUGUST</v>
      </c>
    </row>
    <row r="213" spans="1:8" x14ac:dyDescent="0.25">
      <c r="E213" t="str">
        <f>""</f>
        <v/>
      </c>
      <c r="F213" t="str">
        <f>""</f>
        <v/>
      </c>
      <c r="G213" s="3">
        <v>44</v>
      </c>
      <c r="H213" t="str">
        <f>"VEHICLE REGISTRATION/AUGUST"</f>
        <v>VEHICLE REGISTRATION/AUGUST</v>
      </c>
    </row>
    <row r="214" spans="1:8" x14ac:dyDescent="0.25">
      <c r="E214" t="str">
        <f>""</f>
        <v/>
      </c>
      <c r="F214" t="str">
        <f>""</f>
        <v/>
      </c>
      <c r="G214" s="3">
        <v>45</v>
      </c>
      <c r="H214" t="str">
        <f>"VEHICLE REGISTRATION/AUGUST"</f>
        <v>VEHICLE REGISTRATION/AUGUST</v>
      </c>
    </row>
    <row r="215" spans="1:8" x14ac:dyDescent="0.25">
      <c r="A215" t="s">
        <v>53</v>
      </c>
      <c r="B215">
        <v>136564</v>
      </c>
      <c r="C215" s="3">
        <v>82017</v>
      </c>
      <c r="D215" s="6">
        <v>44417</v>
      </c>
      <c r="E215" t="str">
        <f>"202107284793"</f>
        <v>202107284793</v>
      </c>
      <c r="F215" t="str">
        <f>"4TH QTR FY 2021"</f>
        <v>4TH QTR FY 2021</v>
      </c>
      <c r="G215" s="3">
        <v>82017</v>
      </c>
      <c r="H215" t="str">
        <f>"4TH QTR FY 2021"</f>
        <v>4TH QTR FY 2021</v>
      </c>
    </row>
    <row r="216" spans="1:8" x14ac:dyDescent="0.25">
      <c r="A216" t="s">
        <v>52</v>
      </c>
      <c r="B216">
        <v>136689</v>
      </c>
      <c r="C216" s="3">
        <v>337.92</v>
      </c>
      <c r="D216" s="6">
        <v>44431</v>
      </c>
      <c r="E216" t="str">
        <f>"202108115181"</f>
        <v>202108115181</v>
      </c>
      <c r="F216" t="str">
        <f>"ACCT#178467/DEPOSIT SLIPS"</f>
        <v>ACCT#178467/DEPOSIT SLIPS</v>
      </c>
      <c r="G216" s="3">
        <v>337.92</v>
      </c>
      <c r="H216" t="str">
        <f>"ACCT#178467/DEPOSIT SLIPS"</f>
        <v>ACCT#178467/DEPOSIT SLIPS</v>
      </c>
    </row>
    <row r="217" spans="1:8" x14ac:dyDescent="0.25">
      <c r="A217" t="s">
        <v>54</v>
      </c>
      <c r="B217">
        <v>4983</v>
      </c>
      <c r="C217" s="3">
        <v>66.540000000000006</v>
      </c>
      <c r="D217" s="6">
        <v>44432</v>
      </c>
      <c r="E217" t="str">
        <f>"202108175248"</f>
        <v>202108175248</v>
      </c>
      <c r="F217" t="str">
        <f>"INDIGENT HEALTH"</f>
        <v>INDIGENT HEALTH</v>
      </c>
      <c r="G217" s="3">
        <v>66.540000000000006</v>
      </c>
      <c r="H217" t="str">
        <f>"INDIGENT HEALTH"</f>
        <v>INDIGENT HEALTH</v>
      </c>
    </row>
    <row r="218" spans="1:8" x14ac:dyDescent="0.25">
      <c r="A218" t="s">
        <v>55</v>
      </c>
      <c r="B218">
        <v>136690</v>
      </c>
      <c r="C218" s="3">
        <v>2.56</v>
      </c>
      <c r="D218" s="6">
        <v>44431</v>
      </c>
      <c r="E218" t="str">
        <f>"202108125201"</f>
        <v>202108125201</v>
      </c>
      <c r="F218" t="str">
        <f>"ARREST FEES 4/1/21-6/30/21"</f>
        <v>ARREST FEES 4/1/21-6/30/21</v>
      </c>
      <c r="G218" s="3">
        <v>2.56</v>
      </c>
      <c r="H218" t="str">
        <f>"ARREST FEES 4/1/21-6/30/21"</f>
        <v>ARREST FEES 4/1/21-6/30/21</v>
      </c>
    </row>
    <row r="219" spans="1:8" x14ac:dyDescent="0.25">
      <c r="A219" t="s">
        <v>56</v>
      </c>
      <c r="B219">
        <v>4935</v>
      </c>
      <c r="C219" s="3">
        <v>2910</v>
      </c>
      <c r="D219" s="6">
        <v>44432</v>
      </c>
      <c r="E219" t="str">
        <f>"2021132"</f>
        <v>2021132</v>
      </c>
      <c r="F219" t="str">
        <f>"TRANSPORT/PHILLIP FILARDI"</f>
        <v>TRANSPORT/PHILLIP FILARDI</v>
      </c>
      <c r="G219" s="3">
        <v>640</v>
      </c>
      <c r="H219" t="str">
        <f>"TRANSPORT/PHILLIP FILARDI"</f>
        <v>TRANSPORT/PHILLIP FILARDI</v>
      </c>
    </row>
    <row r="220" spans="1:8" x14ac:dyDescent="0.25">
      <c r="E220" t="str">
        <f>"2021139"</f>
        <v>2021139</v>
      </c>
      <c r="F220" t="str">
        <f>"TRANSPORT/KATHY TULLUS"</f>
        <v>TRANSPORT/KATHY TULLUS</v>
      </c>
      <c r="G220" s="3">
        <v>640</v>
      </c>
      <c r="H220" t="str">
        <f>"TRANSPORT/KATHY TULLUS"</f>
        <v>TRANSPORT/KATHY TULLUS</v>
      </c>
    </row>
    <row r="221" spans="1:8" x14ac:dyDescent="0.25">
      <c r="E221" t="str">
        <f>"2021140"</f>
        <v>2021140</v>
      </c>
      <c r="F221" t="str">
        <f>"TRANSPORT/CHRISTOPHER TOLLY"</f>
        <v>TRANSPORT/CHRISTOPHER TOLLY</v>
      </c>
      <c r="G221" s="3">
        <v>640</v>
      </c>
      <c r="H221" t="str">
        <f>"TRANSPORT/CHRISTOPHER TOLLY"</f>
        <v>TRANSPORT/CHRISTOPHER TOLLY</v>
      </c>
    </row>
    <row r="222" spans="1:8" x14ac:dyDescent="0.25">
      <c r="E222" t="str">
        <f>"2021143"</f>
        <v>2021143</v>
      </c>
      <c r="F222" t="str">
        <f>"TRANSPORT/KATHY TULLUS"</f>
        <v>TRANSPORT/KATHY TULLUS</v>
      </c>
      <c r="G222" s="3">
        <v>695</v>
      </c>
      <c r="H222" t="str">
        <f>"TRANSPORT/KATHY TULLUS"</f>
        <v>TRANSPORT/KATHY TULLUS</v>
      </c>
    </row>
    <row r="223" spans="1:8" x14ac:dyDescent="0.25">
      <c r="E223" t="str">
        <f>"2021153"</f>
        <v>2021153</v>
      </c>
      <c r="F223" t="str">
        <f>"TRANSPORT/RUTH CLARK"</f>
        <v>TRANSPORT/RUTH CLARK</v>
      </c>
      <c r="G223" s="3">
        <v>295</v>
      </c>
      <c r="H223" t="str">
        <f>"TRANSPORT/RUTH CLARK"</f>
        <v>TRANSPORT/RUTH CLARK</v>
      </c>
    </row>
    <row r="224" spans="1:8" x14ac:dyDescent="0.25">
      <c r="A224" t="s">
        <v>57</v>
      </c>
      <c r="B224">
        <v>136565</v>
      </c>
      <c r="C224" s="3">
        <v>720.96</v>
      </c>
      <c r="D224" s="6">
        <v>44417</v>
      </c>
      <c r="E224" t="str">
        <f>"1186874"</f>
        <v>1186874</v>
      </c>
      <c r="F224" t="str">
        <f>"INV 1186874"</f>
        <v>INV 1186874</v>
      </c>
      <c r="G224" s="3">
        <v>720.96</v>
      </c>
      <c r="H224" t="str">
        <f>"INV 1186874"</f>
        <v>INV 1186874</v>
      </c>
    </row>
    <row r="225" spans="1:8" x14ac:dyDescent="0.25">
      <c r="A225" t="s">
        <v>58</v>
      </c>
      <c r="B225">
        <v>4859</v>
      </c>
      <c r="C225" s="3">
        <v>1085</v>
      </c>
      <c r="D225" s="6">
        <v>44418</v>
      </c>
      <c r="E225" t="str">
        <f>"202108035001"</f>
        <v>202108035001</v>
      </c>
      <c r="F225" t="str">
        <f>"INV AUGUST 3  2021"</f>
        <v>INV AUGUST 3  2021</v>
      </c>
      <c r="G225" s="3">
        <v>1085</v>
      </c>
      <c r="H225" t="str">
        <f>"INV AUGUST 3   - JAI"</f>
        <v>INV AUGUST 3   - JAI</v>
      </c>
    </row>
    <row r="226" spans="1:8" x14ac:dyDescent="0.25">
      <c r="A226" t="s">
        <v>59</v>
      </c>
      <c r="B226">
        <v>136566</v>
      </c>
      <c r="C226" s="3">
        <v>986</v>
      </c>
      <c r="D226" s="6">
        <v>44417</v>
      </c>
      <c r="E226" t="str">
        <f>"202108045058"</f>
        <v>202108045058</v>
      </c>
      <c r="F226" t="str">
        <f>"CASUE#21CMI5483"</f>
        <v>CASUE#21CMI5483</v>
      </c>
      <c r="G226" s="3">
        <v>986</v>
      </c>
      <c r="H226" t="str">
        <f>"CASUE#21CMI5483"</f>
        <v>CASUE#21CMI5483</v>
      </c>
    </row>
    <row r="227" spans="1:8" x14ac:dyDescent="0.25">
      <c r="A227" t="s">
        <v>60</v>
      </c>
      <c r="B227">
        <v>136567</v>
      </c>
      <c r="C227" s="3">
        <v>560.82000000000005</v>
      </c>
      <c r="D227" s="6">
        <v>44417</v>
      </c>
      <c r="E227" t="str">
        <f>"76040184"</f>
        <v>76040184</v>
      </c>
      <c r="F227" t="str">
        <f>"INV 76040184"</f>
        <v>INV 76040184</v>
      </c>
      <c r="G227" s="3">
        <v>560.82000000000005</v>
      </c>
      <c r="H227" t="str">
        <f>"INV 76040184"</f>
        <v>INV 76040184</v>
      </c>
    </row>
    <row r="228" spans="1:8" x14ac:dyDescent="0.25">
      <c r="A228" t="s">
        <v>60</v>
      </c>
      <c r="B228">
        <v>136691</v>
      </c>
      <c r="C228" s="3">
        <v>2116.7199999999998</v>
      </c>
      <c r="D228" s="6">
        <v>44431</v>
      </c>
      <c r="E228" t="str">
        <f>"76049663"</f>
        <v>76049663</v>
      </c>
      <c r="F228" t="str">
        <f>"INV 76049663  76059808  7"</f>
        <v>INV 76049663  76059808  7</v>
      </c>
      <c r="G228" s="3">
        <v>703.39</v>
      </c>
      <c r="H228" t="str">
        <f>"INV 76049663"</f>
        <v>INV 76049663</v>
      </c>
    </row>
    <row r="229" spans="1:8" x14ac:dyDescent="0.25">
      <c r="E229" t="str">
        <f>""</f>
        <v/>
      </c>
      <c r="F229" t="str">
        <f>""</f>
        <v/>
      </c>
      <c r="G229" s="3">
        <v>859.2</v>
      </c>
      <c r="H229" t="str">
        <f>"INV 76059808"</f>
        <v>INV 76059808</v>
      </c>
    </row>
    <row r="230" spans="1:8" x14ac:dyDescent="0.25">
      <c r="E230" t="str">
        <f>""</f>
        <v/>
      </c>
      <c r="F230" t="str">
        <f>""</f>
        <v/>
      </c>
      <c r="G230" s="3">
        <v>554.13</v>
      </c>
      <c r="H230" t="str">
        <f>"INV 76068578"</f>
        <v>INV 76068578</v>
      </c>
    </row>
    <row r="231" spans="1:8" x14ac:dyDescent="0.25">
      <c r="A231" t="s">
        <v>61</v>
      </c>
      <c r="B231">
        <v>136568</v>
      </c>
      <c r="C231" s="3">
        <v>25</v>
      </c>
      <c r="D231" s="6">
        <v>44417</v>
      </c>
      <c r="E231" t="str">
        <f>"202107284792"</f>
        <v>202107284792</v>
      </c>
      <c r="F231" t="str">
        <f>"REIMBURSE PERMIT/BEN LUGO"</f>
        <v>REIMBURSE PERMIT/BEN LUGO</v>
      </c>
      <c r="G231" s="3">
        <v>25</v>
      </c>
      <c r="H231" t="str">
        <f>"REIMBURSE PERMIT/BEN LUGO"</f>
        <v>REIMBURSE PERMIT/BEN LUGO</v>
      </c>
    </row>
    <row r="232" spans="1:8" x14ac:dyDescent="0.25">
      <c r="A232" t="s">
        <v>62</v>
      </c>
      <c r="B232">
        <v>136692</v>
      </c>
      <c r="C232" s="3">
        <v>586.86</v>
      </c>
      <c r="D232" s="6">
        <v>44431</v>
      </c>
      <c r="E232" t="str">
        <f>"410450"</f>
        <v>410450</v>
      </c>
      <c r="F232" t="str">
        <f>"ACCT#7110/PCT#3"</f>
        <v>ACCT#7110/PCT#3</v>
      </c>
      <c r="G232" s="3">
        <v>586.86</v>
      </c>
      <c r="H232" t="str">
        <f>"ACCT#7110/PCT#3"</f>
        <v>ACCT#7110/PCT#3</v>
      </c>
    </row>
    <row r="233" spans="1:8" x14ac:dyDescent="0.25">
      <c r="A233" t="s">
        <v>63</v>
      </c>
      <c r="B233">
        <v>4980</v>
      </c>
      <c r="C233" s="3">
        <v>2457.1799999999998</v>
      </c>
      <c r="D233" s="6">
        <v>44432</v>
      </c>
      <c r="E233" t="str">
        <f>"25296"</f>
        <v>25296</v>
      </c>
      <c r="F233" t="str">
        <f>"INV 25296"</f>
        <v>INV 25296</v>
      </c>
      <c r="G233" s="3">
        <v>2457.1799999999998</v>
      </c>
      <c r="H233" t="str">
        <f>"INV 25296"</f>
        <v>INV 25296</v>
      </c>
    </row>
    <row r="234" spans="1:8" x14ac:dyDescent="0.25">
      <c r="A234" t="s">
        <v>64</v>
      </c>
      <c r="B234">
        <v>136569</v>
      </c>
      <c r="C234" s="3">
        <v>14128.94</v>
      </c>
      <c r="D234" s="6">
        <v>44417</v>
      </c>
      <c r="E234" t="str">
        <f>"51269383"</f>
        <v>51269383</v>
      </c>
      <c r="F234" t="str">
        <f>"CUST#27986/PCT#4"</f>
        <v>CUST#27986/PCT#4</v>
      </c>
      <c r="G234" s="3">
        <v>134.28</v>
      </c>
      <c r="H234" t="str">
        <f>"CUST#27986/PCT#4"</f>
        <v>CUST#27986/PCT#4</v>
      </c>
    </row>
    <row r="235" spans="1:8" x14ac:dyDescent="0.25">
      <c r="E235" t="str">
        <f>"51271850"</f>
        <v>51271850</v>
      </c>
      <c r="F235" t="str">
        <f>"CUST#C27745/GENERAL SVCS"</f>
        <v>CUST#C27745/GENERAL SVCS</v>
      </c>
      <c r="G235" s="3">
        <v>1007.93</v>
      </c>
      <c r="H235" t="str">
        <f>"CUST#C27745/GENERAL SVCS"</f>
        <v>CUST#C27745/GENERAL SVCS</v>
      </c>
    </row>
    <row r="236" spans="1:8" x14ac:dyDescent="0.25">
      <c r="E236" t="str">
        <f>"51271865"</f>
        <v>51271865</v>
      </c>
      <c r="F236" t="str">
        <f>"CUST#C27986/PCT#4"</f>
        <v>CUST#C27986/PCT#4</v>
      </c>
      <c r="G236" s="3">
        <v>9710.5499999999993</v>
      </c>
      <c r="H236" t="str">
        <f>"CUST#C27986/PCT#4"</f>
        <v>CUST#C27986/PCT#4</v>
      </c>
    </row>
    <row r="237" spans="1:8" x14ac:dyDescent="0.25">
      <c r="E237" t="str">
        <f>"51272660"</f>
        <v>51272660</v>
      </c>
      <c r="F237" t="str">
        <f>"CUST#C27986/PCT#4"</f>
        <v>CUST#C27986/PCT#4</v>
      </c>
      <c r="G237" s="3">
        <v>3276.18</v>
      </c>
      <c r="H237" t="str">
        <f>"CUST#C27986/PCT#4"</f>
        <v>CUST#C27986/PCT#4</v>
      </c>
    </row>
    <row r="238" spans="1:8" x14ac:dyDescent="0.25">
      <c r="A238" t="s">
        <v>64</v>
      </c>
      <c r="B238">
        <v>136693</v>
      </c>
      <c r="C238" s="3">
        <v>4349.43</v>
      </c>
      <c r="D238" s="6">
        <v>44431</v>
      </c>
      <c r="E238" t="str">
        <f>"51273407"</f>
        <v>51273407</v>
      </c>
      <c r="F238" t="str">
        <f>"CUST#C27986/PCT#4"</f>
        <v>CUST#C27986/PCT#4</v>
      </c>
      <c r="G238" s="3">
        <v>4349.43</v>
      </c>
      <c r="H238" t="str">
        <f>"CUST#C27986/PCT#4"</f>
        <v>CUST#C27986/PCT#4</v>
      </c>
    </row>
    <row r="239" spans="1:8" x14ac:dyDescent="0.25">
      <c r="A239" t="s">
        <v>65</v>
      </c>
      <c r="B239">
        <v>136570</v>
      </c>
      <c r="C239" s="3">
        <v>607.98</v>
      </c>
      <c r="D239" s="6">
        <v>44417</v>
      </c>
      <c r="E239" t="str">
        <f>"84048400433"</f>
        <v>84048400433</v>
      </c>
      <c r="F239" t="str">
        <f>"INV 84048400433  84048400"</f>
        <v>INV 84048400433  84048400</v>
      </c>
      <c r="G239" s="3">
        <v>305.27999999999997</v>
      </c>
      <c r="H239" t="str">
        <f>"INV 84048400433"</f>
        <v>INV 84048400433</v>
      </c>
    </row>
    <row r="240" spans="1:8" x14ac:dyDescent="0.25">
      <c r="E240" t="str">
        <f>""</f>
        <v/>
      </c>
      <c r="F240" t="str">
        <f>""</f>
        <v/>
      </c>
      <c r="G240" s="3">
        <v>302.7</v>
      </c>
      <c r="H240" t="str">
        <f>"INV 84048400493"</f>
        <v>INV 84048400493</v>
      </c>
    </row>
    <row r="241" spans="1:8" x14ac:dyDescent="0.25">
      <c r="A241" t="s">
        <v>65</v>
      </c>
      <c r="B241">
        <v>136694</v>
      </c>
      <c r="C241" s="3">
        <v>560.58000000000004</v>
      </c>
      <c r="D241" s="6">
        <v>44431</v>
      </c>
      <c r="E241" t="str">
        <f>"84048400557"</f>
        <v>84048400557</v>
      </c>
      <c r="F241" t="str">
        <f>"INV 84048400557  84048400"</f>
        <v>INV 84048400557  84048400</v>
      </c>
      <c r="G241" s="3">
        <v>289.22000000000003</v>
      </c>
      <c r="H241" t="str">
        <f>"INV 84048400557"</f>
        <v>INV 84048400557</v>
      </c>
    </row>
    <row r="242" spans="1:8" x14ac:dyDescent="0.25">
      <c r="E242" t="str">
        <f>""</f>
        <v/>
      </c>
      <c r="F242" t="str">
        <f>""</f>
        <v/>
      </c>
      <c r="G242" s="3">
        <v>271.36</v>
      </c>
      <c r="H242" t="str">
        <f>"INV 84048400616"</f>
        <v>INV 84048400616</v>
      </c>
    </row>
    <row r="243" spans="1:8" x14ac:dyDescent="0.25">
      <c r="A243" t="s">
        <v>66</v>
      </c>
      <c r="B243">
        <v>136695</v>
      </c>
      <c r="C243" s="3">
        <v>177.23</v>
      </c>
      <c r="D243" s="6">
        <v>44431</v>
      </c>
      <c r="E243" t="str">
        <f>"202108175237"</f>
        <v>202108175237</v>
      </c>
      <c r="F243" t="str">
        <f>"CRIMESTOPPER/JULY 2021"</f>
        <v>CRIMESTOPPER/JULY 2021</v>
      </c>
      <c r="G243" s="3">
        <v>177.23</v>
      </c>
      <c r="H243" t="str">
        <f>"CRIMESTOPPER/JULY 2021"</f>
        <v>CRIMESTOPPER/JULY 2021</v>
      </c>
    </row>
    <row r="244" spans="1:8" x14ac:dyDescent="0.25">
      <c r="A244" t="s">
        <v>67</v>
      </c>
      <c r="B244">
        <v>136544</v>
      </c>
      <c r="C244" s="3">
        <v>342.86</v>
      </c>
      <c r="D244" s="6">
        <v>44412</v>
      </c>
      <c r="E244" t="str">
        <f>"202108045047"</f>
        <v>202108045047</v>
      </c>
      <c r="F244" t="str">
        <f>"ACCT#5500090397 / 08012021"</f>
        <v>ACCT#5500090397 / 08012021</v>
      </c>
      <c r="G244" s="3">
        <v>342.86</v>
      </c>
      <c r="H244" t="str">
        <f>"ACCT#5500090397 / 08012021"</f>
        <v>ACCT#5500090397 / 08012021</v>
      </c>
    </row>
    <row r="245" spans="1:8" x14ac:dyDescent="0.25">
      <c r="A245" t="s">
        <v>67</v>
      </c>
      <c r="B245">
        <v>136664</v>
      </c>
      <c r="C245" s="3">
        <v>3657.78</v>
      </c>
      <c r="D245" s="6">
        <v>44420</v>
      </c>
      <c r="E245" t="str">
        <f>"202108125210"</f>
        <v>202108125210</v>
      </c>
      <c r="F245" t="str">
        <f>"ACCT#50000057374 / 08032021"</f>
        <v>ACCT#50000057374 / 08032021</v>
      </c>
      <c r="G245" s="3">
        <v>866.66</v>
      </c>
      <c r="H245" t="str">
        <f>"BLUEBONNET ELECTRIC COOPERATIV"</f>
        <v>BLUEBONNET ELECTRIC COOPERATIV</v>
      </c>
    </row>
    <row r="246" spans="1:8" x14ac:dyDescent="0.25">
      <c r="E246" t="str">
        <f>""</f>
        <v/>
      </c>
      <c r="F246" t="str">
        <f>""</f>
        <v/>
      </c>
      <c r="G246" s="3">
        <v>1837.76</v>
      </c>
      <c r="H246" t="str">
        <f>"BLUEBONNET ELECTRIC COOPERATIV"</f>
        <v>BLUEBONNET ELECTRIC COOPERATIV</v>
      </c>
    </row>
    <row r="247" spans="1:8" x14ac:dyDescent="0.25">
      <c r="E247" t="str">
        <f>""</f>
        <v/>
      </c>
      <c r="F247" t="str">
        <f>""</f>
        <v/>
      </c>
      <c r="G247" s="3">
        <v>591.20000000000005</v>
      </c>
      <c r="H247" t="str">
        <f>"BLUEBONNET ELECTRIC COOPERATIV"</f>
        <v>BLUEBONNET ELECTRIC COOPERATIV</v>
      </c>
    </row>
    <row r="248" spans="1:8" x14ac:dyDescent="0.25">
      <c r="E248" t="str">
        <f>""</f>
        <v/>
      </c>
      <c r="F248" t="str">
        <f>""</f>
        <v/>
      </c>
      <c r="G248" s="3">
        <v>362.16</v>
      </c>
      <c r="H248" t="str">
        <f>"BLUEBONNET ELECTRIC COOPERATIV"</f>
        <v>BLUEBONNET ELECTRIC COOPERATIV</v>
      </c>
    </row>
    <row r="249" spans="1:8" x14ac:dyDescent="0.25">
      <c r="A249" t="s">
        <v>68</v>
      </c>
      <c r="B249">
        <v>4920</v>
      </c>
      <c r="C249" s="3">
        <v>30694.06</v>
      </c>
      <c r="D249" s="6">
        <v>44418</v>
      </c>
      <c r="E249" t="str">
        <f>"202107304840"</f>
        <v>202107304840</v>
      </c>
      <c r="F249" t="str">
        <f>"HOME VISIT GRANT/ JUNE 2021"</f>
        <v>HOME VISIT GRANT/ JUNE 2021</v>
      </c>
      <c r="G249" s="3">
        <v>30694.06</v>
      </c>
      <c r="H249" t="str">
        <f>"HOME VISIT GRANT/ JUNE 2021"</f>
        <v>HOME VISIT GRANT/ JUNE 2021</v>
      </c>
    </row>
    <row r="250" spans="1:8" x14ac:dyDescent="0.25">
      <c r="A250" t="s">
        <v>69</v>
      </c>
      <c r="B250">
        <v>136696</v>
      </c>
      <c r="C250" s="3">
        <v>980</v>
      </c>
      <c r="D250" s="6">
        <v>44431</v>
      </c>
      <c r="E250" t="str">
        <f>"202108175272"</f>
        <v>202108175272</v>
      </c>
      <c r="F250" t="str">
        <f>"BONS BARRICADES  INC"</f>
        <v>BONS BARRICADES  INC</v>
      </c>
      <c r="G250" s="3">
        <v>980</v>
      </c>
      <c r="H250" t="str">
        <f>"Project Traffic Ctrl"</f>
        <v>Project Traffic Ctrl</v>
      </c>
    </row>
    <row r="251" spans="1:8" x14ac:dyDescent="0.25">
      <c r="A251" t="s">
        <v>70</v>
      </c>
      <c r="B251">
        <v>136571</v>
      </c>
      <c r="C251" s="3">
        <v>56795.39</v>
      </c>
      <c r="D251" s="6">
        <v>44417</v>
      </c>
      <c r="E251" t="str">
        <f>"123799"</f>
        <v>123799</v>
      </c>
      <c r="F251" t="str">
        <f>"ACCT#1267/PCT#2"</f>
        <v>ACCT#1267/PCT#2</v>
      </c>
      <c r="G251" s="3">
        <v>2873.4</v>
      </c>
      <c r="H251" t="str">
        <f>"ACCT#1267/PCT#2"</f>
        <v>ACCT#1267/PCT#2</v>
      </c>
    </row>
    <row r="252" spans="1:8" x14ac:dyDescent="0.25">
      <c r="E252" t="str">
        <f>"124179"</f>
        <v>124179</v>
      </c>
      <c r="F252" t="str">
        <f>"ACCT#1268/PCT#3"</f>
        <v>ACCT#1268/PCT#3</v>
      </c>
      <c r="G252" s="3">
        <v>186.92</v>
      </c>
      <c r="H252" t="str">
        <f>"ACCT#1268/PCT#3"</f>
        <v>ACCT#1268/PCT#3</v>
      </c>
    </row>
    <row r="253" spans="1:8" x14ac:dyDescent="0.25">
      <c r="E253" t="str">
        <f>"124205"</f>
        <v>124205</v>
      </c>
      <c r="F253" t="str">
        <f>"ACCT#1268/PCT#3"</f>
        <v>ACCT#1268/PCT#3</v>
      </c>
      <c r="G253" s="3">
        <v>190.64</v>
      </c>
      <c r="H253" t="str">
        <f>"ACCT#1268/PCT#3"</f>
        <v>ACCT#1268/PCT#3</v>
      </c>
    </row>
    <row r="254" spans="1:8" x14ac:dyDescent="0.25">
      <c r="E254" t="str">
        <f>"124355"</f>
        <v>124355</v>
      </c>
      <c r="F254" t="str">
        <f>"ACCT#1268/PCT#3"</f>
        <v>ACCT#1268/PCT#3</v>
      </c>
      <c r="G254" s="3">
        <v>94.88</v>
      </c>
      <c r="H254" t="str">
        <f>"ACCT#1268/PCT#3"</f>
        <v>ACCT#1268/PCT#3</v>
      </c>
    </row>
    <row r="255" spans="1:8" x14ac:dyDescent="0.25">
      <c r="E255" t="str">
        <f>"124671"</f>
        <v>124671</v>
      </c>
      <c r="F255" t="str">
        <f>"ACCT#1267/PCT#2"</f>
        <v>ACCT#1267/PCT#2</v>
      </c>
      <c r="G255" s="3">
        <v>5152.6000000000004</v>
      </c>
      <c r="H255" t="str">
        <f>"ACCT#1267/PCT#2"</f>
        <v>ACCT#1267/PCT#2</v>
      </c>
    </row>
    <row r="256" spans="1:8" x14ac:dyDescent="0.25">
      <c r="E256" t="str">
        <f>"124672"</f>
        <v>124672</v>
      </c>
      <c r="F256" t="str">
        <f>"ACCT#1268/PCT#3"</f>
        <v>ACCT#1268/PCT#3</v>
      </c>
      <c r="G256" s="3">
        <v>708.14</v>
      </c>
      <c r="H256" t="str">
        <f>"ACCT#1268/PCT#3"</f>
        <v>ACCT#1268/PCT#3</v>
      </c>
    </row>
    <row r="257" spans="1:8" x14ac:dyDescent="0.25">
      <c r="E257" t="str">
        <f>"124993"</f>
        <v>124993</v>
      </c>
      <c r="F257" t="str">
        <f>"ACCT#1267/PCT#2"</f>
        <v>ACCT#1267/PCT#2</v>
      </c>
      <c r="G257" s="3">
        <v>4562.8</v>
      </c>
      <c r="H257" t="str">
        <f>"ACCT#1267/PCT#2"</f>
        <v>ACCT#1267/PCT#2</v>
      </c>
    </row>
    <row r="258" spans="1:8" x14ac:dyDescent="0.25">
      <c r="E258" t="str">
        <f>"124994"</f>
        <v>124994</v>
      </c>
      <c r="F258" t="str">
        <f>"ACCT#1268/PCT#3"</f>
        <v>ACCT#1268/PCT#3</v>
      </c>
      <c r="G258" s="3">
        <v>17454.13</v>
      </c>
      <c r="H258" t="str">
        <f>"ACCT#1268/PCT#3"</f>
        <v>ACCT#1268/PCT#3</v>
      </c>
    </row>
    <row r="259" spans="1:8" x14ac:dyDescent="0.25">
      <c r="E259" t="str">
        <f>"124995"</f>
        <v>124995</v>
      </c>
      <c r="F259" t="str">
        <f>"ACCT#1268/PCT#3"</f>
        <v>ACCT#1268/PCT#3</v>
      </c>
      <c r="G259" s="3">
        <v>3121.15</v>
      </c>
      <c r="H259" t="str">
        <f>"ACCT#1268/PCT#3"</f>
        <v>ACCT#1268/PCT#3</v>
      </c>
    </row>
    <row r="260" spans="1:8" x14ac:dyDescent="0.25">
      <c r="E260" t="str">
        <f>"125312"</f>
        <v>125312</v>
      </c>
      <c r="F260" t="str">
        <f>"ACCT#1268/PCT#3"</f>
        <v>ACCT#1268/PCT#3</v>
      </c>
      <c r="G260" s="3">
        <v>22450.73</v>
      </c>
      <c r="H260" t="str">
        <f>"ACCT#1268/PCT#3"</f>
        <v>ACCT#1268/PCT#3</v>
      </c>
    </row>
    <row r="261" spans="1:8" x14ac:dyDescent="0.25">
      <c r="A261" t="s">
        <v>70</v>
      </c>
      <c r="B261">
        <v>136697</v>
      </c>
      <c r="C261" s="3">
        <v>134055.76</v>
      </c>
      <c r="D261" s="6">
        <v>44431</v>
      </c>
      <c r="E261" t="str">
        <f>"125586"</f>
        <v>125586</v>
      </c>
      <c r="F261" t="str">
        <f>"ACCT#1267/PCT#2"</f>
        <v>ACCT#1267/PCT#2</v>
      </c>
      <c r="G261" s="3">
        <v>1891.2</v>
      </c>
      <c r="H261" t="str">
        <f>"ACCT#1267/PCT#2"</f>
        <v>ACCT#1267/PCT#2</v>
      </c>
    </row>
    <row r="262" spans="1:8" x14ac:dyDescent="0.25">
      <c r="E262" t="str">
        <f>"125588"</f>
        <v>125588</v>
      </c>
      <c r="F262" t="str">
        <f>"ACCT#1268/PCT#3"</f>
        <v>ACCT#1268/PCT#3</v>
      </c>
      <c r="G262" s="3">
        <v>52719.82</v>
      </c>
      <c r="H262" t="str">
        <f>"ACCT#1268/PCT#3"</f>
        <v>ACCT#1268/PCT#3</v>
      </c>
    </row>
    <row r="263" spans="1:8" x14ac:dyDescent="0.25">
      <c r="E263" t="str">
        <f>"125839"</f>
        <v>125839</v>
      </c>
      <c r="F263" t="str">
        <f>"ACCT#1268/PCT#3"</f>
        <v>ACCT#1268/PCT#3</v>
      </c>
      <c r="G263" s="3">
        <v>79444.740000000005</v>
      </c>
      <c r="H263" t="str">
        <f>"ACCT#1268/PCT#3"</f>
        <v>ACCT#1268/PCT#3</v>
      </c>
    </row>
    <row r="264" spans="1:8" x14ac:dyDescent="0.25">
      <c r="A264" t="s">
        <v>71</v>
      </c>
      <c r="B264">
        <v>136698</v>
      </c>
      <c r="C264" s="3">
        <v>235</v>
      </c>
      <c r="D264" s="6">
        <v>44431</v>
      </c>
      <c r="E264" t="str">
        <f>"202108115182"</f>
        <v>202108115182</v>
      </c>
      <c r="F264" t="str">
        <f>"BAR DUES/BRYAN GOERTZ"</f>
        <v>BAR DUES/BRYAN GOERTZ</v>
      </c>
      <c r="G264" s="3">
        <v>235</v>
      </c>
      <c r="H264" t="str">
        <f>"BAR DUES/BRYAN GOERTZ"</f>
        <v>BAR DUES/BRYAN GOERTZ</v>
      </c>
    </row>
    <row r="265" spans="1:8" x14ac:dyDescent="0.25">
      <c r="A265" t="s">
        <v>72</v>
      </c>
      <c r="B265">
        <v>4992</v>
      </c>
      <c r="C265" s="3">
        <v>1000</v>
      </c>
      <c r="D265" s="6">
        <v>44432</v>
      </c>
      <c r="E265" t="str">
        <f>"202108115125"</f>
        <v>202108115125</v>
      </c>
      <c r="F265" t="str">
        <f>"JP105012020D"</f>
        <v>JP105012020D</v>
      </c>
      <c r="G265" s="3">
        <v>250</v>
      </c>
      <c r="H265" t="str">
        <f>"JP105012020D"</f>
        <v>JP105012020D</v>
      </c>
    </row>
    <row r="266" spans="1:8" x14ac:dyDescent="0.25">
      <c r="E266" t="str">
        <f>"202108175259"</f>
        <v>202108175259</v>
      </c>
      <c r="F266" t="str">
        <f>"57-765"</f>
        <v>57-765</v>
      </c>
      <c r="G266" s="3">
        <v>250</v>
      </c>
      <c r="H266" t="str">
        <f>"57-765"</f>
        <v>57-765</v>
      </c>
    </row>
    <row r="267" spans="1:8" x14ac:dyDescent="0.25">
      <c r="E267" t="str">
        <f>"202108175260"</f>
        <v>202108175260</v>
      </c>
      <c r="F267" t="str">
        <f>"54-989"</f>
        <v>54-989</v>
      </c>
      <c r="G267" s="3">
        <v>250</v>
      </c>
      <c r="H267" t="str">
        <f>"54-989"</f>
        <v>54-989</v>
      </c>
    </row>
    <row r="268" spans="1:8" x14ac:dyDescent="0.25">
      <c r="E268" t="str">
        <f>"202108175261"</f>
        <v>202108175261</v>
      </c>
      <c r="F268" t="str">
        <f>"57-637"</f>
        <v>57-637</v>
      </c>
      <c r="G268" s="3">
        <v>250</v>
      </c>
      <c r="H268" t="str">
        <f>"57-637"</f>
        <v>57-637</v>
      </c>
    </row>
    <row r="269" spans="1:8" x14ac:dyDescent="0.25">
      <c r="A269" t="s">
        <v>73</v>
      </c>
      <c r="B269">
        <v>136572</v>
      </c>
      <c r="C269" s="3">
        <v>30</v>
      </c>
      <c r="D269" s="6">
        <v>44417</v>
      </c>
      <c r="E269" t="str">
        <f>"21-20822"</f>
        <v>21-20822</v>
      </c>
      <c r="F269" t="str">
        <f>"CAR FUND"</f>
        <v>CAR FUND</v>
      </c>
      <c r="G269" s="3">
        <v>15</v>
      </c>
      <c r="H269" t="str">
        <f>"CAR FUND"</f>
        <v>CAR FUND</v>
      </c>
    </row>
    <row r="270" spans="1:8" x14ac:dyDescent="0.25">
      <c r="E270" t="str">
        <f>"423-7987"</f>
        <v>423-7987</v>
      </c>
      <c r="F270" t="str">
        <f>"CAR FUND"</f>
        <v>CAR FUND</v>
      </c>
      <c r="G270" s="3">
        <v>15</v>
      </c>
      <c r="H270" t="str">
        <f>"CAR FUND"</f>
        <v>CAR FUND</v>
      </c>
    </row>
    <row r="271" spans="1:8" x14ac:dyDescent="0.25">
      <c r="A271" t="s">
        <v>73</v>
      </c>
      <c r="B271">
        <v>136699</v>
      </c>
      <c r="C271" s="3">
        <v>15</v>
      </c>
      <c r="D271" s="6">
        <v>44431</v>
      </c>
      <c r="E271" t="str">
        <f>"202108175263"</f>
        <v>202108175263</v>
      </c>
      <c r="F271" t="str">
        <f>"CAR FUND"</f>
        <v>CAR FUND</v>
      </c>
      <c r="G271" s="3">
        <v>15</v>
      </c>
      <c r="H271" t="str">
        <f>"CAR FUND"</f>
        <v>CAR FUND</v>
      </c>
    </row>
    <row r="272" spans="1:8" x14ac:dyDescent="0.25">
      <c r="A272" t="s">
        <v>74</v>
      </c>
      <c r="B272">
        <v>136573</v>
      </c>
      <c r="C272" s="3">
        <v>80</v>
      </c>
      <c r="D272" s="6">
        <v>44417</v>
      </c>
      <c r="E272" t="str">
        <f>"13730"</f>
        <v>13730</v>
      </c>
      <c r="F272" t="str">
        <f>"SERVICE"</f>
        <v>SERVICE</v>
      </c>
      <c r="G272" s="3">
        <v>80</v>
      </c>
      <c r="H272" t="str">
        <f>"SERVICE"</f>
        <v>SERVICE</v>
      </c>
    </row>
    <row r="273" spans="1:8" x14ac:dyDescent="0.25">
      <c r="A273" t="s">
        <v>75</v>
      </c>
      <c r="B273">
        <v>136574</v>
      </c>
      <c r="C273" s="3">
        <v>2750</v>
      </c>
      <c r="D273" s="6">
        <v>44417</v>
      </c>
      <c r="E273" t="str">
        <f>"25148"</f>
        <v>25148</v>
      </c>
      <c r="F273" t="str">
        <f>"Tower Antenna Instalation"</f>
        <v>Tower Antenna Instalation</v>
      </c>
      <c r="G273" s="3">
        <v>2750</v>
      </c>
      <c r="H273" t="str">
        <f>"Tower Antenna Instalation"</f>
        <v>Tower Antenna Instalation</v>
      </c>
    </row>
    <row r="274" spans="1:8" x14ac:dyDescent="0.25">
      <c r="A274" t="s">
        <v>76</v>
      </c>
      <c r="B274">
        <v>1224</v>
      </c>
      <c r="C274" s="3">
        <v>5592.07</v>
      </c>
      <c r="D274" s="6">
        <v>44417</v>
      </c>
      <c r="E274" t="str">
        <f>"202108045029"</f>
        <v>202108045029</v>
      </c>
      <c r="F274" t="str">
        <f>"Statement"</f>
        <v>Statement</v>
      </c>
      <c r="G274" s="3">
        <v>50</v>
      </c>
      <c r="H274" t="str">
        <f>"the branding shop"</f>
        <v>the branding shop</v>
      </c>
    </row>
    <row r="275" spans="1:8" x14ac:dyDescent="0.25">
      <c r="E275" t="str">
        <f>""</f>
        <v/>
      </c>
      <c r="F275" t="str">
        <f>""</f>
        <v/>
      </c>
      <c r="G275" s="3">
        <v>331.84</v>
      </c>
      <c r="H275" t="str">
        <f>"the branding shop"</f>
        <v>the branding shop</v>
      </c>
    </row>
    <row r="276" spans="1:8" x14ac:dyDescent="0.25">
      <c r="E276" t="str">
        <f>""</f>
        <v/>
      </c>
      <c r="F276" t="str">
        <f>""</f>
        <v/>
      </c>
      <c r="G276" s="3">
        <v>159.37</v>
      </c>
      <c r="H276" t="str">
        <f>"cisco webex"</f>
        <v>cisco webex</v>
      </c>
    </row>
    <row r="277" spans="1:8" x14ac:dyDescent="0.25">
      <c r="E277" t="str">
        <f>""</f>
        <v/>
      </c>
      <c r="F277" t="str">
        <f>""</f>
        <v/>
      </c>
      <c r="G277" s="3">
        <v>30</v>
      </c>
      <c r="H277" t="str">
        <f>"ring"</f>
        <v>ring</v>
      </c>
    </row>
    <row r="278" spans="1:8" x14ac:dyDescent="0.25">
      <c r="E278" t="str">
        <f>""</f>
        <v/>
      </c>
      <c r="F278" t="str">
        <f>""</f>
        <v/>
      </c>
      <c r="G278" s="3">
        <v>12.79</v>
      </c>
      <c r="H278" t="str">
        <f>"google"</f>
        <v>google</v>
      </c>
    </row>
    <row r="279" spans="1:8" x14ac:dyDescent="0.25">
      <c r="E279" t="str">
        <f>""</f>
        <v/>
      </c>
      <c r="F279" t="str">
        <f>""</f>
        <v/>
      </c>
      <c r="G279" s="3">
        <v>21.17</v>
      </c>
      <c r="H279" t="str">
        <f>"go daddy"</f>
        <v>go daddy</v>
      </c>
    </row>
    <row r="280" spans="1:8" x14ac:dyDescent="0.25">
      <c r="E280" t="str">
        <f>""</f>
        <v/>
      </c>
      <c r="F280" t="str">
        <f>""</f>
        <v/>
      </c>
      <c r="G280" s="3">
        <v>94.99</v>
      </c>
      <c r="H280" t="str">
        <f>"go daddy"</f>
        <v>go daddy</v>
      </c>
    </row>
    <row r="281" spans="1:8" x14ac:dyDescent="0.25">
      <c r="E281" t="str">
        <f>""</f>
        <v/>
      </c>
      <c r="F281" t="str">
        <f>""</f>
        <v/>
      </c>
      <c r="G281" s="3">
        <v>21.17</v>
      </c>
      <c r="H281" t="str">
        <f>"go daddy"</f>
        <v>go daddy</v>
      </c>
    </row>
    <row r="282" spans="1:8" x14ac:dyDescent="0.25">
      <c r="E282" t="str">
        <f>""</f>
        <v/>
      </c>
      <c r="F282" t="str">
        <f>""</f>
        <v/>
      </c>
      <c r="G282" s="3">
        <v>42.44</v>
      </c>
      <c r="H282" t="str">
        <f>"goin postal"</f>
        <v>goin postal</v>
      </c>
    </row>
    <row r="283" spans="1:8" x14ac:dyDescent="0.25">
      <c r="E283" t="str">
        <f>""</f>
        <v/>
      </c>
      <c r="F283" t="str">
        <f>""</f>
        <v/>
      </c>
      <c r="G283" s="3">
        <v>18</v>
      </c>
      <c r="H283" t="str">
        <f>"juan in a million"</f>
        <v>juan in a million</v>
      </c>
    </row>
    <row r="284" spans="1:8" x14ac:dyDescent="0.25">
      <c r="E284" t="str">
        <f>""</f>
        <v/>
      </c>
      <c r="F284" t="str">
        <f>""</f>
        <v/>
      </c>
      <c r="G284" s="3">
        <v>18</v>
      </c>
      <c r="H284" t="str">
        <f>"luby's"</f>
        <v>luby's</v>
      </c>
    </row>
    <row r="285" spans="1:8" x14ac:dyDescent="0.25">
      <c r="E285" t="str">
        <f>""</f>
        <v/>
      </c>
      <c r="F285" t="str">
        <f>""</f>
        <v/>
      </c>
      <c r="G285" s="3">
        <v>16.02</v>
      </c>
      <c r="H285" t="str">
        <f>"fwb"</f>
        <v>fwb</v>
      </c>
    </row>
    <row r="286" spans="1:8" x14ac:dyDescent="0.25">
      <c r="E286" t="str">
        <f>""</f>
        <v/>
      </c>
      <c r="F286" t="str">
        <f>""</f>
        <v/>
      </c>
      <c r="G286" s="3">
        <v>18</v>
      </c>
      <c r="H286" t="str">
        <f>"luby's"</f>
        <v>luby's</v>
      </c>
    </row>
    <row r="287" spans="1:8" x14ac:dyDescent="0.25">
      <c r="E287" t="str">
        <f>""</f>
        <v/>
      </c>
      <c r="F287" t="str">
        <f>""</f>
        <v/>
      </c>
      <c r="G287" s="3">
        <v>20</v>
      </c>
      <c r="H287" t="str">
        <f>"Luby's"</f>
        <v>Luby's</v>
      </c>
    </row>
    <row r="288" spans="1:8" x14ac:dyDescent="0.25">
      <c r="E288" t="str">
        <f>""</f>
        <v/>
      </c>
      <c r="F288" t="str">
        <f>""</f>
        <v/>
      </c>
      <c r="G288" s="3">
        <v>20</v>
      </c>
      <c r="H288" t="str">
        <f>"pokejos"</f>
        <v>pokejos</v>
      </c>
    </row>
    <row r="289" spans="5:8" x14ac:dyDescent="0.25">
      <c r="E289" t="str">
        <f>""</f>
        <v/>
      </c>
      <c r="F289" t="str">
        <f>""</f>
        <v/>
      </c>
      <c r="G289" s="3">
        <v>40.25</v>
      </c>
      <c r="H289" t="str">
        <f>"circle k"</f>
        <v>circle k</v>
      </c>
    </row>
    <row r="290" spans="5:8" x14ac:dyDescent="0.25">
      <c r="E290" t="str">
        <f>""</f>
        <v/>
      </c>
      <c r="F290" t="str">
        <f>""</f>
        <v/>
      </c>
      <c r="G290" s="3">
        <v>29.07</v>
      </c>
      <c r="H290" t="str">
        <f>"fuddruckers"</f>
        <v>fuddruckers</v>
      </c>
    </row>
    <row r="291" spans="5:8" x14ac:dyDescent="0.25">
      <c r="E291" t="str">
        <f>""</f>
        <v/>
      </c>
      <c r="F291" t="str">
        <f>""</f>
        <v/>
      </c>
      <c r="G291" s="3">
        <v>50</v>
      </c>
      <c r="H291" t="str">
        <f>"racetrac"</f>
        <v>racetrac</v>
      </c>
    </row>
    <row r="292" spans="5:8" x14ac:dyDescent="0.25">
      <c r="E292" t="str">
        <f>""</f>
        <v/>
      </c>
      <c r="F292" t="str">
        <f>""</f>
        <v/>
      </c>
      <c r="G292" s="3">
        <v>18</v>
      </c>
      <c r="H292" t="str">
        <f>"cheesecake factory"</f>
        <v>cheesecake factory</v>
      </c>
    </row>
    <row r="293" spans="5:8" x14ac:dyDescent="0.25">
      <c r="E293" t="str">
        <f>""</f>
        <v/>
      </c>
      <c r="F293" t="str">
        <f>""</f>
        <v/>
      </c>
      <c r="G293" s="3">
        <v>36.6</v>
      </c>
      <c r="H293" t="str">
        <f>"exxon"</f>
        <v>exxon</v>
      </c>
    </row>
    <row r="294" spans="5:8" x14ac:dyDescent="0.25">
      <c r="E294" t="str">
        <f>""</f>
        <v/>
      </c>
      <c r="F294" t="str">
        <f>""</f>
        <v/>
      </c>
      <c r="G294" s="3">
        <v>18</v>
      </c>
      <c r="H294" t="str">
        <f>"pokejos"</f>
        <v>pokejos</v>
      </c>
    </row>
    <row r="295" spans="5:8" x14ac:dyDescent="0.25">
      <c r="E295" t="str">
        <f>""</f>
        <v/>
      </c>
      <c r="F295" t="str">
        <f>""</f>
        <v/>
      </c>
      <c r="G295" s="3">
        <v>5</v>
      </c>
      <c r="H295" t="str">
        <f>"rps"</f>
        <v>rps</v>
      </c>
    </row>
    <row r="296" spans="5:8" x14ac:dyDescent="0.25">
      <c r="E296" t="str">
        <f>""</f>
        <v/>
      </c>
      <c r="F296" t="str">
        <f>""</f>
        <v/>
      </c>
      <c r="G296" s="3">
        <v>20</v>
      </c>
      <c r="H296" t="str">
        <f>"royal blue"</f>
        <v>royal blue</v>
      </c>
    </row>
    <row r="297" spans="5:8" x14ac:dyDescent="0.25">
      <c r="E297" t="str">
        <f>""</f>
        <v/>
      </c>
      <c r="F297" t="str">
        <f>""</f>
        <v/>
      </c>
      <c r="G297" s="3">
        <v>18.809999999999999</v>
      </c>
      <c r="H297" t="str">
        <f>"jason's deli"</f>
        <v>jason's deli</v>
      </c>
    </row>
    <row r="298" spans="5:8" x14ac:dyDescent="0.25">
      <c r="E298" t="str">
        <f>""</f>
        <v/>
      </c>
      <c r="F298" t="str">
        <f>""</f>
        <v/>
      </c>
      <c r="G298" s="3">
        <v>16.02</v>
      </c>
      <c r="H298" t="str">
        <f>"fwb"</f>
        <v>fwb</v>
      </c>
    </row>
    <row r="299" spans="5:8" x14ac:dyDescent="0.25">
      <c r="E299" t="str">
        <f>""</f>
        <v/>
      </c>
      <c r="F299" t="str">
        <f>""</f>
        <v/>
      </c>
      <c r="G299" s="3">
        <v>20.36</v>
      </c>
      <c r="H299" t="str">
        <f>"royal blue"</f>
        <v>royal blue</v>
      </c>
    </row>
    <row r="300" spans="5:8" x14ac:dyDescent="0.25">
      <c r="E300" t="str">
        <f>""</f>
        <v/>
      </c>
      <c r="F300" t="str">
        <f>""</f>
        <v/>
      </c>
      <c r="G300" s="3">
        <v>21.56</v>
      </c>
      <c r="H300" t="str">
        <f>"royal blue"</f>
        <v>royal blue</v>
      </c>
    </row>
    <row r="301" spans="5:8" x14ac:dyDescent="0.25">
      <c r="E301" t="str">
        <f>""</f>
        <v/>
      </c>
      <c r="F301" t="str">
        <f>""</f>
        <v/>
      </c>
      <c r="G301" s="3">
        <v>20</v>
      </c>
      <c r="H301" t="str">
        <f>"royal blue"</f>
        <v>royal blue</v>
      </c>
    </row>
    <row r="302" spans="5:8" x14ac:dyDescent="0.25">
      <c r="E302" t="str">
        <f>""</f>
        <v/>
      </c>
      <c r="F302" t="str">
        <f>""</f>
        <v/>
      </c>
      <c r="G302" s="3">
        <v>30.5</v>
      </c>
      <c r="H302" t="str">
        <f>"exxon"</f>
        <v>exxon</v>
      </c>
    </row>
    <row r="303" spans="5:8" x14ac:dyDescent="0.25">
      <c r="E303" t="str">
        <f>""</f>
        <v/>
      </c>
      <c r="F303" t="str">
        <f>""</f>
        <v/>
      </c>
      <c r="G303" s="3">
        <v>14.4</v>
      </c>
      <c r="H303" t="str">
        <f>"royal blue"</f>
        <v>royal blue</v>
      </c>
    </row>
    <row r="304" spans="5:8" x14ac:dyDescent="0.25">
      <c r="E304" t="str">
        <f>""</f>
        <v/>
      </c>
      <c r="F304" t="str">
        <f>""</f>
        <v/>
      </c>
      <c r="G304" s="3">
        <v>18</v>
      </c>
      <c r="H304" t="str">
        <f>"matts"</f>
        <v>matts</v>
      </c>
    </row>
    <row r="305" spans="1:8" x14ac:dyDescent="0.25">
      <c r="E305" t="str">
        <f>""</f>
        <v/>
      </c>
      <c r="F305" t="str">
        <f>""</f>
        <v/>
      </c>
      <c r="G305" s="3">
        <v>18</v>
      </c>
      <c r="H305" t="str">
        <f>"tarka"</f>
        <v>tarka</v>
      </c>
    </row>
    <row r="306" spans="1:8" x14ac:dyDescent="0.25">
      <c r="E306" t="str">
        <f>""</f>
        <v/>
      </c>
      <c r="F306" t="str">
        <f>""</f>
        <v/>
      </c>
      <c r="G306" s="3">
        <v>4.55</v>
      </c>
      <c r="H306" t="str">
        <f>"lucky j's"</f>
        <v>lucky j's</v>
      </c>
    </row>
    <row r="307" spans="1:8" x14ac:dyDescent="0.25">
      <c r="E307" t="str">
        <f>""</f>
        <v/>
      </c>
      <c r="F307" t="str">
        <f>""</f>
        <v/>
      </c>
      <c r="G307" s="3">
        <v>837.78</v>
      </c>
      <c r="H307" t="str">
        <f>"gt distributors"</f>
        <v>gt distributors</v>
      </c>
    </row>
    <row r="308" spans="1:8" x14ac:dyDescent="0.25">
      <c r="E308" t="str">
        <f>""</f>
        <v/>
      </c>
      <c r="F308" t="str">
        <f>""</f>
        <v/>
      </c>
      <c r="G308" s="3">
        <v>1602.24</v>
      </c>
      <c r="H308" t="str">
        <f>"gt distributors"</f>
        <v>gt distributors</v>
      </c>
    </row>
    <row r="309" spans="1:8" x14ac:dyDescent="0.25">
      <c r="E309" t="str">
        <f>""</f>
        <v/>
      </c>
      <c r="F309" t="str">
        <f>""</f>
        <v/>
      </c>
      <c r="G309" s="3">
        <v>-713.99</v>
      </c>
      <c r="H309" t="str">
        <f>"digital buyer"</f>
        <v>digital buyer</v>
      </c>
    </row>
    <row r="310" spans="1:8" x14ac:dyDescent="0.25">
      <c r="E310" t="str">
        <f>""</f>
        <v/>
      </c>
      <c r="F310" t="str">
        <f>""</f>
        <v/>
      </c>
      <c r="G310" s="3">
        <v>59.96</v>
      </c>
      <c r="H310" t="str">
        <f>"hobby lobby"</f>
        <v>hobby lobby</v>
      </c>
    </row>
    <row r="311" spans="1:8" x14ac:dyDescent="0.25">
      <c r="E311" t="str">
        <f>""</f>
        <v/>
      </c>
      <c r="F311" t="str">
        <f>""</f>
        <v/>
      </c>
      <c r="G311" s="3">
        <v>713.99</v>
      </c>
      <c r="H311" t="str">
        <f>"digital buyer"</f>
        <v>digital buyer</v>
      </c>
    </row>
    <row r="312" spans="1:8" x14ac:dyDescent="0.25">
      <c r="E312" t="str">
        <f>""</f>
        <v/>
      </c>
      <c r="F312" t="str">
        <f>""</f>
        <v/>
      </c>
      <c r="G312" s="3">
        <v>32.479999999999997</v>
      </c>
      <c r="H312" t="str">
        <f>"sling"</f>
        <v>sling</v>
      </c>
    </row>
    <row r="313" spans="1:8" x14ac:dyDescent="0.25">
      <c r="E313" t="str">
        <f>""</f>
        <v/>
      </c>
      <c r="F313" t="str">
        <f>""</f>
        <v/>
      </c>
      <c r="G313" s="3">
        <v>29.9</v>
      </c>
      <c r="H313" t="str">
        <f>"heb"</f>
        <v>heb</v>
      </c>
    </row>
    <row r="314" spans="1:8" x14ac:dyDescent="0.25">
      <c r="E314" t="str">
        <f>""</f>
        <v/>
      </c>
      <c r="F314" t="str">
        <f>""</f>
        <v/>
      </c>
      <c r="G314" s="3">
        <v>1500</v>
      </c>
      <c r="H314" t="str">
        <f>"l and m"</f>
        <v>l and m</v>
      </c>
    </row>
    <row r="315" spans="1:8" x14ac:dyDescent="0.25">
      <c r="E315" t="str">
        <f>""</f>
        <v/>
      </c>
      <c r="F315" t="str">
        <f>""</f>
        <v/>
      </c>
      <c r="G315" s="3">
        <v>25</v>
      </c>
      <c r="H315" t="str">
        <f>"l and m"</f>
        <v>l and m</v>
      </c>
    </row>
    <row r="316" spans="1:8" x14ac:dyDescent="0.25">
      <c r="E316" t="str">
        <f>""</f>
        <v/>
      </c>
      <c r="F316" t="str">
        <f>""</f>
        <v/>
      </c>
      <c r="G316" s="3">
        <v>88.77</v>
      </c>
      <c r="H316" t="str">
        <f>"walmart"</f>
        <v>walmart</v>
      </c>
    </row>
    <row r="317" spans="1:8" x14ac:dyDescent="0.25">
      <c r="E317" t="str">
        <f>""</f>
        <v/>
      </c>
      <c r="F317" t="str">
        <f>""</f>
        <v/>
      </c>
      <c r="G317" s="3">
        <v>143.03</v>
      </c>
      <c r="H317" t="str">
        <f>"walmart"</f>
        <v>walmart</v>
      </c>
    </row>
    <row r="318" spans="1:8" x14ac:dyDescent="0.25">
      <c r="A318" t="s">
        <v>76</v>
      </c>
      <c r="B318">
        <v>1229</v>
      </c>
      <c r="C318" s="3">
        <v>1173.4000000000001</v>
      </c>
      <c r="D318" s="6">
        <v>44417</v>
      </c>
      <c r="E318" t="str">
        <f>"202108095122"</f>
        <v>202108095122</v>
      </c>
      <c r="F318" t="str">
        <f>"TIB-FUND CORRECTION"</f>
        <v>TIB-FUND CORRECTION</v>
      </c>
      <c r="G318" s="3">
        <v>1173.4000000000001</v>
      </c>
      <c r="H318" t="str">
        <f>"TIB-FUND CORRECTION"</f>
        <v>TIB-FUND CORRECTION</v>
      </c>
    </row>
    <row r="319" spans="1:8" x14ac:dyDescent="0.25">
      <c r="A319" t="s">
        <v>76</v>
      </c>
      <c r="B319">
        <v>1225</v>
      </c>
      <c r="C319" s="3">
        <v>1222.21</v>
      </c>
      <c r="D319" s="6">
        <v>44417</v>
      </c>
      <c r="E319" t="str">
        <f>"202108045030"</f>
        <v>202108045030</v>
      </c>
      <c r="F319" t="str">
        <f>"STATEMENT 0574"</f>
        <v>STATEMENT 0574</v>
      </c>
      <c r="G319" s="3">
        <v>64.95</v>
      </c>
      <c r="H319" t="str">
        <f>"IMAGES ALTERATIONS"</f>
        <v>IMAGES ALTERATIONS</v>
      </c>
    </row>
    <row r="320" spans="1:8" x14ac:dyDescent="0.25">
      <c r="E320" t="str">
        <f>""</f>
        <v/>
      </c>
      <c r="F320" t="str">
        <f>""</f>
        <v/>
      </c>
      <c r="G320" s="3">
        <v>159.85</v>
      </c>
      <c r="H320" t="str">
        <f>"LIGHTHOUSE INN"</f>
        <v>LIGHTHOUSE INN</v>
      </c>
    </row>
    <row r="321" spans="1:8" x14ac:dyDescent="0.25">
      <c r="E321" t="str">
        <f>""</f>
        <v/>
      </c>
      <c r="F321" t="str">
        <f>""</f>
        <v/>
      </c>
      <c r="G321" s="3">
        <v>365.85</v>
      </c>
      <c r="H321" t="str">
        <f>"TEXAS A&amp;M HOTEL"</f>
        <v>TEXAS A&amp;M HOTEL</v>
      </c>
    </row>
    <row r="322" spans="1:8" x14ac:dyDescent="0.25">
      <c r="E322" t="str">
        <f>""</f>
        <v/>
      </c>
      <c r="F322" t="str">
        <f>""</f>
        <v/>
      </c>
      <c r="G322" s="3">
        <v>365.85</v>
      </c>
      <c r="H322" t="str">
        <f>"TEXAS A&amp;M HOTEL"</f>
        <v>TEXAS A&amp;M HOTEL</v>
      </c>
    </row>
    <row r="323" spans="1:8" x14ac:dyDescent="0.25">
      <c r="E323" t="str">
        <f>""</f>
        <v/>
      </c>
      <c r="F323" t="str">
        <f>""</f>
        <v/>
      </c>
      <c r="G323" s="3">
        <v>161.29</v>
      </c>
      <c r="H323" t="str">
        <f>"PILOT INSTITUTE"</f>
        <v>PILOT INSTITUTE</v>
      </c>
    </row>
    <row r="324" spans="1:8" x14ac:dyDescent="0.25">
      <c r="E324" t="str">
        <f>""</f>
        <v/>
      </c>
      <c r="F324" t="str">
        <f>""</f>
        <v/>
      </c>
      <c r="G324" s="3">
        <v>104.42</v>
      </c>
      <c r="H324" t="str">
        <f>"TOWNEPLACE SUITES"</f>
        <v>TOWNEPLACE SUITES</v>
      </c>
    </row>
    <row r="325" spans="1:8" x14ac:dyDescent="0.25">
      <c r="A325" t="s">
        <v>77</v>
      </c>
      <c r="B325">
        <v>136575</v>
      </c>
      <c r="C325" s="3">
        <v>5116.4799999999996</v>
      </c>
      <c r="D325" s="6">
        <v>44417</v>
      </c>
      <c r="E325" t="str">
        <f>"1"</f>
        <v>1</v>
      </c>
      <c r="F325" t="str">
        <f>"JULY INVOICE"</f>
        <v>JULY INVOICE</v>
      </c>
      <c r="G325" s="3">
        <v>5116.4799999999996</v>
      </c>
      <c r="H325" t="str">
        <f>"JULY INVOICE"</f>
        <v>JULY INVOICE</v>
      </c>
    </row>
    <row r="326" spans="1:8" x14ac:dyDescent="0.25">
      <c r="A326" t="s">
        <v>78</v>
      </c>
      <c r="B326">
        <v>4919</v>
      </c>
      <c r="C326" s="3">
        <v>1328.56</v>
      </c>
      <c r="D326" s="6">
        <v>44418</v>
      </c>
      <c r="E326" t="str">
        <f>"202108035009"</f>
        <v>202108035009</v>
      </c>
      <c r="F326" t="str">
        <f>"sourcewell cannon scanner"</f>
        <v>sourcewell cannon scanner</v>
      </c>
      <c r="G326" s="3">
        <v>1153.26</v>
      </c>
      <c r="H326" t="str">
        <f>"Formula DR-C240"</f>
        <v>Formula DR-C240</v>
      </c>
    </row>
    <row r="327" spans="1:8" x14ac:dyDescent="0.25">
      <c r="E327" t="str">
        <f>"25209"</f>
        <v>25209</v>
      </c>
      <c r="F327" t="str">
        <f>"Label Writer for DC"</f>
        <v>Label Writer for DC</v>
      </c>
      <c r="G327" s="3">
        <v>175.3</v>
      </c>
      <c r="H327" t="str">
        <f>"Label Writer for DC"</f>
        <v>Label Writer for DC</v>
      </c>
    </row>
    <row r="328" spans="1:8" x14ac:dyDescent="0.25">
      <c r="A328" t="s">
        <v>78</v>
      </c>
      <c r="B328">
        <v>4986</v>
      </c>
      <c r="C328" s="3">
        <v>286.99</v>
      </c>
      <c r="D328" s="6">
        <v>44432</v>
      </c>
      <c r="E328" t="str">
        <f>"25558"</f>
        <v>25558</v>
      </c>
      <c r="F328" t="str">
        <f>"KVM Switch"</f>
        <v>KVM Switch</v>
      </c>
      <c r="G328" s="3">
        <v>96.99</v>
      </c>
      <c r="H328" t="str">
        <f>"KVM Switch"</f>
        <v>KVM Switch</v>
      </c>
    </row>
    <row r="329" spans="1:8" x14ac:dyDescent="0.25">
      <c r="E329" t="str">
        <f>"25596"</f>
        <v>25596</v>
      </c>
      <c r="F329" t="str">
        <f>"APC-Smart-UPS"</f>
        <v>APC-Smart-UPS</v>
      </c>
      <c r="G329" s="3">
        <v>190</v>
      </c>
      <c r="H329" t="str">
        <f>"APC-Smart-UPS"</f>
        <v>APC-Smart-UPS</v>
      </c>
    </row>
    <row r="330" spans="1:8" x14ac:dyDescent="0.25">
      <c r="A330" t="s">
        <v>79</v>
      </c>
      <c r="B330">
        <v>4900</v>
      </c>
      <c r="C330" s="3">
        <v>199</v>
      </c>
      <c r="D330" s="6">
        <v>44418</v>
      </c>
      <c r="E330" t="str">
        <f>"25379"</f>
        <v>25379</v>
      </c>
      <c r="F330" t="str">
        <f>"SUPPLIES/PCT#2"</f>
        <v>SUPPLIES/PCT#2</v>
      </c>
      <c r="G330" s="3">
        <v>152</v>
      </c>
      <c r="H330" t="str">
        <f>"SUPPLIES/PCT#2"</f>
        <v>SUPPLIES/PCT#2</v>
      </c>
    </row>
    <row r="331" spans="1:8" x14ac:dyDescent="0.25">
      <c r="E331" t="str">
        <f>"25386"</f>
        <v>25386</v>
      </c>
      <c r="F331" t="str">
        <f>"SUPPLIES/PCT#2"</f>
        <v>SUPPLIES/PCT#2</v>
      </c>
      <c r="G331" s="3">
        <v>47</v>
      </c>
      <c r="H331" t="str">
        <f>"SUPPLIES/PCT#2"</f>
        <v>SUPPLIES/PCT#2</v>
      </c>
    </row>
    <row r="332" spans="1:8" x14ac:dyDescent="0.25">
      <c r="A332" t="s">
        <v>80</v>
      </c>
      <c r="B332">
        <v>136576</v>
      </c>
      <c r="C332" s="3">
        <v>500</v>
      </c>
      <c r="D332" s="6">
        <v>44417</v>
      </c>
      <c r="E332" t="str">
        <f>"202108045042"</f>
        <v>202108045042</v>
      </c>
      <c r="F332" t="str">
        <f>"CAUSE#20-2016/MEDIATION"</f>
        <v>CAUSE#20-2016/MEDIATION</v>
      </c>
      <c r="G332" s="3">
        <v>500</v>
      </c>
      <c r="H332" t="str">
        <f>"CAUSE#20-2016/MEDIATION"</f>
        <v>CAUSE#20-2016/MEDIATION</v>
      </c>
    </row>
    <row r="333" spans="1:8" x14ac:dyDescent="0.25">
      <c r="A333" t="s">
        <v>81</v>
      </c>
      <c r="B333">
        <v>4910</v>
      </c>
      <c r="C333" s="3">
        <v>497.6</v>
      </c>
      <c r="D333" s="6">
        <v>44418</v>
      </c>
      <c r="E333" t="str">
        <f>"0252939"</f>
        <v>0252939</v>
      </c>
      <c r="F333" t="str">
        <f>"INV 0252939-IN  0253442-I"</f>
        <v>INV 0252939-IN  0253442-I</v>
      </c>
      <c r="G333" s="3">
        <v>280</v>
      </c>
      <c r="H333" t="str">
        <f>"INV 0252939-IN"</f>
        <v>INV 0252939-IN</v>
      </c>
    </row>
    <row r="334" spans="1:8" x14ac:dyDescent="0.25">
      <c r="E334" t="str">
        <f>""</f>
        <v/>
      </c>
      <c r="F334" t="str">
        <f>""</f>
        <v/>
      </c>
      <c r="G334" s="3">
        <v>82.9</v>
      </c>
      <c r="H334" t="str">
        <f>"INV 0253442-IN"</f>
        <v>INV 0253442-IN</v>
      </c>
    </row>
    <row r="335" spans="1:8" x14ac:dyDescent="0.25">
      <c r="E335" t="str">
        <f>""</f>
        <v/>
      </c>
      <c r="F335" t="str">
        <f>""</f>
        <v/>
      </c>
      <c r="G335" s="3">
        <v>134.69999999999999</v>
      </c>
      <c r="H335" t="str">
        <f>"INV 0255469-IN"</f>
        <v>INV 0255469-IN</v>
      </c>
    </row>
    <row r="336" spans="1:8" x14ac:dyDescent="0.25">
      <c r="A336" t="s">
        <v>82</v>
      </c>
      <c r="B336">
        <v>4924</v>
      </c>
      <c r="C336" s="3">
        <v>1350</v>
      </c>
      <c r="D336" s="6">
        <v>44418</v>
      </c>
      <c r="E336" t="str">
        <f>"202107274765"</f>
        <v>202107274765</v>
      </c>
      <c r="F336" t="str">
        <f>"1839-335"</f>
        <v>1839-335</v>
      </c>
      <c r="G336" s="3">
        <v>150</v>
      </c>
      <c r="H336" t="str">
        <f>"1839-335"</f>
        <v>1839-335</v>
      </c>
    </row>
    <row r="337" spans="1:8" x14ac:dyDescent="0.25">
      <c r="E337" t="str">
        <f>"202107274766"</f>
        <v>202107274766</v>
      </c>
      <c r="F337" t="str">
        <f>"4052420.1"</f>
        <v>4052420.1</v>
      </c>
      <c r="G337" s="3">
        <v>400</v>
      </c>
      <c r="H337" t="str">
        <f>"4052420.1"</f>
        <v>4052420.1</v>
      </c>
    </row>
    <row r="338" spans="1:8" x14ac:dyDescent="0.25">
      <c r="E338" t="str">
        <f>"202107274767"</f>
        <v>202107274767</v>
      </c>
      <c r="F338" t="str">
        <f>"JP101282021A"</f>
        <v>JP101282021A</v>
      </c>
      <c r="G338" s="3">
        <v>400</v>
      </c>
      <c r="H338" t="str">
        <f>"JP101282021A"</f>
        <v>JP101282021A</v>
      </c>
    </row>
    <row r="339" spans="1:8" x14ac:dyDescent="0.25">
      <c r="E339" t="str">
        <f>"202107274768"</f>
        <v>202107274768</v>
      </c>
      <c r="F339" t="str">
        <f>"16-770"</f>
        <v>16-770</v>
      </c>
      <c r="G339" s="3">
        <v>400</v>
      </c>
      <c r="H339" t="str">
        <f>"16-770"</f>
        <v>16-770</v>
      </c>
    </row>
    <row r="340" spans="1:8" x14ac:dyDescent="0.25">
      <c r="A340" t="s">
        <v>83</v>
      </c>
      <c r="B340">
        <v>4893</v>
      </c>
      <c r="C340" s="3">
        <v>200</v>
      </c>
      <c r="D340" s="6">
        <v>44418</v>
      </c>
      <c r="E340" t="str">
        <f>"202107294816"</f>
        <v>202107294816</v>
      </c>
      <c r="F340" t="str">
        <f>"PIO TRAINING/CHRISTINE FILES"</f>
        <v>PIO TRAINING/CHRISTINE FILES</v>
      </c>
      <c r="G340" s="3">
        <v>200</v>
      </c>
      <c r="H340" t="str">
        <f>"PIO TRAINING/CHRISTINE FILES"</f>
        <v>PIO TRAINING/CHRISTINE FILES</v>
      </c>
    </row>
    <row r="341" spans="1:8" x14ac:dyDescent="0.25">
      <c r="A341" t="s">
        <v>84</v>
      </c>
      <c r="B341">
        <v>136577</v>
      </c>
      <c r="C341" s="3">
        <v>150</v>
      </c>
      <c r="D341" s="6">
        <v>44417</v>
      </c>
      <c r="E341" t="str">
        <f>"9141069824"</f>
        <v>9141069824</v>
      </c>
      <c r="F341" t="str">
        <f>"INV 9141069824"</f>
        <v>INV 9141069824</v>
      </c>
      <c r="G341" s="3">
        <v>100</v>
      </c>
      <c r="H341" t="str">
        <f>"INV 9141069824"</f>
        <v>INV 9141069824</v>
      </c>
    </row>
    <row r="342" spans="1:8" x14ac:dyDescent="0.25">
      <c r="E342" t="str">
        <f>"9141069827"</f>
        <v>9141069827</v>
      </c>
      <c r="F342" t="str">
        <f>"INV 9141069827"</f>
        <v>INV 9141069827</v>
      </c>
      <c r="G342" s="3">
        <v>50</v>
      </c>
      <c r="H342" t="str">
        <f>"INV 9141069827"</f>
        <v>INV 9141069827</v>
      </c>
    </row>
    <row r="343" spans="1:8" x14ac:dyDescent="0.25">
      <c r="A343" t="s">
        <v>84</v>
      </c>
      <c r="B343">
        <v>136700</v>
      </c>
      <c r="C343" s="3">
        <v>174.87</v>
      </c>
      <c r="D343" s="6">
        <v>44431</v>
      </c>
      <c r="E343" t="str">
        <f>"5071453190"</f>
        <v>5071453190</v>
      </c>
      <c r="F343" t="str">
        <f>"PAYER#11167190/PCT#1"</f>
        <v>PAYER#11167190/PCT#1</v>
      </c>
      <c r="G343" s="3">
        <v>174.87</v>
      </c>
      <c r="H343" t="str">
        <f>"PAYER#11167190/PCT#1"</f>
        <v>PAYER#11167190/PCT#1</v>
      </c>
    </row>
    <row r="344" spans="1:8" x14ac:dyDescent="0.25">
      <c r="A344" t="s">
        <v>85</v>
      </c>
      <c r="B344">
        <v>136578</v>
      </c>
      <c r="C344" s="3">
        <v>289.27999999999997</v>
      </c>
      <c r="D344" s="6">
        <v>44417</v>
      </c>
      <c r="E344" t="str">
        <f>"202108045055"</f>
        <v>202108045055</v>
      </c>
      <c r="F344" t="str">
        <f>"PAYER#14108463/ANIMAL SHELTER"</f>
        <v>PAYER#14108463/ANIMAL SHELTER</v>
      </c>
      <c r="G344" s="3">
        <v>289.27999999999997</v>
      </c>
      <c r="H344" t="str">
        <f>"PAYER#14108463/ANIMAL SHELTER"</f>
        <v>PAYER#14108463/ANIMAL SHELTER</v>
      </c>
    </row>
    <row r="345" spans="1:8" x14ac:dyDescent="0.25">
      <c r="A345" t="s">
        <v>85</v>
      </c>
      <c r="B345">
        <v>136579</v>
      </c>
      <c r="C345" s="3">
        <v>230.42</v>
      </c>
      <c r="D345" s="6">
        <v>44417</v>
      </c>
      <c r="E345" t="str">
        <f>"8405231915"</f>
        <v>8405231915</v>
      </c>
      <c r="F345" t="str">
        <f>"CUST#10377368/PCT#3"</f>
        <v>CUST#10377368/PCT#3</v>
      </c>
      <c r="G345" s="3">
        <v>230.42</v>
      </c>
      <c r="H345" t="str">
        <f>"CUST#10377368/PCT#3"</f>
        <v>CUST#10377368/PCT#3</v>
      </c>
    </row>
    <row r="346" spans="1:8" x14ac:dyDescent="0.25">
      <c r="A346" t="s">
        <v>85</v>
      </c>
      <c r="B346">
        <v>136701</v>
      </c>
      <c r="C346" s="3">
        <v>4931.1899999999996</v>
      </c>
      <c r="D346" s="6">
        <v>44431</v>
      </c>
      <c r="E346" t="str">
        <f>"202108115197"</f>
        <v>202108115197</v>
      </c>
      <c r="F346" t="str">
        <f>"PAYER#14108375/GENERAL SVCS"</f>
        <v>PAYER#14108375/GENERAL SVCS</v>
      </c>
      <c r="G346" s="3">
        <v>2004.65</v>
      </c>
      <c r="H346" t="str">
        <f>"PAYER#14108375/GENERAL SVCS"</f>
        <v>PAYER#14108375/GENERAL SVCS</v>
      </c>
    </row>
    <row r="347" spans="1:8" x14ac:dyDescent="0.25">
      <c r="E347" t="str">
        <f>"202108165214"</f>
        <v>202108165214</v>
      </c>
      <c r="F347" t="str">
        <f>"PAYER#14108431/PCT#1"</f>
        <v>PAYER#14108431/PCT#1</v>
      </c>
      <c r="G347" s="3">
        <v>862.79</v>
      </c>
      <c r="H347" t="str">
        <f>"PAYER#14108431/PCT#1"</f>
        <v>PAYER#14108431/PCT#1</v>
      </c>
    </row>
    <row r="348" spans="1:8" x14ac:dyDescent="0.25">
      <c r="E348" t="str">
        <f>"202108165215"</f>
        <v>202108165215</v>
      </c>
      <c r="F348" t="str">
        <f>"PAYER#14108431/SIGN SHOP"</f>
        <v>PAYER#14108431/SIGN SHOP</v>
      </c>
      <c r="G348" s="3">
        <v>59.52</v>
      </c>
      <c r="H348" t="str">
        <f>"PAYER#14108431/SIGN SHOP"</f>
        <v>PAYER#14108431/SIGN SHOP</v>
      </c>
    </row>
    <row r="349" spans="1:8" x14ac:dyDescent="0.25">
      <c r="E349" t="str">
        <f>"202108165223"</f>
        <v>202108165223</v>
      </c>
      <c r="F349" t="str">
        <f>"PAYER#14108430/PCT#4"</f>
        <v>PAYER#14108430/PCT#4</v>
      </c>
      <c r="G349" s="3">
        <v>1147.56</v>
      </c>
      <c r="H349" t="str">
        <f>"PAYER#14108430/PCT#4"</f>
        <v>PAYER#14108430/PCT#4</v>
      </c>
    </row>
    <row r="350" spans="1:8" x14ac:dyDescent="0.25">
      <c r="E350" t="str">
        <f>"202108175266"</f>
        <v>202108175266</v>
      </c>
      <c r="F350" t="str">
        <f>"PAYER#14108367/PCT#2"</f>
        <v>PAYER#14108367/PCT#2</v>
      </c>
      <c r="G350" s="3">
        <v>856.67</v>
      </c>
      <c r="H350" t="str">
        <f>"PAYER#14108367/PCT#2"</f>
        <v>PAYER#14108367/PCT#2</v>
      </c>
    </row>
    <row r="351" spans="1:8" x14ac:dyDescent="0.25">
      <c r="A351" t="s">
        <v>86</v>
      </c>
      <c r="B351">
        <v>1264</v>
      </c>
      <c r="C351" s="3">
        <v>15030.16</v>
      </c>
      <c r="D351" s="6">
        <v>44420</v>
      </c>
      <c r="E351" t="str">
        <f>"202108125208"</f>
        <v>202108125208</v>
      </c>
      <c r="F351" t="str">
        <f>"ACCT#72-5613 / 08032021"</f>
        <v>ACCT#72-5613 / 08032021</v>
      </c>
      <c r="G351" s="3">
        <v>15030.16</v>
      </c>
      <c r="H351" t="str">
        <f>"ACCT#72-5613 / 08032021"</f>
        <v>ACCT#72-5613 / 08032021</v>
      </c>
    </row>
    <row r="352" spans="1:8" x14ac:dyDescent="0.25">
      <c r="A352" t="s">
        <v>87</v>
      </c>
      <c r="B352">
        <v>136543</v>
      </c>
      <c r="C352" s="3">
        <v>48367.95</v>
      </c>
      <c r="D352" s="6">
        <v>44412</v>
      </c>
      <c r="E352" t="str">
        <f>"202108045048"</f>
        <v>202108045048</v>
      </c>
      <c r="F352" t="str">
        <f>"COUNTY DEV CENTER / 07292021"</f>
        <v>COUNTY DEV CENTER / 07292021</v>
      </c>
      <c r="G352" s="3">
        <v>2140.16</v>
      </c>
      <c r="H352" t="str">
        <f>"COUNTY DEV CENTER / 07292021"</f>
        <v>COUNTY DEV CENTER / 07292021</v>
      </c>
    </row>
    <row r="353" spans="1:8" x14ac:dyDescent="0.25">
      <c r="E353" t="str">
        <f>"202108045049"</f>
        <v>202108045049</v>
      </c>
      <c r="F353" t="str">
        <f>"COUNTY LAW CENTER / 07292021"</f>
        <v>COUNTY LAW CENTER / 07292021</v>
      </c>
      <c r="G353" s="3">
        <v>30658.240000000002</v>
      </c>
      <c r="H353" t="str">
        <f>"COUNTY LAW CENTER / 07292021"</f>
        <v>COUNTY LAW CENTER / 07292021</v>
      </c>
    </row>
    <row r="354" spans="1:8" x14ac:dyDescent="0.25">
      <c r="E354" t="str">
        <f>"202108045050"</f>
        <v>202108045050</v>
      </c>
      <c r="F354" t="str">
        <f>"BASTROP COURTHOUSE / 07292021"</f>
        <v>BASTROP COURTHOUSE / 07292021</v>
      </c>
      <c r="G354" s="3">
        <v>15569.55</v>
      </c>
      <c r="H354" t="str">
        <f>"BASTROP COURTHOUSE / 07292021"</f>
        <v>BASTROP COURTHOUSE / 07292021</v>
      </c>
    </row>
    <row r="355" spans="1:8" x14ac:dyDescent="0.25">
      <c r="A355" t="s">
        <v>87</v>
      </c>
      <c r="B355">
        <v>136665</v>
      </c>
      <c r="C355" s="3">
        <v>7571.48</v>
      </c>
      <c r="D355" s="6">
        <v>44420</v>
      </c>
      <c r="E355" t="str">
        <f>"202108125212"</f>
        <v>202108125212</v>
      </c>
      <c r="F355" t="str">
        <f>"ACCT#02-2083-04 / 07292021"</f>
        <v>ACCT#02-2083-04 / 07292021</v>
      </c>
      <c r="G355" s="3">
        <v>7571.48</v>
      </c>
      <c r="H355" t="str">
        <f>"ACCT#02-2083-04 / 07292021"</f>
        <v>ACCT#02-2083-04 / 07292021</v>
      </c>
    </row>
    <row r="356" spans="1:8" x14ac:dyDescent="0.25">
      <c r="A356" t="s">
        <v>87</v>
      </c>
      <c r="B356">
        <v>136702</v>
      </c>
      <c r="C356" s="3">
        <v>750</v>
      </c>
      <c r="D356" s="6">
        <v>44431</v>
      </c>
      <c r="E356" t="str">
        <f>"202108165219"</f>
        <v>202108165219</v>
      </c>
      <c r="F356" t="str">
        <f>"PARKING LOT RENTAL"</f>
        <v>PARKING LOT RENTAL</v>
      </c>
      <c r="G356" s="3">
        <v>750</v>
      </c>
      <c r="H356" t="str">
        <f>"PARKING LOT RENTAL"</f>
        <v>PARKING LOT RENTAL</v>
      </c>
    </row>
    <row r="357" spans="1:8" x14ac:dyDescent="0.25">
      <c r="A357" t="s">
        <v>88</v>
      </c>
      <c r="B357">
        <v>136546</v>
      </c>
      <c r="C357" s="3">
        <v>4060.46</v>
      </c>
      <c r="D357" s="6">
        <v>44412</v>
      </c>
      <c r="E357" t="str">
        <f>"202108034971"</f>
        <v>202108034971</v>
      </c>
      <c r="F357" t="str">
        <f>"ACCT#007-0000388-000/07282021"</f>
        <v>ACCT#007-0000388-000/07282021</v>
      </c>
      <c r="G357" s="3">
        <v>1111.08</v>
      </c>
      <c r="H357" t="str">
        <f>"ACCT#007-0000388-000/07282021"</f>
        <v>ACCT#007-0000388-000/07282021</v>
      </c>
    </row>
    <row r="358" spans="1:8" x14ac:dyDescent="0.25">
      <c r="E358" t="str">
        <f>"202108034972"</f>
        <v>202108034972</v>
      </c>
      <c r="F358" t="str">
        <f>"ACCT#007-0000389-000/07282021"</f>
        <v>ACCT#007-0000389-000/07282021</v>
      </c>
      <c r="G358" s="3">
        <v>76.61</v>
      </c>
      <c r="H358" t="str">
        <f>"ACCT#007-0000389-000/07282021"</f>
        <v>ACCT#007-0000389-000/07282021</v>
      </c>
    </row>
    <row r="359" spans="1:8" x14ac:dyDescent="0.25">
      <c r="E359" t="str">
        <f>"202108034973"</f>
        <v>202108034973</v>
      </c>
      <c r="F359" t="str">
        <f>"CACT#044-0001240-000/07282021"</f>
        <v>CACT#044-0001240-000/07282021</v>
      </c>
      <c r="G359" s="3">
        <v>594.96</v>
      </c>
      <c r="H359" t="str">
        <f>"CACT#044-0001240-000/07282021"</f>
        <v>CACT#044-0001240-000/07282021</v>
      </c>
    </row>
    <row r="360" spans="1:8" x14ac:dyDescent="0.25">
      <c r="E360" t="str">
        <f>"202108034974"</f>
        <v>202108034974</v>
      </c>
      <c r="F360" t="str">
        <f>"ACCT#044-0001250-000/07282021"</f>
        <v>ACCT#044-0001250-000/07282021</v>
      </c>
      <c r="G360" s="3">
        <v>153.83000000000001</v>
      </c>
      <c r="H360" t="str">
        <f>"ACCT#044-0001250-000/07282021"</f>
        <v>ACCT#044-0001250-000/07282021</v>
      </c>
    </row>
    <row r="361" spans="1:8" x14ac:dyDescent="0.25">
      <c r="E361" t="str">
        <f>"202108034975"</f>
        <v>202108034975</v>
      </c>
      <c r="F361" t="str">
        <f>"ACCT#044-0001252-000/07282021"</f>
        <v>ACCT#044-0001252-000/07282021</v>
      </c>
      <c r="G361" s="3">
        <v>2110.41</v>
      </c>
      <c r="H361" t="str">
        <f>"ACCT#044-0001252-000/07282021"</f>
        <v>ACCT#044-0001252-000/07282021</v>
      </c>
    </row>
    <row r="362" spans="1:8" x14ac:dyDescent="0.25">
      <c r="E362" t="str">
        <f>"202108034976"</f>
        <v>202108034976</v>
      </c>
      <c r="F362" t="str">
        <f>"ACCT#044-0001253-000/07282021"</f>
        <v>ACCT#044-0001253-000/07282021</v>
      </c>
      <c r="G362" s="3">
        <v>13.57</v>
      </c>
      <c r="H362" t="str">
        <f>"ACCT#044-0001253-000/07282021"</f>
        <v>ACCT#044-0001253-000/07282021</v>
      </c>
    </row>
    <row r="363" spans="1:8" x14ac:dyDescent="0.25">
      <c r="A363" t="s">
        <v>89</v>
      </c>
      <c r="B363">
        <v>4939</v>
      </c>
      <c r="C363" s="3">
        <v>3977.5</v>
      </c>
      <c r="D363" s="6">
        <v>44432</v>
      </c>
      <c r="E363" t="str">
        <f>"PMA-0078343"</f>
        <v>PMA-0078343</v>
      </c>
      <c r="F363" t="str">
        <f>"CUST#0020272/GENERAL SVCS"</f>
        <v>CUST#0020272/GENERAL SVCS</v>
      </c>
      <c r="G363" s="3">
        <v>3767</v>
      </c>
      <c r="H363" t="str">
        <f>"CUST#0020272/GENERAL SVCS"</f>
        <v>CUST#0020272/GENERAL SVCS</v>
      </c>
    </row>
    <row r="364" spans="1:8" x14ac:dyDescent="0.25">
      <c r="E364" t="str">
        <f>"pma-0078688"</f>
        <v>pma-0078688</v>
      </c>
      <c r="F364" t="str">
        <f>"QUARTERLY AGREEMENT"</f>
        <v>QUARTERLY AGREEMENT</v>
      </c>
      <c r="G364" s="3">
        <v>210.5</v>
      </c>
      <c r="H364" t="str">
        <f>"QUARTERLY AGREEMENT"</f>
        <v>QUARTERLY AGREEMENT</v>
      </c>
    </row>
    <row r="365" spans="1:8" x14ac:dyDescent="0.25">
      <c r="A365" t="s">
        <v>90</v>
      </c>
      <c r="B365">
        <v>4972</v>
      </c>
      <c r="C365" s="3">
        <v>239.14</v>
      </c>
      <c r="D365" s="6">
        <v>44432</v>
      </c>
      <c r="E365" t="str">
        <f>"202108175249"</f>
        <v>202108175249</v>
      </c>
      <c r="F365" t="str">
        <f>"INDIGENT HEALTH"</f>
        <v>INDIGENT HEALTH</v>
      </c>
      <c r="G365" s="3">
        <v>0</v>
      </c>
      <c r="H365" t="str">
        <f>"INDIGENT HEALTH"</f>
        <v>INDIGENT HEALTH</v>
      </c>
    </row>
    <row r="366" spans="1:8" x14ac:dyDescent="0.25">
      <c r="E366" t="str">
        <f>""</f>
        <v/>
      </c>
      <c r="F366" t="str">
        <f>""</f>
        <v/>
      </c>
      <c r="G366" s="3">
        <v>239.14</v>
      </c>
      <c r="H366" t="str">
        <f>"INDIGENT HEALTH"</f>
        <v>INDIGENT HEALTH</v>
      </c>
    </row>
    <row r="367" spans="1:8" x14ac:dyDescent="0.25">
      <c r="A367" t="s">
        <v>91</v>
      </c>
      <c r="B367">
        <v>136703</v>
      </c>
      <c r="C367" s="3">
        <v>356</v>
      </c>
      <c r="D367" s="6">
        <v>44431</v>
      </c>
      <c r="E367" t="str">
        <f>"202108125203"</f>
        <v>202108125203</v>
      </c>
      <c r="F367" t="str">
        <f>"BOND#71174567 2021-2022"</f>
        <v>BOND#71174567 2021-2022</v>
      </c>
      <c r="G367" s="3">
        <v>356</v>
      </c>
      <c r="H367" t="str">
        <f>"BOND#71174567 2021-2022"</f>
        <v>BOND#71174567 2021-2022</v>
      </c>
    </row>
    <row r="368" spans="1:8" x14ac:dyDescent="0.25">
      <c r="A368" t="s">
        <v>92</v>
      </c>
      <c r="B368">
        <v>136580</v>
      </c>
      <c r="C368" s="3">
        <v>75</v>
      </c>
      <c r="D368" s="6">
        <v>44417</v>
      </c>
      <c r="E368" t="str">
        <f>"13650"</f>
        <v>13650</v>
      </c>
      <c r="F368" t="str">
        <f>"SERVICE"</f>
        <v>SERVICE</v>
      </c>
      <c r="G368" s="3">
        <v>75</v>
      </c>
      <c r="H368" t="str">
        <f>"SERVICE"</f>
        <v>SERVICE</v>
      </c>
    </row>
    <row r="369" spans="1:8" x14ac:dyDescent="0.25">
      <c r="A369" t="s">
        <v>93</v>
      </c>
      <c r="B369">
        <v>136581</v>
      </c>
      <c r="C369" s="3">
        <v>1797.6</v>
      </c>
      <c r="D369" s="6">
        <v>44417</v>
      </c>
      <c r="E369" t="str">
        <f>"313774"</f>
        <v>313774</v>
      </c>
      <c r="F369" t="str">
        <f>"CUST#1320/PCT#3"</f>
        <v>CUST#1320/PCT#3</v>
      </c>
      <c r="G369" s="3">
        <v>1797.6</v>
      </c>
      <c r="H369" t="str">
        <f>"CUST#1320/PCT#3"</f>
        <v>CUST#1320/PCT#3</v>
      </c>
    </row>
    <row r="370" spans="1:8" x14ac:dyDescent="0.25">
      <c r="A370" t="s">
        <v>94</v>
      </c>
      <c r="B370">
        <v>136829</v>
      </c>
      <c r="C370" s="3">
        <v>65.22</v>
      </c>
      <c r="D370" s="6">
        <v>44434</v>
      </c>
      <c r="E370" t="str">
        <f>"4830*02198*1"</f>
        <v>4830*02198*1</v>
      </c>
      <c r="F370" t="str">
        <f>"JAIL MEDICAL"</f>
        <v>JAIL MEDICAL</v>
      </c>
      <c r="G370" s="3">
        <v>65.22</v>
      </c>
      <c r="H370" t="str">
        <f>"COLUMBUS EYE ASSOCIATES"</f>
        <v>COLUMBUS EYE ASSOCIATES</v>
      </c>
    </row>
    <row r="371" spans="1:8" x14ac:dyDescent="0.25">
      <c r="A371" t="s">
        <v>95</v>
      </c>
      <c r="B371">
        <v>136704</v>
      </c>
      <c r="C371" s="3">
        <v>636.76</v>
      </c>
      <c r="D371" s="6">
        <v>44431</v>
      </c>
      <c r="E371" t="str">
        <f>"0624083"</f>
        <v>0624083</v>
      </c>
      <c r="F371" t="str">
        <f>"INV 0624083-IN"</f>
        <v>INV 0624083-IN</v>
      </c>
      <c r="G371" s="3">
        <v>636.76</v>
      </c>
      <c r="H371" t="str">
        <f>"INV 0624083-IN"</f>
        <v>INV 0624083-IN</v>
      </c>
    </row>
    <row r="372" spans="1:8" x14ac:dyDescent="0.25">
      <c r="A372" t="s">
        <v>96</v>
      </c>
      <c r="B372">
        <v>4942</v>
      </c>
      <c r="C372" s="3">
        <v>174.8</v>
      </c>
      <c r="D372" s="6">
        <v>44432</v>
      </c>
      <c r="E372" t="str">
        <f>"7902121605"</f>
        <v>7902121605</v>
      </c>
      <c r="F372" t="str">
        <f>"INV 7902121605"</f>
        <v>INV 7902121605</v>
      </c>
      <c r="G372" s="3">
        <v>174.8</v>
      </c>
      <c r="H372" t="str">
        <f>"INV 7902121605"</f>
        <v>INV 7902121605</v>
      </c>
    </row>
    <row r="373" spans="1:8" x14ac:dyDescent="0.25">
      <c r="A373" t="s">
        <v>97</v>
      </c>
      <c r="B373">
        <v>4950</v>
      </c>
      <c r="C373" s="3">
        <v>1218.56</v>
      </c>
      <c r="D373" s="6">
        <v>44432</v>
      </c>
      <c r="E373" t="str">
        <f>"202108175250"</f>
        <v>202108175250</v>
      </c>
      <c r="F373" t="str">
        <f>"INDIGENT HEALTH"</f>
        <v>INDIGENT HEALTH</v>
      </c>
      <c r="G373" s="3">
        <v>1112.8399999999999</v>
      </c>
      <c r="H373" t="str">
        <f>"INDIGENT HEALTH"</f>
        <v>INDIGENT HEALTH</v>
      </c>
    </row>
    <row r="374" spans="1:8" x14ac:dyDescent="0.25">
      <c r="E374" t="str">
        <f>""</f>
        <v/>
      </c>
      <c r="F374" t="str">
        <f>""</f>
        <v/>
      </c>
      <c r="G374" s="3">
        <v>13.89</v>
      </c>
      <c r="H374" t="str">
        <f>"INDIGENT HEALTH"</f>
        <v>INDIGENT HEALTH</v>
      </c>
    </row>
    <row r="375" spans="1:8" x14ac:dyDescent="0.25">
      <c r="E375" t="str">
        <f>""</f>
        <v/>
      </c>
      <c r="F375" t="str">
        <f>""</f>
        <v/>
      </c>
      <c r="G375" s="3">
        <v>91.83</v>
      </c>
      <c r="H375" t="str">
        <f>"INDIGENT HEALTH"</f>
        <v>INDIGENT HEALTH</v>
      </c>
    </row>
    <row r="376" spans="1:8" x14ac:dyDescent="0.25">
      <c r="A376" t="s">
        <v>98</v>
      </c>
      <c r="B376">
        <v>136705</v>
      </c>
      <c r="C376" s="3">
        <v>1912.5</v>
      </c>
      <c r="D376" s="6">
        <v>44431</v>
      </c>
      <c r="E376" t="str">
        <f>"729"</f>
        <v>729</v>
      </c>
      <c r="F376" t="str">
        <f>"JULY 2021 SERVICE"</f>
        <v>JULY 2021 SERVICE</v>
      </c>
      <c r="G376" s="3">
        <v>1912.5</v>
      </c>
      <c r="H376" t="str">
        <f>"JULY 2021 SERVICE"</f>
        <v>JULY 2021 SERVICE</v>
      </c>
    </row>
    <row r="377" spans="1:8" x14ac:dyDescent="0.25">
      <c r="A377" t="s">
        <v>99</v>
      </c>
      <c r="B377">
        <v>136582</v>
      </c>
      <c r="C377" s="3">
        <v>3406.32</v>
      </c>
      <c r="D377" s="6">
        <v>44417</v>
      </c>
      <c r="E377" t="str">
        <f>"23270858"</f>
        <v>23270858</v>
      </c>
      <c r="F377" t="str">
        <f>"ACCT#434304/PCT#4"</f>
        <v>ACCT#434304/PCT#4</v>
      </c>
      <c r="G377" s="3">
        <v>3283.2</v>
      </c>
      <c r="H377" t="str">
        <f>"ACCT#434304/PCT#4"</f>
        <v>ACCT#434304/PCT#4</v>
      </c>
    </row>
    <row r="378" spans="1:8" x14ac:dyDescent="0.25">
      <c r="E378" t="str">
        <f>"23280573"</f>
        <v>23280573</v>
      </c>
      <c r="F378" t="str">
        <f>"ACCT#434304/PCT#4"</f>
        <v>ACCT#434304/PCT#4</v>
      </c>
      <c r="G378" s="3">
        <v>123.12</v>
      </c>
      <c r="H378" t="str">
        <f>"ACCT#434304/PCT#4"</f>
        <v>ACCT#434304/PCT#4</v>
      </c>
    </row>
    <row r="379" spans="1:8" x14ac:dyDescent="0.25">
      <c r="A379" t="s">
        <v>99</v>
      </c>
      <c r="B379">
        <v>136706</v>
      </c>
      <c r="C379" s="3">
        <v>1882.2</v>
      </c>
      <c r="D379" s="6">
        <v>44431</v>
      </c>
      <c r="E379" t="str">
        <f>"23317089"</f>
        <v>23317089</v>
      </c>
      <c r="F379" t="str">
        <f>"ACCT#434304/PCT#4"</f>
        <v>ACCT#434304/PCT#4</v>
      </c>
      <c r="G379" s="3">
        <v>1882.2</v>
      </c>
      <c r="H379" t="str">
        <f>"ACCT#434304/PCT#4"</f>
        <v>ACCT#434304/PCT#4</v>
      </c>
    </row>
    <row r="380" spans="1:8" x14ac:dyDescent="0.25">
      <c r="A380" t="s">
        <v>100</v>
      </c>
      <c r="B380">
        <v>4948</v>
      </c>
      <c r="C380" s="3">
        <v>1240</v>
      </c>
      <c r="D380" s="6">
        <v>44432</v>
      </c>
      <c r="E380" t="str">
        <f>"21069"</f>
        <v>21069</v>
      </c>
      <c r="F380" t="str">
        <f>"4066 LABOR/ELECTIONS"</f>
        <v>4066 LABOR/ELECTIONS</v>
      </c>
      <c r="G380" s="3">
        <v>1240</v>
      </c>
      <c r="H380" t="str">
        <f>"4066 LABOR/ELECTIONS"</f>
        <v>4066 LABOR/ELECTIONS</v>
      </c>
    </row>
    <row r="381" spans="1:8" x14ac:dyDescent="0.25">
      <c r="A381" t="s">
        <v>101</v>
      </c>
      <c r="B381">
        <v>4899</v>
      </c>
      <c r="C381" s="3">
        <v>1118.9100000000001</v>
      </c>
      <c r="D381" s="6">
        <v>44418</v>
      </c>
      <c r="E381" t="str">
        <f>"IG00840"</f>
        <v>IG00840</v>
      </c>
      <c r="F381" t="str">
        <f>"ACCT#063/PCT#2"</f>
        <v>ACCT#063/PCT#2</v>
      </c>
      <c r="G381" s="3">
        <v>528.76</v>
      </c>
      <c r="H381" t="str">
        <f>"ACCT#063/PCT#2"</f>
        <v>ACCT#063/PCT#2</v>
      </c>
    </row>
    <row r="382" spans="1:8" x14ac:dyDescent="0.25">
      <c r="E382" t="str">
        <f>"TG00859"</f>
        <v>TG00859</v>
      </c>
      <c r="F382" t="str">
        <f>"ACCT#063/PCT#4"</f>
        <v>ACCT#063/PCT#4</v>
      </c>
      <c r="G382" s="3">
        <v>590.15</v>
      </c>
      <c r="H382" t="str">
        <f>"ACCT#063/PCT#4"</f>
        <v>ACCT#063/PCT#4</v>
      </c>
    </row>
    <row r="383" spans="1:8" x14ac:dyDescent="0.25">
      <c r="A383" t="s">
        <v>101</v>
      </c>
      <c r="B383">
        <v>4971</v>
      </c>
      <c r="C383" s="3">
        <v>800.12</v>
      </c>
      <c r="D383" s="6">
        <v>44432</v>
      </c>
      <c r="E383" t="str">
        <f>"WG01220"</f>
        <v>WG01220</v>
      </c>
      <c r="F383" t="str">
        <f>"ACCT#063/PCT#2"</f>
        <v>ACCT#063/PCT#2</v>
      </c>
      <c r="G383" s="3">
        <v>800.12</v>
      </c>
      <c r="H383" t="str">
        <f>"ACCT#063/PCT#2"</f>
        <v>ACCT#063/PCT#2</v>
      </c>
    </row>
    <row r="384" spans="1:8" x14ac:dyDescent="0.25">
      <c r="A384" t="s">
        <v>102</v>
      </c>
      <c r="B384">
        <v>136583</v>
      </c>
      <c r="C384" s="3">
        <v>545</v>
      </c>
      <c r="D384" s="6">
        <v>44417</v>
      </c>
      <c r="E384" t="str">
        <f>"12892"</f>
        <v>12892</v>
      </c>
      <c r="F384" t="str">
        <f>"SERVICE"</f>
        <v>SERVICE</v>
      </c>
      <c r="G384" s="3">
        <v>375</v>
      </c>
      <c r="H384" t="str">
        <f>"SERVICE"</f>
        <v>SERVICE</v>
      </c>
    </row>
    <row r="385" spans="1:8" x14ac:dyDescent="0.25">
      <c r="E385" t="str">
        <f>"13650"</f>
        <v>13650</v>
      </c>
      <c r="F385" t="str">
        <f>"SERVICE"</f>
        <v>SERVICE</v>
      </c>
      <c r="G385" s="3">
        <v>170</v>
      </c>
      <c r="H385" t="str">
        <f>"SERVICE"</f>
        <v>SERVICE</v>
      </c>
    </row>
    <row r="386" spans="1:8" x14ac:dyDescent="0.25">
      <c r="A386" t="s">
        <v>102</v>
      </c>
      <c r="B386">
        <v>136707</v>
      </c>
      <c r="C386" s="3">
        <v>525</v>
      </c>
      <c r="D386" s="6">
        <v>44431</v>
      </c>
      <c r="E386" t="str">
        <f>"13094"</f>
        <v>13094</v>
      </c>
      <c r="F386" t="str">
        <f>"SERVICE"</f>
        <v>SERVICE</v>
      </c>
      <c r="G386" s="3">
        <v>300</v>
      </c>
      <c r="H386" t="str">
        <f>"SERVICE"</f>
        <v>SERVICE</v>
      </c>
    </row>
    <row r="387" spans="1:8" x14ac:dyDescent="0.25">
      <c r="E387" t="str">
        <f>"13227"</f>
        <v>13227</v>
      </c>
      <c r="F387" t="str">
        <f>"SERVICE"</f>
        <v>SERVICE</v>
      </c>
      <c r="G387" s="3">
        <v>150</v>
      </c>
      <c r="H387" t="str">
        <f>"SERVICE"</f>
        <v>SERVICE</v>
      </c>
    </row>
    <row r="388" spans="1:8" x14ac:dyDescent="0.25">
      <c r="E388" t="str">
        <f>"13306"</f>
        <v>13306</v>
      </c>
      <c r="F388" t="str">
        <f>"SERVICE"</f>
        <v>SERVICE</v>
      </c>
      <c r="G388" s="3">
        <v>75</v>
      </c>
      <c r="H388" t="str">
        <f>"SERVICE"</f>
        <v>SERVICE</v>
      </c>
    </row>
    <row r="389" spans="1:8" x14ac:dyDescent="0.25">
      <c r="A389" t="s">
        <v>103</v>
      </c>
      <c r="B389">
        <v>136584</v>
      </c>
      <c r="C389" s="3">
        <v>7603.89</v>
      </c>
      <c r="D389" s="6">
        <v>44417</v>
      </c>
      <c r="E389" t="str">
        <f>"25204"</f>
        <v>25204</v>
      </c>
      <c r="F389" t="str">
        <f>"AHP Rescue Liquid"</f>
        <v>AHP Rescue Liquid</v>
      </c>
      <c r="G389" s="3">
        <v>6458.76</v>
      </c>
      <c r="H389" t="str">
        <f>"AHP Rescue Liquid"</f>
        <v>AHP Rescue Liquid</v>
      </c>
    </row>
    <row r="390" spans="1:8" x14ac:dyDescent="0.25">
      <c r="E390" t="str">
        <f>"VA63324"</f>
        <v>VA63324</v>
      </c>
      <c r="F390" t="str">
        <f>"ACCT#68930-000/ANIMAL SHELTER"</f>
        <v>ACCT#68930-000/ANIMAL SHELTER</v>
      </c>
      <c r="G390" s="3">
        <v>229.75</v>
      </c>
      <c r="H390" t="str">
        <f>"ACCT#68930-000/ANIMAL SHELTER"</f>
        <v>ACCT#68930-000/ANIMAL SHELTER</v>
      </c>
    </row>
    <row r="391" spans="1:8" x14ac:dyDescent="0.25">
      <c r="E391" t="str">
        <f>"VB29129"</f>
        <v>VB29129</v>
      </c>
      <c r="F391" t="str">
        <f>"ACCT#68930-000/ANIMAL SHELTER"</f>
        <v>ACCT#68930-000/ANIMAL SHELTER</v>
      </c>
      <c r="G391" s="3">
        <v>123.49</v>
      </c>
      <c r="H391" t="str">
        <f>"ACCT#68930-000/ANIMAL SHELTER"</f>
        <v>ACCT#68930-000/ANIMAL SHELTER</v>
      </c>
    </row>
    <row r="392" spans="1:8" x14ac:dyDescent="0.25">
      <c r="E392" t="str">
        <f>"VB35270"</f>
        <v>VB35270</v>
      </c>
      <c r="F392" t="str">
        <f>"ACCT#68930-000/ANIMAL SHELTER"</f>
        <v>ACCT#68930-000/ANIMAL SHELTER</v>
      </c>
      <c r="G392" s="3">
        <v>74.739999999999995</v>
      </c>
      <c r="H392" t="str">
        <f>"ACCT#68930-000/ANIMAL SHELTER"</f>
        <v>ACCT#68930-000/ANIMAL SHELTER</v>
      </c>
    </row>
    <row r="393" spans="1:8" x14ac:dyDescent="0.25">
      <c r="E393" t="str">
        <f>"VB56151"</f>
        <v>VB56151</v>
      </c>
      <c r="F393" t="str">
        <f>"ACCT#68930-000/ANIMAL SHELTER"</f>
        <v>ACCT#68930-000/ANIMAL SHELTER</v>
      </c>
      <c r="G393" s="3">
        <v>717.15</v>
      </c>
      <c r="H393" t="str">
        <f>"ACCT#68930-000/ANIMAL SHELTER"</f>
        <v>ACCT#68930-000/ANIMAL SHELTER</v>
      </c>
    </row>
    <row r="394" spans="1:8" x14ac:dyDescent="0.25">
      <c r="A394" t="s">
        <v>103</v>
      </c>
      <c r="B394">
        <v>136708</v>
      </c>
      <c r="C394" s="3">
        <v>1913.08</v>
      </c>
      <c r="D394" s="6">
        <v>44431</v>
      </c>
      <c r="E394" t="str">
        <f>"VC42186"</f>
        <v>VC42186</v>
      </c>
      <c r="F394" t="str">
        <f>"ACCT#68930/ANIMAL SHELTER"</f>
        <v>ACCT#68930/ANIMAL SHELTER</v>
      </c>
      <c r="G394" s="3">
        <v>100.29</v>
      </c>
      <c r="H394" t="str">
        <f>"ACCT#68930/ANIMAL SHELTER"</f>
        <v>ACCT#68930/ANIMAL SHELTER</v>
      </c>
    </row>
    <row r="395" spans="1:8" x14ac:dyDescent="0.25">
      <c r="E395" t="str">
        <f>"VC75931"</f>
        <v>VC75931</v>
      </c>
      <c r="F395" t="str">
        <f>"ACCT#68930-000/ANIMAL SHELTER"</f>
        <v>ACCT#68930-000/ANIMAL SHELTER</v>
      </c>
      <c r="G395" s="3">
        <v>105.7</v>
      </c>
      <c r="H395" t="str">
        <f>"ACCT#68930-000/ANIMAL SHELTER"</f>
        <v>ACCT#68930-000/ANIMAL SHELTER</v>
      </c>
    </row>
    <row r="396" spans="1:8" x14ac:dyDescent="0.25">
      <c r="E396" t="str">
        <f>"VD11141"</f>
        <v>VD11141</v>
      </c>
      <c r="F396" t="str">
        <f>"ACCT#68930-000/ANIMAL SHELTER"</f>
        <v>ACCT#68930-000/ANIMAL SHELTER</v>
      </c>
      <c r="G396" s="3">
        <v>1214</v>
      </c>
      <c r="H396" t="str">
        <f>"ACCT#68930-000/ANIMAL SHELTER"</f>
        <v>ACCT#68930-000/ANIMAL SHELTER</v>
      </c>
    </row>
    <row r="397" spans="1:8" x14ac:dyDescent="0.25">
      <c r="E397" t="str">
        <f>""</f>
        <v/>
      </c>
      <c r="F397" t="str">
        <f>""</f>
        <v/>
      </c>
      <c r="G397" s="3">
        <v>448.13</v>
      </c>
      <c r="H397" t="str">
        <f>"ACCT#68930-000/ANIMAL SHELTER"</f>
        <v>ACCT#68930-000/ANIMAL SHELTER</v>
      </c>
    </row>
    <row r="398" spans="1:8" x14ac:dyDescent="0.25">
      <c r="E398" t="str">
        <f>"VD20881"</f>
        <v>VD20881</v>
      </c>
      <c r="F398" t="str">
        <f>"ACCT#68930-000/ANIMAL SHELTER"</f>
        <v>ACCT#68930-000/ANIMAL SHELTER</v>
      </c>
      <c r="G398" s="3">
        <v>44.96</v>
      </c>
      <c r="H398" t="str">
        <f>"ACCT#68930-000/ANIMAL SHELTER"</f>
        <v>ACCT#68930-000/ANIMAL SHELTER</v>
      </c>
    </row>
    <row r="399" spans="1:8" x14ac:dyDescent="0.25">
      <c r="A399" t="s">
        <v>104</v>
      </c>
      <c r="B399">
        <v>136709</v>
      </c>
      <c r="C399" s="3">
        <v>25</v>
      </c>
      <c r="D399" s="6">
        <v>44431</v>
      </c>
      <c r="E399" t="str">
        <f>"13-163 7-6-2021"</f>
        <v>13-163 7-6-2021</v>
      </c>
      <c r="F399" t="str">
        <f>"RESTITUTION -MARCUS MANZANARES"</f>
        <v>RESTITUTION -MARCUS MANZANARES</v>
      </c>
      <c r="G399" s="3">
        <v>25</v>
      </c>
      <c r="H399" t="str">
        <f>"RESTITUTION -MARCUS MANZANARES"</f>
        <v>RESTITUTION -MARCUS MANZANARES</v>
      </c>
    </row>
    <row r="400" spans="1:8" x14ac:dyDescent="0.25">
      <c r="A400" t="s">
        <v>105</v>
      </c>
      <c r="B400">
        <v>136585</v>
      </c>
      <c r="C400" s="3">
        <v>2250</v>
      </c>
      <c r="D400" s="6">
        <v>44417</v>
      </c>
      <c r="E400" t="str">
        <f>"202108024866"</f>
        <v>202108024866</v>
      </c>
      <c r="F400" t="str">
        <f>"MAY-JULY 2021/PSYCH EVAL"</f>
        <v>MAY-JULY 2021/PSYCH EVAL</v>
      </c>
      <c r="G400" s="3">
        <v>1000</v>
      </c>
      <c r="H400" t="str">
        <f>"MAY-JULY 2021/PSYCH EVAL"</f>
        <v>MAY-JULY 2021/PSYCH EVAL</v>
      </c>
    </row>
    <row r="401" spans="1:8" x14ac:dyDescent="0.25">
      <c r="E401" t="str">
        <f>"MAY-JULY 2021"</f>
        <v>MAY-JULY 2021</v>
      </c>
      <c r="F401" t="str">
        <f>"INV  MAY-JULY 2021"</f>
        <v>INV  MAY-JULY 2021</v>
      </c>
      <c r="G401" s="3">
        <v>1250</v>
      </c>
      <c r="H401" t="str">
        <f>"INV  MAY-JULY 2021"</f>
        <v>INV  MAY-JULY 2021</v>
      </c>
    </row>
    <row r="402" spans="1:8" x14ac:dyDescent="0.25">
      <c r="A402" t="s">
        <v>106</v>
      </c>
      <c r="B402">
        <v>136710</v>
      </c>
      <c r="C402" s="3">
        <v>135.19</v>
      </c>
      <c r="D402" s="6">
        <v>44431</v>
      </c>
      <c r="E402" t="str">
        <f>"202108175236"</f>
        <v>202108175236</v>
      </c>
      <c r="F402" t="str">
        <f>"REIMBURSE/DALTON DAWSON"</f>
        <v>REIMBURSE/DALTON DAWSON</v>
      </c>
      <c r="G402" s="3">
        <v>135.19</v>
      </c>
      <c r="H402" t="str">
        <f>"REIMBURSE/DALTON DAWSON"</f>
        <v>REIMBURSE/DALTON DAWSON</v>
      </c>
    </row>
    <row r="403" spans="1:8" x14ac:dyDescent="0.25">
      <c r="A403" t="s">
        <v>107</v>
      </c>
      <c r="B403">
        <v>4915</v>
      </c>
      <c r="C403" s="3">
        <v>2795</v>
      </c>
      <c r="D403" s="6">
        <v>44418</v>
      </c>
      <c r="E403" t="str">
        <f>"1239979"</f>
        <v>1239979</v>
      </c>
      <c r="F403" t="str">
        <f>"INV1239979"</f>
        <v>INV1239979</v>
      </c>
      <c r="G403" s="3">
        <v>2795</v>
      </c>
      <c r="H403" t="str">
        <f>"INV1239979"</f>
        <v>INV1239979</v>
      </c>
    </row>
    <row r="404" spans="1:8" x14ac:dyDescent="0.25">
      <c r="A404" t="s">
        <v>108</v>
      </c>
      <c r="B404">
        <v>4897</v>
      </c>
      <c r="C404" s="3">
        <v>100</v>
      </c>
      <c r="D404" s="6">
        <v>44418</v>
      </c>
      <c r="E404" t="str">
        <f>"202108034944"</f>
        <v>202108034944</v>
      </c>
      <c r="F404" t="str">
        <f>"LEGAL SERVICES/COMMISSIONERS"</f>
        <v>LEGAL SERVICES/COMMISSIONERS</v>
      </c>
      <c r="G404" s="3">
        <v>100</v>
      </c>
      <c r="H404" t="str">
        <f>"LEGAL SERVICES/COMMISSIONERS"</f>
        <v>LEGAL SERVICES/COMMISSIONERS</v>
      </c>
    </row>
    <row r="405" spans="1:8" x14ac:dyDescent="0.25">
      <c r="A405" t="s">
        <v>109</v>
      </c>
      <c r="B405">
        <v>4873</v>
      </c>
      <c r="C405" s="3">
        <v>1580</v>
      </c>
      <c r="D405" s="6">
        <v>44418</v>
      </c>
      <c r="E405" t="str">
        <f>"202108045019"</f>
        <v>202108045019</v>
      </c>
      <c r="F405" t="str">
        <f>"21-20594"</f>
        <v>21-20594</v>
      </c>
      <c r="G405" s="3">
        <v>105</v>
      </c>
      <c r="H405" t="str">
        <f>"21-20594"</f>
        <v>21-20594</v>
      </c>
    </row>
    <row r="406" spans="1:8" x14ac:dyDescent="0.25">
      <c r="E406" t="str">
        <f>"202108045020"</f>
        <v>202108045020</v>
      </c>
      <c r="F406" t="str">
        <f>"21-20562"</f>
        <v>21-20562</v>
      </c>
      <c r="G406" s="3">
        <v>75</v>
      </c>
      <c r="H406" t="str">
        <f>"21-20562"</f>
        <v>21-20562</v>
      </c>
    </row>
    <row r="407" spans="1:8" x14ac:dyDescent="0.25">
      <c r="E407" t="str">
        <f>"202108045021"</f>
        <v>202108045021</v>
      </c>
      <c r="F407" t="str">
        <f>"20-20510"</f>
        <v>20-20510</v>
      </c>
      <c r="G407" s="3">
        <v>82.5</v>
      </c>
      <c r="H407" t="str">
        <f>"20-20510"</f>
        <v>20-20510</v>
      </c>
    </row>
    <row r="408" spans="1:8" x14ac:dyDescent="0.25">
      <c r="E408" t="str">
        <f>"202108045022"</f>
        <v>202108045022</v>
      </c>
      <c r="F408" t="str">
        <f>"20-20394"</f>
        <v>20-20394</v>
      </c>
      <c r="G408" s="3">
        <v>337.5</v>
      </c>
      <c r="H408" t="str">
        <f>"20-20394"</f>
        <v>20-20394</v>
      </c>
    </row>
    <row r="409" spans="1:8" x14ac:dyDescent="0.25">
      <c r="E409" t="str">
        <f>"202108045023"</f>
        <v>202108045023</v>
      </c>
      <c r="F409" t="str">
        <f>"20-20056"</f>
        <v>20-20056</v>
      </c>
      <c r="G409" s="3">
        <v>330</v>
      </c>
      <c r="H409" t="str">
        <f>"20-20056"</f>
        <v>20-20056</v>
      </c>
    </row>
    <row r="410" spans="1:8" x14ac:dyDescent="0.25">
      <c r="E410" t="str">
        <f>"202108045024"</f>
        <v>202108045024</v>
      </c>
      <c r="F410" t="str">
        <f>"20-20207"</f>
        <v>20-20207</v>
      </c>
      <c r="G410" s="3">
        <v>247.5</v>
      </c>
      <c r="H410" t="str">
        <f>"20-20207"</f>
        <v>20-20207</v>
      </c>
    </row>
    <row r="411" spans="1:8" x14ac:dyDescent="0.25">
      <c r="E411" t="str">
        <f>"202108045025"</f>
        <v>202108045025</v>
      </c>
      <c r="F411" t="str">
        <f>"21-20813"</f>
        <v>21-20813</v>
      </c>
      <c r="G411" s="3">
        <v>265</v>
      </c>
      <c r="H411" t="str">
        <f>"21-20813"</f>
        <v>21-20813</v>
      </c>
    </row>
    <row r="412" spans="1:8" x14ac:dyDescent="0.25">
      <c r="E412" t="str">
        <f>"202108045026"</f>
        <v>202108045026</v>
      </c>
      <c r="F412" t="str">
        <f>"21-20702"</f>
        <v>21-20702</v>
      </c>
      <c r="G412" s="3">
        <v>37.5</v>
      </c>
      <c r="H412" t="str">
        <f>"21-20702"</f>
        <v>21-20702</v>
      </c>
    </row>
    <row r="413" spans="1:8" x14ac:dyDescent="0.25">
      <c r="E413" t="str">
        <f>"202108045027"</f>
        <v>202108045027</v>
      </c>
      <c r="F413" t="str">
        <f>"423-4034"</f>
        <v>423-4034</v>
      </c>
      <c r="G413" s="3">
        <v>100</v>
      </c>
      <c r="H413" t="str">
        <f>"423-4034"</f>
        <v>423-4034</v>
      </c>
    </row>
    <row r="414" spans="1:8" x14ac:dyDescent="0.25">
      <c r="A414" t="s">
        <v>109</v>
      </c>
      <c r="B414">
        <v>4944</v>
      </c>
      <c r="C414" s="3">
        <v>760</v>
      </c>
      <c r="D414" s="6">
        <v>44432</v>
      </c>
      <c r="E414" t="str">
        <f>"202108185286"</f>
        <v>202108185286</v>
      </c>
      <c r="F414" t="str">
        <f>"19-19931"</f>
        <v>19-19931</v>
      </c>
      <c r="G414" s="3">
        <v>82.5</v>
      </c>
      <c r="H414" t="str">
        <f>"19-19931"</f>
        <v>19-19931</v>
      </c>
    </row>
    <row r="415" spans="1:8" x14ac:dyDescent="0.25">
      <c r="E415" t="str">
        <f>"202108185287"</f>
        <v>202108185287</v>
      </c>
      <c r="F415" t="str">
        <f>"21-20562"</f>
        <v>21-20562</v>
      </c>
      <c r="G415" s="3">
        <v>142.5</v>
      </c>
      <c r="H415" t="str">
        <f>"21-20562"</f>
        <v>21-20562</v>
      </c>
    </row>
    <row r="416" spans="1:8" x14ac:dyDescent="0.25">
      <c r="E416" t="str">
        <f>"202108185288"</f>
        <v>202108185288</v>
      </c>
      <c r="F416" t="str">
        <f>"20-20030"</f>
        <v>20-20030</v>
      </c>
      <c r="G416" s="3">
        <v>180</v>
      </c>
      <c r="H416" t="str">
        <f>"20-20030"</f>
        <v>20-20030</v>
      </c>
    </row>
    <row r="417" spans="1:8" x14ac:dyDescent="0.25">
      <c r="E417" t="str">
        <f>"202108185289"</f>
        <v>202108185289</v>
      </c>
      <c r="F417" t="str">
        <f>"21-20839"</f>
        <v>21-20839</v>
      </c>
      <c r="G417" s="3">
        <v>355</v>
      </c>
      <c r="H417" t="str">
        <f>"21-20839"</f>
        <v>21-20839</v>
      </c>
    </row>
    <row r="418" spans="1:8" x14ac:dyDescent="0.25">
      <c r="A418" t="s">
        <v>110</v>
      </c>
      <c r="B418">
        <v>136586</v>
      </c>
      <c r="C418" s="3">
        <v>1257.43</v>
      </c>
      <c r="D418" s="6">
        <v>44417</v>
      </c>
      <c r="E418" t="str">
        <f>"2254210"</f>
        <v>2254210</v>
      </c>
      <c r="F418" t="str">
        <f>"INV 2254210  2258690"</f>
        <v>INV 2254210  2258690</v>
      </c>
      <c r="G418" s="3">
        <v>688.03</v>
      </c>
      <c r="H418" t="str">
        <f>"INV 2254210"</f>
        <v>INV 2254210</v>
      </c>
    </row>
    <row r="419" spans="1:8" x14ac:dyDescent="0.25">
      <c r="E419" t="str">
        <f>""</f>
        <v/>
      </c>
      <c r="F419" t="str">
        <f>""</f>
        <v/>
      </c>
      <c r="G419" s="3">
        <v>569.4</v>
      </c>
      <c r="H419" t="str">
        <f>"INV 2258690"</f>
        <v>INV 2258690</v>
      </c>
    </row>
    <row r="420" spans="1:8" x14ac:dyDescent="0.25">
      <c r="A420" t="s">
        <v>110</v>
      </c>
      <c r="B420">
        <v>136711</v>
      </c>
      <c r="C420" s="3">
        <v>1209.03</v>
      </c>
      <c r="D420" s="6">
        <v>44431</v>
      </c>
      <c r="E420" t="str">
        <f>"2263048"</f>
        <v>2263048</v>
      </c>
      <c r="F420" t="str">
        <f>"INV 2263048  2267578"</f>
        <v>INV 2263048  2267578</v>
      </c>
      <c r="G420" s="3">
        <v>544.73</v>
      </c>
      <c r="H420" t="str">
        <f>"INV 2263048"</f>
        <v>INV 2263048</v>
      </c>
    </row>
    <row r="421" spans="1:8" x14ac:dyDescent="0.25">
      <c r="E421" t="str">
        <f>""</f>
        <v/>
      </c>
      <c r="F421" t="str">
        <f>""</f>
        <v/>
      </c>
      <c r="G421" s="3">
        <v>664.3</v>
      </c>
      <c r="H421" t="str">
        <f>"INV 2267578"</f>
        <v>INV 2267578</v>
      </c>
    </row>
    <row r="422" spans="1:8" x14ac:dyDescent="0.25">
      <c r="A422" t="s">
        <v>111</v>
      </c>
      <c r="B422">
        <v>136587</v>
      </c>
      <c r="C422" s="3">
        <v>58.24</v>
      </c>
      <c r="D422" s="6">
        <v>44417</v>
      </c>
      <c r="E422" t="str">
        <f>"202108034986"</f>
        <v>202108034986</v>
      </c>
      <c r="F422" t="str">
        <f>"MILEAGE/DEENA THOMAS"</f>
        <v>MILEAGE/DEENA THOMAS</v>
      </c>
      <c r="G422" s="3">
        <v>58.24</v>
      </c>
      <c r="H422" t="str">
        <f>"MILEAGE/DEENA THOMAS"</f>
        <v>MILEAGE/DEENA THOMAS</v>
      </c>
    </row>
    <row r="423" spans="1:8" x14ac:dyDescent="0.25">
      <c r="A423" t="s">
        <v>112</v>
      </c>
      <c r="B423">
        <v>136712</v>
      </c>
      <c r="C423" s="3">
        <v>844.68</v>
      </c>
      <c r="D423" s="6">
        <v>44431</v>
      </c>
      <c r="E423" t="str">
        <f>"25337"</f>
        <v>25337</v>
      </c>
      <c r="F423" t="str">
        <f>"SSDD's for the jail"</f>
        <v>SSDD's for the jail</v>
      </c>
      <c r="G423" s="3">
        <v>959.88</v>
      </c>
      <c r="H423" t="str">
        <f>"SSDD's for the jail"</f>
        <v>SSDD's for the jail</v>
      </c>
    </row>
    <row r="424" spans="1:8" x14ac:dyDescent="0.25">
      <c r="E424" t="str">
        <f>""</f>
        <v/>
      </c>
      <c r="F424" t="str">
        <f>""</f>
        <v/>
      </c>
      <c r="G424" s="3">
        <v>-115.2</v>
      </c>
      <c r="H424" t="str">
        <f>"Premier Discount"</f>
        <v>Premier Discount</v>
      </c>
    </row>
    <row r="425" spans="1:8" x14ac:dyDescent="0.25">
      <c r="A425" t="s">
        <v>113</v>
      </c>
      <c r="B425">
        <v>4901</v>
      </c>
      <c r="C425" s="3">
        <v>3021.25</v>
      </c>
      <c r="D425" s="6">
        <v>44418</v>
      </c>
      <c r="E425" t="str">
        <f>"BATX017434"</f>
        <v>BATX017434</v>
      </c>
      <c r="F425" t="str">
        <f>"INV BATX017434"</f>
        <v>INV BATX017434</v>
      </c>
      <c r="G425" s="3">
        <v>3021.25</v>
      </c>
      <c r="H425" t="str">
        <f>"INV BATX017434"</f>
        <v>INV BATX017434</v>
      </c>
    </row>
    <row r="426" spans="1:8" x14ac:dyDescent="0.25">
      <c r="A426" t="s">
        <v>114</v>
      </c>
      <c r="B426">
        <v>136588</v>
      </c>
      <c r="C426" s="3">
        <v>150</v>
      </c>
      <c r="D426" s="6">
        <v>44417</v>
      </c>
      <c r="E426" t="str">
        <f>"13646"</f>
        <v>13646</v>
      </c>
      <c r="F426" t="str">
        <f>"OVERPAYMENT COURT FEES"</f>
        <v>OVERPAYMENT COURT FEES</v>
      </c>
      <c r="G426" s="3">
        <v>150</v>
      </c>
      <c r="H426" t="str">
        <f>"OVERPAYMENT COURT FEES"</f>
        <v>OVERPAYMENT COURT FEES</v>
      </c>
    </row>
    <row r="427" spans="1:8" x14ac:dyDescent="0.25">
      <c r="A427" t="s">
        <v>115</v>
      </c>
      <c r="B427">
        <v>136589</v>
      </c>
      <c r="C427" s="3">
        <v>2500</v>
      </c>
      <c r="D427" s="6">
        <v>44417</v>
      </c>
      <c r="E427" t="str">
        <f>"202107274754"</f>
        <v>202107274754</v>
      </c>
      <c r="F427" t="str">
        <f>"INVESTIGATOR/ALBERT R DIAZ"</f>
        <v>INVESTIGATOR/ALBERT R DIAZ</v>
      </c>
      <c r="G427" s="3">
        <v>2500</v>
      </c>
      <c r="H427" t="str">
        <f>"INVESTIGATOR/ALBERT R DIAZ"</f>
        <v>INVESTIGATOR/ALBERT R DIAZ</v>
      </c>
    </row>
    <row r="428" spans="1:8" x14ac:dyDescent="0.25">
      <c r="A428" t="s">
        <v>116</v>
      </c>
      <c r="B428">
        <v>136713</v>
      </c>
      <c r="C428" s="3">
        <v>644.25</v>
      </c>
      <c r="D428" s="6">
        <v>44431</v>
      </c>
      <c r="E428" t="str">
        <f>"16851"</f>
        <v>16851</v>
      </c>
      <c r="F428" t="str">
        <f>"CUST#38261/DEVELOPMENT SVCS"</f>
        <v>CUST#38261/DEVELOPMENT SVCS</v>
      </c>
      <c r="G428" s="3">
        <v>644.25</v>
      </c>
      <c r="H428" t="str">
        <f>"CUST#38261/DEVELOPMENT SVCS"</f>
        <v>CUST#38261/DEVELOPMENT SVCS</v>
      </c>
    </row>
    <row r="429" spans="1:8" x14ac:dyDescent="0.25">
      <c r="A429" t="s">
        <v>117</v>
      </c>
      <c r="B429">
        <v>136714</v>
      </c>
      <c r="C429" s="3">
        <v>422</v>
      </c>
      <c r="D429" s="6">
        <v>44431</v>
      </c>
      <c r="E429" t="str">
        <f>"31523"</f>
        <v>31523</v>
      </c>
      <c r="F429" t="str">
        <f>"SUPPLIES/PCT#3"</f>
        <v>SUPPLIES/PCT#3</v>
      </c>
      <c r="G429" s="3">
        <v>327</v>
      </c>
      <c r="H429" t="str">
        <f>"SUPPLIES/PCT#3"</f>
        <v>SUPPLIES/PCT#3</v>
      </c>
    </row>
    <row r="430" spans="1:8" x14ac:dyDescent="0.25">
      <c r="E430" t="str">
        <f>"31526"</f>
        <v>31526</v>
      </c>
      <c r="F430" t="str">
        <f>"SUPPLIES/PCT#3"</f>
        <v>SUPPLIES/PCT#3</v>
      </c>
      <c r="G430" s="3">
        <v>95</v>
      </c>
      <c r="H430" t="str">
        <f>"SUPPLIES/PCT#3"</f>
        <v>SUPPLIES/PCT#3</v>
      </c>
    </row>
    <row r="431" spans="1:8" x14ac:dyDescent="0.25">
      <c r="A431" t="s">
        <v>118</v>
      </c>
      <c r="B431">
        <v>136590</v>
      </c>
      <c r="C431" s="3">
        <v>1171</v>
      </c>
      <c r="D431" s="6">
        <v>44417</v>
      </c>
      <c r="E431" t="str">
        <f>"2925603"</f>
        <v>2925603</v>
      </c>
      <c r="F431" t="str">
        <f>"ACCT#27917/PCT#1"</f>
        <v>ACCT#27917/PCT#1</v>
      </c>
      <c r="G431" s="3">
        <v>1171</v>
      </c>
      <c r="H431" t="str">
        <f>"ACCT#27917/PCT#1"</f>
        <v>ACCT#27917/PCT#1</v>
      </c>
    </row>
    <row r="432" spans="1:8" x14ac:dyDescent="0.25">
      <c r="A432" t="s">
        <v>118</v>
      </c>
      <c r="B432">
        <v>136715</v>
      </c>
      <c r="C432" s="3">
        <v>1060</v>
      </c>
      <c r="D432" s="6">
        <v>44431</v>
      </c>
      <c r="E432" t="str">
        <f>"2916102"</f>
        <v>2916102</v>
      </c>
      <c r="F432" t="str">
        <f>"ACCT#27917/WILDFIRE"</f>
        <v>ACCT#27917/WILDFIRE</v>
      </c>
      <c r="G432" s="3">
        <v>1060</v>
      </c>
      <c r="H432" t="str">
        <f>"ACCT#27917/WILDFIRE"</f>
        <v>ACCT#27917/WILDFIRE</v>
      </c>
    </row>
    <row r="433" spans="1:8" x14ac:dyDescent="0.25">
      <c r="A433" t="s">
        <v>119</v>
      </c>
      <c r="B433">
        <v>136591</v>
      </c>
      <c r="C433" s="3">
        <v>384.72</v>
      </c>
      <c r="D433" s="6">
        <v>44417</v>
      </c>
      <c r="E433" t="str">
        <f>"202107304833"</f>
        <v>202107304833</v>
      </c>
      <c r="F433" t="str">
        <f>"CAUSE NO. 20-20056"</f>
        <v>CAUSE NO. 20-20056</v>
      </c>
      <c r="G433" s="3">
        <v>384.72</v>
      </c>
      <c r="H433" t="str">
        <f>"CAUSE NO. 20-20056"</f>
        <v>CAUSE NO. 20-20056</v>
      </c>
    </row>
    <row r="434" spans="1:8" x14ac:dyDescent="0.25">
      <c r="A434" t="s">
        <v>120</v>
      </c>
      <c r="B434">
        <v>136828</v>
      </c>
      <c r="C434" s="3">
        <v>749.4</v>
      </c>
      <c r="D434" s="6">
        <v>44434</v>
      </c>
      <c r="E434" t="str">
        <f>"202108255307"</f>
        <v>202108255307</v>
      </c>
      <c r="F434" t="str">
        <f>"ACCT#405900029225 / 0901-0930"</f>
        <v>ACCT#405900029225 / 0901-0930</v>
      </c>
      <c r="G434" s="3">
        <v>187.35</v>
      </c>
      <c r="H434" t="str">
        <f>"ACCT#405900029225 / 0901-0930"</f>
        <v>ACCT#405900029225 / 0901-0930</v>
      </c>
    </row>
    <row r="435" spans="1:8" x14ac:dyDescent="0.25">
      <c r="E435" t="str">
        <f>"202108255308"</f>
        <v>202108255308</v>
      </c>
      <c r="F435" t="str">
        <f>"ACCT#405900029213 / 0901-0930"</f>
        <v>ACCT#405900029213 / 0901-0930</v>
      </c>
      <c r="G435" s="3">
        <v>374.7</v>
      </c>
      <c r="H435" t="str">
        <f>"DONNIE STARK"</f>
        <v>DONNIE STARK</v>
      </c>
    </row>
    <row r="436" spans="1:8" x14ac:dyDescent="0.25">
      <c r="E436" t="str">
        <f>"202108255309"</f>
        <v>202108255309</v>
      </c>
      <c r="F436" t="str">
        <f>"ACCT#405900028789 / 0901-0930"</f>
        <v>ACCT#405900028789 / 0901-0930</v>
      </c>
      <c r="G436" s="3">
        <v>187.35</v>
      </c>
      <c r="H436" t="str">
        <f>"DONNIE STARK"</f>
        <v>DONNIE STARK</v>
      </c>
    </row>
    <row r="437" spans="1:8" x14ac:dyDescent="0.25">
      <c r="A437" t="s">
        <v>121</v>
      </c>
      <c r="B437">
        <v>136716</v>
      </c>
      <c r="C437" s="3">
        <v>25</v>
      </c>
      <c r="D437" s="6">
        <v>44431</v>
      </c>
      <c r="E437" t="str">
        <f>"13163 7-6-21"</f>
        <v>13163 7-6-21</v>
      </c>
      <c r="F437" t="str">
        <f>"RESTITUTION MARCUS MANZANARES"</f>
        <v>RESTITUTION MARCUS MANZANARES</v>
      </c>
      <c r="G437" s="3">
        <v>25</v>
      </c>
      <c r="H437" t="str">
        <f>"RESTITUTION MARCUS MANZANARES"</f>
        <v>RESTITUTION MARCUS MANZANARES</v>
      </c>
    </row>
    <row r="438" spans="1:8" x14ac:dyDescent="0.25">
      <c r="A438" t="s">
        <v>122</v>
      </c>
      <c r="B438">
        <v>4883</v>
      </c>
      <c r="C438" s="3">
        <v>3070.93</v>
      </c>
      <c r="D438" s="6">
        <v>44418</v>
      </c>
      <c r="E438" t="str">
        <f>"30018B"</f>
        <v>30018B</v>
      </c>
      <c r="F438" t="str">
        <f>"INV 30018B"</f>
        <v>INV 30018B</v>
      </c>
      <c r="G438" s="3">
        <v>3070.93</v>
      </c>
      <c r="H438" t="str">
        <f>"INV 30018B"</f>
        <v>INV 30018B</v>
      </c>
    </row>
    <row r="439" spans="1:8" x14ac:dyDescent="0.25">
      <c r="A439" t="s">
        <v>123</v>
      </c>
      <c r="B439">
        <v>136592</v>
      </c>
      <c r="C439" s="3">
        <v>675</v>
      </c>
      <c r="D439" s="6">
        <v>44417</v>
      </c>
      <c r="E439" t="str">
        <f>"202107274759"</f>
        <v>202107274759</v>
      </c>
      <c r="F439" t="str">
        <f>"2110"</f>
        <v>2110</v>
      </c>
      <c r="G439" s="3">
        <v>300</v>
      </c>
      <c r="H439" t="str">
        <f>"2110"</f>
        <v>2110</v>
      </c>
    </row>
    <row r="440" spans="1:8" x14ac:dyDescent="0.25">
      <c r="E440" t="str">
        <f>"202107284811"</f>
        <v>202107284811</v>
      </c>
      <c r="F440" t="str">
        <f>"INTERPRETER/ KRISTI  KALLINA"</f>
        <v>INTERPRETER/ KRISTI  KALLINA</v>
      </c>
      <c r="G440" s="3">
        <v>375</v>
      </c>
      <c r="H440" t="str">
        <f>"INTERPRETER/ KRISTI  KALLINA"</f>
        <v>INTERPRETER/ KRISTI  KALLINA</v>
      </c>
    </row>
    <row r="441" spans="1:8" x14ac:dyDescent="0.25">
      <c r="A441" t="s">
        <v>124</v>
      </c>
      <c r="B441">
        <v>4925</v>
      </c>
      <c r="C441" s="3">
        <v>2050</v>
      </c>
      <c r="D441" s="6">
        <v>44418</v>
      </c>
      <c r="E441" t="str">
        <f>"202107304821"</f>
        <v>202107304821</v>
      </c>
      <c r="F441" t="str">
        <f>"57767/57846"</f>
        <v>57767/57846</v>
      </c>
      <c r="G441" s="3">
        <v>375</v>
      </c>
      <c r="H441" t="str">
        <f>"57767/57846"</f>
        <v>57767/57846</v>
      </c>
    </row>
    <row r="442" spans="1:8" x14ac:dyDescent="0.25">
      <c r="E442" t="str">
        <f>"202107304822"</f>
        <v>202107304822</v>
      </c>
      <c r="F442" t="str">
        <f>"56938"</f>
        <v>56938</v>
      </c>
      <c r="G442" s="3">
        <v>250</v>
      </c>
      <c r="H442" t="str">
        <f>"56938"</f>
        <v>56938</v>
      </c>
    </row>
    <row r="443" spans="1:8" x14ac:dyDescent="0.25">
      <c r="E443" t="str">
        <f>"202107304828"</f>
        <v>202107304828</v>
      </c>
      <c r="F443" t="str">
        <f>"10339"</f>
        <v>10339</v>
      </c>
      <c r="G443" s="3">
        <v>500</v>
      </c>
      <c r="H443" t="str">
        <f>"10339"</f>
        <v>10339</v>
      </c>
    </row>
    <row r="444" spans="1:8" x14ac:dyDescent="0.25">
      <c r="E444" t="str">
        <f>"202107304829"</f>
        <v>202107304829</v>
      </c>
      <c r="F444" t="str">
        <f>"17263"</f>
        <v>17263</v>
      </c>
      <c r="G444" s="3">
        <v>400</v>
      </c>
      <c r="H444" t="str">
        <f>"17263"</f>
        <v>17263</v>
      </c>
    </row>
    <row r="445" spans="1:8" x14ac:dyDescent="0.25">
      <c r="E445" t="str">
        <f>"202108045018"</f>
        <v>202108045018</v>
      </c>
      <c r="F445" t="str">
        <f>"20-20216"</f>
        <v>20-20216</v>
      </c>
      <c r="G445" s="3">
        <v>525</v>
      </c>
      <c r="H445" t="str">
        <f>"20-20216"</f>
        <v>20-20216</v>
      </c>
    </row>
    <row r="446" spans="1:8" x14ac:dyDescent="0.25">
      <c r="A446" t="s">
        <v>125</v>
      </c>
      <c r="B446">
        <v>136593</v>
      </c>
      <c r="C446" s="3">
        <v>4500</v>
      </c>
      <c r="D446" s="6">
        <v>44417</v>
      </c>
      <c r="E446" t="str">
        <f>"032"</f>
        <v>032</v>
      </c>
      <c r="F446" t="str">
        <f>"HAULING/PCT#3"</f>
        <v>HAULING/PCT#3</v>
      </c>
      <c r="G446" s="3">
        <v>4500</v>
      </c>
      <c r="H446" t="str">
        <f>"HAULING/PCT#3"</f>
        <v>HAULING/PCT#3</v>
      </c>
    </row>
    <row r="447" spans="1:8" x14ac:dyDescent="0.25">
      <c r="A447" t="s">
        <v>126</v>
      </c>
      <c r="B447">
        <v>4903</v>
      </c>
      <c r="C447" s="3">
        <v>2080</v>
      </c>
      <c r="D447" s="6">
        <v>44418</v>
      </c>
      <c r="E447" t="str">
        <f>"6262642996"</f>
        <v>6262642996</v>
      </c>
      <c r="F447" t="str">
        <f>"INV 6262642996"</f>
        <v>INV 6262642996</v>
      </c>
      <c r="G447" s="3">
        <v>2080</v>
      </c>
      <c r="H447" t="str">
        <f>"INV 6262642996"</f>
        <v>INV 6262642996</v>
      </c>
    </row>
    <row r="448" spans="1:8" x14ac:dyDescent="0.25">
      <c r="A448" t="s">
        <v>126</v>
      </c>
      <c r="B448">
        <v>4973</v>
      </c>
      <c r="C448" s="3">
        <v>535.28</v>
      </c>
      <c r="D448" s="6">
        <v>44432</v>
      </c>
      <c r="E448" t="str">
        <f>"6263053253"</f>
        <v>6263053253</v>
      </c>
      <c r="F448" t="str">
        <f>"INV 6263053253"</f>
        <v>INV 6263053253</v>
      </c>
      <c r="G448" s="3">
        <v>535.28</v>
      </c>
      <c r="H448" t="str">
        <f>"INV 6263053253"</f>
        <v>INV 6263053253</v>
      </c>
    </row>
    <row r="449" spans="1:8" x14ac:dyDescent="0.25">
      <c r="A449" t="s">
        <v>127</v>
      </c>
      <c r="B449">
        <v>136594</v>
      </c>
      <c r="C449" s="3">
        <v>353.11</v>
      </c>
      <c r="D449" s="6">
        <v>44417</v>
      </c>
      <c r="E449" t="str">
        <f>"6000523048"</f>
        <v>6000523048</v>
      </c>
      <c r="F449" t="str">
        <f>"ACCT#3422853/ANIMAL SHELTER"</f>
        <v>ACCT#3422853/ANIMAL SHELTER</v>
      </c>
      <c r="G449" s="3">
        <v>353.11</v>
      </c>
      <c r="H449" t="str">
        <f>"ACCT#3422853/ANIMAL SHELTER"</f>
        <v>ACCT#3422853/ANIMAL SHELTER</v>
      </c>
    </row>
    <row r="450" spans="1:8" x14ac:dyDescent="0.25">
      <c r="A450" t="s">
        <v>128</v>
      </c>
      <c r="B450">
        <v>4902</v>
      </c>
      <c r="C450" s="3">
        <v>380</v>
      </c>
      <c r="D450" s="6">
        <v>44418</v>
      </c>
      <c r="E450" t="str">
        <f>"202108035010"</f>
        <v>202108035010</v>
      </c>
      <c r="F450" t="str">
        <f>"Public Notice"</f>
        <v>Public Notice</v>
      </c>
      <c r="G450" s="3">
        <v>95</v>
      </c>
      <c r="H450" t="str">
        <f>"07/14"</f>
        <v>07/14</v>
      </c>
    </row>
    <row r="451" spans="1:8" x14ac:dyDescent="0.25">
      <c r="E451" t="str">
        <f>""</f>
        <v/>
      </c>
      <c r="F451" t="str">
        <f>""</f>
        <v/>
      </c>
      <c r="G451" s="3">
        <v>95</v>
      </c>
      <c r="H451" t="str">
        <f>"07/21"</f>
        <v>07/21</v>
      </c>
    </row>
    <row r="452" spans="1:8" x14ac:dyDescent="0.25">
      <c r="E452" t="str">
        <f>"202108035011"</f>
        <v>202108035011</v>
      </c>
      <c r="F452" t="str">
        <f>"Public Notice"</f>
        <v>Public Notice</v>
      </c>
      <c r="G452" s="3">
        <v>95</v>
      </c>
      <c r="H452" t="str">
        <f>"06/30"</f>
        <v>06/30</v>
      </c>
    </row>
    <row r="453" spans="1:8" x14ac:dyDescent="0.25">
      <c r="E453" t="str">
        <f>""</f>
        <v/>
      </c>
      <c r="F453" t="str">
        <f>""</f>
        <v/>
      </c>
      <c r="G453" s="3">
        <v>95</v>
      </c>
      <c r="H453" t="str">
        <f>"07/07"</f>
        <v>07/07</v>
      </c>
    </row>
    <row r="454" spans="1:8" x14ac:dyDescent="0.25">
      <c r="A454" t="s">
        <v>129</v>
      </c>
      <c r="B454">
        <v>136717</v>
      </c>
      <c r="C454" s="3">
        <v>86.9</v>
      </c>
      <c r="D454" s="6">
        <v>44431</v>
      </c>
      <c r="E454" t="str">
        <f>"14929"</f>
        <v>14929</v>
      </c>
      <c r="F454" t="str">
        <f>"PROPANE/PCT#4"</f>
        <v>PROPANE/PCT#4</v>
      </c>
      <c r="G454" s="3">
        <v>86.9</v>
      </c>
      <c r="H454" t="str">
        <f>"PROPANE/PCT#4"</f>
        <v>PROPANE/PCT#4</v>
      </c>
    </row>
    <row r="455" spans="1:8" x14ac:dyDescent="0.25">
      <c r="A455" t="s">
        <v>130</v>
      </c>
      <c r="B455">
        <v>136718</v>
      </c>
      <c r="C455" s="3">
        <v>0.52</v>
      </c>
      <c r="D455" s="6">
        <v>44431</v>
      </c>
      <c r="E455" t="str">
        <f>"202108125202"</f>
        <v>202108125202</v>
      </c>
      <c r="F455" t="str">
        <f>"ARREST FEES 4/1/21-6/30/21"</f>
        <v>ARREST FEES 4/1/21-6/30/21</v>
      </c>
      <c r="G455" s="3">
        <v>0.52</v>
      </c>
      <c r="H455" t="str">
        <f>"ARREST FEES 4/1/21-6/30/21"</f>
        <v>ARREST FEES 4/1/21-6/30/21</v>
      </c>
    </row>
    <row r="456" spans="1:8" x14ac:dyDescent="0.25">
      <c r="A456" t="s">
        <v>131</v>
      </c>
      <c r="B456">
        <v>136545</v>
      </c>
      <c r="C456" s="3">
        <v>1227.03</v>
      </c>
      <c r="D456" s="6">
        <v>44412</v>
      </c>
      <c r="E456" t="str">
        <f>"202108034964"</f>
        <v>202108034964</v>
      </c>
      <c r="F456" t="str">
        <f>"ACCT#007-0008410-002/07312021"</f>
        <v>ACCT#007-0008410-002/07312021</v>
      </c>
      <c r="G456" s="3">
        <v>230.79</v>
      </c>
      <c r="H456" t="str">
        <f>"ACCT#007-0008410-002/07312021"</f>
        <v>ACCT#007-0008410-002/07312021</v>
      </c>
    </row>
    <row r="457" spans="1:8" x14ac:dyDescent="0.25">
      <c r="E457" t="str">
        <f>"202108034965"</f>
        <v>202108034965</v>
      </c>
      <c r="F457" t="str">
        <f>"ACCT#007-0011501-000/07312021"</f>
        <v>ACCT#007-0011501-000/07312021</v>
      </c>
      <c r="G457" s="3">
        <v>62.68</v>
      </c>
      <c r="H457" t="str">
        <f>"ACCT#007-0011501-000/07312021"</f>
        <v>ACCT#007-0011501-000/07312021</v>
      </c>
    </row>
    <row r="458" spans="1:8" x14ac:dyDescent="0.25">
      <c r="E458" t="str">
        <f>"202108034966"</f>
        <v>202108034966</v>
      </c>
      <c r="F458" t="str">
        <f>"ACCT#007-0011510-000/07312021"</f>
        <v>ACCT#007-0011510-000/07312021</v>
      </c>
      <c r="G458" s="3">
        <v>245.49</v>
      </c>
      <c r="H458" t="str">
        <f>"ACCT#007-0011510-000/07312021"</f>
        <v>ACCT#007-0011510-000/07312021</v>
      </c>
    </row>
    <row r="459" spans="1:8" x14ac:dyDescent="0.25">
      <c r="E459" t="str">
        <f>"202108034967"</f>
        <v>202108034967</v>
      </c>
      <c r="F459" t="str">
        <f>"ACCT#007-0011530-000/07312021"</f>
        <v>ACCT#007-0011530-000/07312021</v>
      </c>
      <c r="G459" s="3">
        <v>99.65</v>
      </c>
      <c r="H459" t="str">
        <f>"ACCT#007-0011530-000/07312021"</f>
        <v>ACCT#007-0011530-000/07312021</v>
      </c>
    </row>
    <row r="460" spans="1:8" x14ac:dyDescent="0.25">
      <c r="E460" t="str">
        <f>"202108034968"</f>
        <v>202108034968</v>
      </c>
      <c r="F460" t="str">
        <f>"ACCT#007-0011534-001/07312021"</f>
        <v>ACCT#007-0011534-001/07312021</v>
      </c>
      <c r="G460" s="3">
        <v>172.7</v>
      </c>
      <c r="H460" t="str">
        <f>"ACCT#007-0011534-001/07312021"</f>
        <v>ACCT#007-0011534-001/07312021</v>
      </c>
    </row>
    <row r="461" spans="1:8" x14ac:dyDescent="0.25">
      <c r="E461" t="str">
        <f>"202108034969"</f>
        <v>202108034969</v>
      </c>
      <c r="F461" t="str">
        <f>"ACCT#007-0011535-000/07312021"</f>
        <v>ACCT#007-0011535-000/07312021</v>
      </c>
      <c r="G461" s="3">
        <v>280.93</v>
      </c>
      <c r="H461" t="str">
        <f>"ACCT#007-0011535-000/07312021"</f>
        <v>ACCT#007-0011535-000/07312021</v>
      </c>
    </row>
    <row r="462" spans="1:8" x14ac:dyDescent="0.25">
      <c r="E462" t="str">
        <f>"202108034970"</f>
        <v>202108034970</v>
      </c>
      <c r="F462" t="str">
        <f>"ACCT#007-0011544-001/07312021"</f>
        <v>ACCT#007-0011544-001/07312021</v>
      </c>
      <c r="G462" s="3">
        <v>134.79</v>
      </c>
      <c r="H462" t="str">
        <f>"ACCT#007-0011544-001/07312021"</f>
        <v>ACCT#007-0011544-001/07312021</v>
      </c>
    </row>
    <row r="463" spans="1:8" x14ac:dyDescent="0.25">
      <c r="A463" t="s">
        <v>132</v>
      </c>
      <c r="B463">
        <v>136595</v>
      </c>
      <c r="C463" s="3">
        <v>22.04</v>
      </c>
      <c r="D463" s="6">
        <v>44417</v>
      </c>
      <c r="E463" t="str">
        <f>"202107304835"</f>
        <v>202107304835</v>
      </c>
      <c r="F463" t="str">
        <f>"CUST#0888336-1"</f>
        <v>CUST#0888336-1</v>
      </c>
      <c r="G463" s="3">
        <v>22.04</v>
      </c>
      <c r="H463" t="str">
        <f>"CUST#0888336-1"</f>
        <v>CUST#0888336-1</v>
      </c>
    </row>
    <row r="464" spans="1:8" x14ac:dyDescent="0.25">
      <c r="A464" t="s">
        <v>133</v>
      </c>
      <c r="B464">
        <v>136719</v>
      </c>
      <c r="C464" s="3">
        <v>66.86</v>
      </c>
      <c r="D464" s="6">
        <v>44431</v>
      </c>
      <c r="E464" t="str">
        <f>"202108175275"</f>
        <v>202108175275</v>
      </c>
      <c r="F464" t="str">
        <f>"REIMBURSEMENT"</f>
        <v>REIMBURSEMENT</v>
      </c>
      <c r="G464" s="3">
        <v>66.86</v>
      </c>
      <c r="H464" t="str">
        <f>"REIMBURSEMENT"</f>
        <v>REIMBURSEMENT</v>
      </c>
    </row>
    <row r="465" spans="1:8" x14ac:dyDescent="0.25">
      <c r="A465" t="s">
        <v>134</v>
      </c>
      <c r="B465">
        <v>136596</v>
      </c>
      <c r="C465" s="3">
        <v>42374.62</v>
      </c>
      <c r="D465" s="6">
        <v>44417</v>
      </c>
      <c r="E465" t="str">
        <f>"9402507317"</f>
        <v>9402507317</v>
      </c>
      <c r="F465" t="str">
        <f>"ACCT#912897/PCT#3"</f>
        <v>ACCT#912897/PCT#3</v>
      </c>
      <c r="G465" s="3">
        <v>15492.96</v>
      </c>
      <c r="H465" t="str">
        <f>"ACCT#912897/PCT#3"</f>
        <v>ACCT#912897/PCT#3</v>
      </c>
    </row>
    <row r="466" spans="1:8" x14ac:dyDescent="0.25">
      <c r="E466" t="str">
        <f>"9402507891"</f>
        <v>9402507891</v>
      </c>
      <c r="F466" t="str">
        <f>"ACCT#912897/PCT#3"</f>
        <v>ACCT#912897/PCT#3</v>
      </c>
      <c r="G466" s="3">
        <v>15066.66</v>
      </c>
      <c r="H466" t="str">
        <f>"ACCT#912897/PCT#3"</f>
        <v>ACCT#912897/PCT#3</v>
      </c>
    </row>
    <row r="467" spans="1:8" x14ac:dyDescent="0.25">
      <c r="E467" t="str">
        <f>"9402518527"</f>
        <v>9402518527</v>
      </c>
      <c r="F467" t="str">
        <f>"ACCT#912923/PCT#4"</f>
        <v>ACCT#912923/PCT#4</v>
      </c>
      <c r="G467" s="3">
        <v>3890</v>
      </c>
      <c r="H467" t="str">
        <f>"ACCT#912923/PCT#4"</f>
        <v>ACCT#912923/PCT#4</v>
      </c>
    </row>
    <row r="468" spans="1:8" x14ac:dyDescent="0.25">
      <c r="E468" t="str">
        <f>"9402519718"</f>
        <v>9402519718</v>
      </c>
      <c r="F468" t="str">
        <f>"ACCT#912923/PCT#4"</f>
        <v>ACCT#912923/PCT#4</v>
      </c>
      <c r="G468" s="3">
        <v>3970</v>
      </c>
      <c r="H468" t="str">
        <f>"ACCT#912923/PCT#4"</f>
        <v>ACCT#912923/PCT#4</v>
      </c>
    </row>
    <row r="469" spans="1:8" x14ac:dyDescent="0.25">
      <c r="E469" t="str">
        <f>"9402520697"</f>
        <v>9402520697</v>
      </c>
      <c r="F469" t="str">
        <f>"ACCT#912923/PCT#4"</f>
        <v>ACCT#912923/PCT#4</v>
      </c>
      <c r="G469" s="3">
        <v>3955</v>
      </c>
      <c r="H469" t="str">
        <f>"ACCT#912923/PCT#4"</f>
        <v>ACCT#912923/PCT#4</v>
      </c>
    </row>
    <row r="470" spans="1:8" x14ac:dyDescent="0.25">
      <c r="A470" t="s">
        <v>134</v>
      </c>
      <c r="B470">
        <v>136720</v>
      </c>
      <c r="C470" s="3">
        <v>43302.42</v>
      </c>
      <c r="D470" s="6">
        <v>44431</v>
      </c>
      <c r="E470" t="str">
        <f>"9402525065"</f>
        <v>9402525065</v>
      </c>
      <c r="F470" t="str">
        <f>"ACCT#912897/PCT#3"</f>
        <v>ACCT#912897/PCT#3</v>
      </c>
      <c r="G470" s="3">
        <v>13949.5</v>
      </c>
      <c r="H470" t="str">
        <f>"ACCT#912897/PCT#3"</f>
        <v>ACCT#912897/PCT#3</v>
      </c>
    </row>
    <row r="471" spans="1:8" x14ac:dyDescent="0.25">
      <c r="E471" t="str">
        <f>"9402525066"</f>
        <v>9402525066</v>
      </c>
      <c r="F471" t="str">
        <f>"ACCT#912897/PCT#3"</f>
        <v>ACCT#912897/PCT#3</v>
      </c>
      <c r="G471" s="3">
        <v>15176.28</v>
      </c>
      <c r="H471" t="str">
        <f>"ACCT#912897/PCT#3"</f>
        <v>ACCT#912897/PCT#3</v>
      </c>
    </row>
    <row r="472" spans="1:8" x14ac:dyDescent="0.25">
      <c r="E472" t="str">
        <f>"9402532680"</f>
        <v>9402532680</v>
      </c>
      <c r="F472" t="str">
        <f>"ACCT#912897/PCT#3"</f>
        <v>ACCT#912897/PCT#3</v>
      </c>
      <c r="G472" s="3">
        <v>14176.64</v>
      </c>
      <c r="H472" t="str">
        <f>"ACCT#912897/PCT#3"</f>
        <v>ACCT#912897/PCT#3</v>
      </c>
    </row>
    <row r="473" spans="1:8" x14ac:dyDescent="0.25">
      <c r="A473" t="s">
        <v>135</v>
      </c>
      <c r="B473">
        <v>136597</v>
      </c>
      <c r="C473" s="3">
        <v>40.659999999999997</v>
      </c>
      <c r="D473" s="6">
        <v>44417</v>
      </c>
      <c r="E473" t="str">
        <f>"202107294819"</f>
        <v>202107294819</v>
      </c>
      <c r="F473" t="str">
        <f>"REIMBURSE/ESMERALDA OSORIO"</f>
        <v>REIMBURSE/ESMERALDA OSORIO</v>
      </c>
      <c r="G473" s="3">
        <v>40.659999999999997</v>
      </c>
      <c r="H473" t="str">
        <f>"REIMBURSE/ESMERALDA OSORIO"</f>
        <v>REIMBURSE/ESMERALDA OSORIO</v>
      </c>
    </row>
    <row r="474" spans="1:8" x14ac:dyDescent="0.25">
      <c r="A474" t="s">
        <v>136</v>
      </c>
      <c r="B474">
        <v>4917</v>
      </c>
      <c r="C474" s="3">
        <v>305.17</v>
      </c>
      <c r="D474" s="6">
        <v>44418</v>
      </c>
      <c r="E474" t="str">
        <f>"3434315"</f>
        <v>3434315</v>
      </c>
      <c r="F474" t="str">
        <f>"ACCT#00405/PCT#2"</f>
        <v>ACCT#00405/PCT#2</v>
      </c>
      <c r="G474" s="3">
        <v>305.17</v>
      </c>
      <c r="H474" t="str">
        <f>"ACCT#00405/PCT#2"</f>
        <v>ACCT#00405/PCT#2</v>
      </c>
    </row>
    <row r="475" spans="1:8" x14ac:dyDescent="0.25">
      <c r="A475" t="s">
        <v>137</v>
      </c>
      <c r="B475">
        <v>136721</v>
      </c>
      <c r="C475" s="3">
        <v>54.41</v>
      </c>
      <c r="D475" s="6">
        <v>44431</v>
      </c>
      <c r="E475" t="str">
        <f>"202108175251"</f>
        <v>202108175251</v>
      </c>
      <c r="F475" t="str">
        <f>"INDIGENT HEALTH"</f>
        <v>INDIGENT HEALTH</v>
      </c>
      <c r="G475" s="3">
        <v>54.41</v>
      </c>
      <c r="H475" t="str">
        <f>"INDIGENT HEALTH"</f>
        <v>INDIGENT HEALTH</v>
      </c>
    </row>
    <row r="476" spans="1:8" x14ac:dyDescent="0.25">
      <c r="A476" t="s">
        <v>138</v>
      </c>
      <c r="B476">
        <v>136722</v>
      </c>
      <c r="C476" s="3">
        <v>100</v>
      </c>
      <c r="D476" s="6">
        <v>44431</v>
      </c>
      <c r="E476" t="str">
        <f>"13227"</f>
        <v>13227</v>
      </c>
      <c r="F476" t="str">
        <f>"SERVICE"</f>
        <v>SERVICE</v>
      </c>
      <c r="G476" s="3">
        <v>100</v>
      </c>
      <c r="H476" t="str">
        <f>"SERVICE"</f>
        <v>SERVICE</v>
      </c>
    </row>
    <row r="477" spans="1:8" x14ac:dyDescent="0.25">
      <c r="A477" t="s">
        <v>139</v>
      </c>
      <c r="B477">
        <v>136723</v>
      </c>
      <c r="C477" s="3">
        <v>19.239999999999998</v>
      </c>
      <c r="D477" s="6">
        <v>44431</v>
      </c>
      <c r="E477" t="str">
        <f>"7-458-82658"</f>
        <v>7-458-82658</v>
      </c>
      <c r="F477" t="str">
        <f>"INV 7-458-82658"</f>
        <v>INV 7-458-82658</v>
      </c>
      <c r="G477" s="3">
        <v>19.239999999999998</v>
      </c>
      <c r="H477" t="str">
        <f>"INV 7-458-82658"</f>
        <v>INV 7-458-82658</v>
      </c>
    </row>
    <row r="478" spans="1:8" x14ac:dyDescent="0.25">
      <c r="A478" t="s">
        <v>140</v>
      </c>
      <c r="B478">
        <v>136724</v>
      </c>
      <c r="C478" s="3">
        <v>61.85</v>
      </c>
      <c r="D478" s="6">
        <v>44431</v>
      </c>
      <c r="E478" t="str">
        <f>"9626378"</f>
        <v>9626378</v>
      </c>
      <c r="F478" t="str">
        <f>"CUST#306066/PCT#3"</f>
        <v>CUST#306066/PCT#3</v>
      </c>
      <c r="G478" s="3">
        <v>61.85</v>
      </c>
      <c r="H478" t="str">
        <f>"CUST#306066/PCT#3"</f>
        <v>CUST#306066/PCT#3</v>
      </c>
    </row>
    <row r="479" spans="1:8" x14ac:dyDescent="0.25">
      <c r="A479" t="s">
        <v>141</v>
      </c>
      <c r="B479">
        <v>136598</v>
      </c>
      <c r="C479" s="3">
        <v>247.35</v>
      </c>
      <c r="D479" s="6">
        <v>44417</v>
      </c>
      <c r="E479" t="str">
        <f>"78854418"</f>
        <v>78854418</v>
      </c>
      <c r="F479" t="str">
        <f>"ACCT#80975-002/PCT#4"</f>
        <v>ACCT#80975-002/PCT#4</v>
      </c>
      <c r="G479" s="3">
        <v>247.35</v>
      </c>
      <c r="H479" t="str">
        <f>"ACCT#80975-002/PCT#4"</f>
        <v>ACCT#80975-002/PCT#4</v>
      </c>
    </row>
    <row r="480" spans="1:8" x14ac:dyDescent="0.25">
      <c r="A480" t="s">
        <v>141</v>
      </c>
      <c r="B480">
        <v>136725</v>
      </c>
      <c r="C480" s="3">
        <v>2157.4</v>
      </c>
      <c r="D480" s="6">
        <v>44431</v>
      </c>
      <c r="E480" t="str">
        <f>"78967339"</f>
        <v>78967339</v>
      </c>
      <c r="F480" t="str">
        <f>"ACCT#80975-001/PCT#2"</f>
        <v>ACCT#80975-001/PCT#2</v>
      </c>
      <c r="G480" s="3">
        <v>150.63999999999999</v>
      </c>
      <c r="H480" t="str">
        <f>"ACCT#80975-001/PCT#2"</f>
        <v>ACCT#80975-001/PCT#2</v>
      </c>
    </row>
    <row r="481" spans="1:8" x14ac:dyDescent="0.25">
      <c r="E481" t="str">
        <f>"79612777"</f>
        <v>79612777</v>
      </c>
      <c r="F481" t="str">
        <f>"ACCT#80975-001/PCT#3"</f>
        <v>ACCT#80975-001/PCT#3</v>
      </c>
      <c r="G481" s="3">
        <v>297.24</v>
      </c>
      <c r="H481" t="str">
        <f>"ACCT#80975-001/PCT#3"</f>
        <v>ACCT#80975-001/PCT#3</v>
      </c>
    </row>
    <row r="482" spans="1:8" x14ac:dyDescent="0.25">
      <c r="E482" t="str">
        <f>"97570523"</f>
        <v>97570523</v>
      </c>
      <c r="F482" t="str">
        <f>"ACCT#80975-001/PCT#3"</f>
        <v>ACCT#80975-001/PCT#3</v>
      </c>
      <c r="G482" s="3">
        <v>1709.52</v>
      </c>
      <c r="H482" t="str">
        <f>"ACCT#80975-001/PCT#3"</f>
        <v>ACCT#80975-001/PCT#3</v>
      </c>
    </row>
    <row r="483" spans="1:8" x14ac:dyDescent="0.25">
      <c r="A483" t="s">
        <v>142</v>
      </c>
      <c r="B483">
        <v>136599</v>
      </c>
      <c r="C483" s="3">
        <v>420</v>
      </c>
      <c r="D483" s="6">
        <v>44417</v>
      </c>
      <c r="E483" t="str">
        <f>"FM12291-1-0001"</f>
        <v>FM12291-1-0001</v>
      </c>
      <c r="F483" t="str">
        <f>"ACCT#FM12291/ANIMAL SHELTER"</f>
        <v>ACCT#FM12291/ANIMAL SHELTER</v>
      </c>
      <c r="G483" s="3">
        <v>420</v>
      </c>
      <c r="H483" t="str">
        <f>"ACCT#FM12291/ANIMAL SHELTER"</f>
        <v>ACCT#FM12291/ANIMAL SHELTER</v>
      </c>
    </row>
    <row r="484" spans="1:8" x14ac:dyDescent="0.25">
      <c r="A484" t="s">
        <v>142</v>
      </c>
      <c r="B484">
        <v>136726</v>
      </c>
      <c r="C484" s="3">
        <v>930</v>
      </c>
      <c r="D484" s="6">
        <v>44431</v>
      </c>
      <c r="E484" t="str">
        <f>"FM12291"</f>
        <v>FM12291</v>
      </c>
      <c r="F484" t="str">
        <f>"ACCT#FM12291/ANIMAL SHELTER"</f>
        <v>ACCT#FM12291/ANIMAL SHELTER</v>
      </c>
      <c r="G484" s="3">
        <v>930</v>
      </c>
      <c r="H484" t="str">
        <f>"ACCT#FM12291/ANIMAL SHELTER"</f>
        <v>ACCT#FM12291/ANIMAL SHELTER</v>
      </c>
    </row>
    <row r="485" spans="1:8" x14ac:dyDescent="0.25">
      <c r="A485" t="s">
        <v>143</v>
      </c>
      <c r="B485">
        <v>4904</v>
      </c>
      <c r="C485" s="3">
        <v>500</v>
      </c>
      <c r="D485" s="6">
        <v>44418</v>
      </c>
      <c r="E485" t="str">
        <f>"202107284803"</f>
        <v>202107284803</v>
      </c>
      <c r="F485" t="str">
        <f>"BC20190510B"</f>
        <v>BC20190510B</v>
      </c>
      <c r="G485" s="3">
        <v>250</v>
      </c>
      <c r="H485" t="str">
        <f>"BC20190510B"</f>
        <v>BC20190510B</v>
      </c>
    </row>
    <row r="486" spans="1:8" x14ac:dyDescent="0.25">
      <c r="E486" t="str">
        <f>"202107284804"</f>
        <v>202107284804</v>
      </c>
      <c r="F486" t="str">
        <f>"BC20190510C"</f>
        <v>BC20190510C</v>
      </c>
      <c r="G486" s="3">
        <v>250</v>
      </c>
      <c r="H486" t="str">
        <f>"BC20190510C"</f>
        <v>BC20190510C</v>
      </c>
    </row>
    <row r="487" spans="1:8" x14ac:dyDescent="0.25">
      <c r="A487" t="s">
        <v>143</v>
      </c>
      <c r="B487">
        <v>4974</v>
      </c>
      <c r="C487" s="3">
        <v>350</v>
      </c>
      <c r="D487" s="6">
        <v>44432</v>
      </c>
      <c r="E487" t="str">
        <f>"202108115140"</f>
        <v>202108115140</v>
      </c>
      <c r="F487" t="str">
        <f>"307052021B"</f>
        <v>307052021B</v>
      </c>
      <c r="G487" s="3">
        <v>100</v>
      </c>
      <c r="H487" t="str">
        <f>"307052021B"</f>
        <v>307052021B</v>
      </c>
    </row>
    <row r="488" spans="1:8" x14ac:dyDescent="0.25">
      <c r="E488" t="str">
        <f>"202108175262"</f>
        <v>202108175262</v>
      </c>
      <c r="F488" t="str">
        <f>"57-488"</f>
        <v>57-488</v>
      </c>
      <c r="G488" s="3">
        <v>250</v>
      </c>
      <c r="H488" t="str">
        <f>"57-488"</f>
        <v>57-488</v>
      </c>
    </row>
    <row r="489" spans="1:8" x14ac:dyDescent="0.25">
      <c r="A489" t="s">
        <v>144</v>
      </c>
      <c r="B489">
        <v>4964</v>
      </c>
      <c r="C489" s="3">
        <v>873.88</v>
      </c>
      <c r="D489" s="6">
        <v>44432</v>
      </c>
      <c r="E489" t="str">
        <f>"202108185298"</f>
        <v>202108185298</v>
      </c>
      <c r="F489" t="str">
        <f>"TRAVEL ADVANCE REQUEST"</f>
        <v>TRAVEL ADVANCE REQUEST</v>
      </c>
      <c r="G489" s="3">
        <v>873.88</v>
      </c>
      <c r="H489" t="str">
        <f>"TRAVEL ADVANCE REQUEST"</f>
        <v>TRAVEL ADVANCE REQUEST</v>
      </c>
    </row>
    <row r="490" spans="1:8" x14ac:dyDescent="0.25">
      <c r="A490" t="s">
        <v>145</v>
      </c>
      <c r="B490">
        <v>4969</v>
      </c>
      <c r="C490" s="3">
        <v>2149.1999999999998</v>
      </c>
      <c r="D490" s="6">
        <v>44432</v>
      </c>
      <c r="E490" t="str">
        <f>"72377AP"</f>
        <v>72377AP</v>
      </c>
      <c r="F490" t="str">
        <f>"ACCT#3326/PCT#4"</f>
        <v>ACCT#3326/PCT#4</v>
      </c>
      <c r="G490" s="3">
        <v>1997.05</v>
      </c>
      <c r="H490" t="str">
        <f>"ACCT#3326/PCT#4"</f>
        <v>ACCT#3326/PCT#4</v>
      </c>
    </row>
    <row r="491" spans="1:8" x14ac:dyDescent="0.25">
      <c r="E491" t="str">
        <f>"72718AP"</f>
        <v>72718AP</v>
      </c>
      <c r="F491" t="str">
        <f>"ACCT#3325/PCT#2"</f>
        <v>ACCT#3325/PCT#2</v>
      </c>
      <c r="G491" s="3">
        <v>72.63</v>
      </c>
      <c r="H491" t="str">
        <f>"ACCT#3325/PCT#2"</f>
        <v>ACCT#3325/PCT#2</v>
      </c>
    </row>
    <row r="492" spans="1:8" x14ac:dyDescent="0.25">
      <c r="E492" t="str">
        <f>"72803AP"</f>
        <v>72803AP</v>
      </c>
      <c r="F492" t="str">
        <f>"ACCT#3326/PCT#4"</f>
        <v>ACCT#3326/PCT#4</v>
      </c>
      <c r="G492" s="3">
        <v>79.52</v>
      </c>
      <c r="H492" t="str">
        <f>"ACCT#3326/PCT#4"</f>
        <v>ACCT#3326/PCT#4</v>
      </c>
    </row>
    <row r="493" spans="1:8" x14ac:dyDescent="0.25">
      <c r="A493" t="s">
        <v>146</v>
      </c>
      <c r="B493">
        <v>4905</v>
      </c>
      <c r="C493" s="3">
        <v>30.72</v>
      </c>
      <c r="D493" s="6">
        <v>44418</v>
      </c>
      <c r="E493" t="str">
        <f>"114869"</f>
        <v>114869</v>
      </c>
      <c r="F493" t="str">
        <f>"BUSINESS CARDS/DEVELOPEMNT SVS"</f>
        <v>BUSINESS CARDS/DEVELOPEMNT SVS</v>
      </c>
      <c r="G493" s="3">
        <v>30.72</v>
      </c>
      <c r="H493" t="str">
        <f>"BUSINESS CARDS/DEVELOPEMNT SVS"</f>
        <v>BUSINESS CARDS/DEVELOPEMNT SVS</v>
      </c>
    </row>
    <row r="494" spans="1:8" x14ac:dyDescent="0.25">
      <c r="A494" t="s">
        <v>146</v>
      </c>
      <c r="B494">
        <v>4975</v>
      </c>
      <c r="C494" s="3">
        <v>121.57</v>
      </c>
      <c r="D494" s="6">
        <v>44432</v>
      </c>
      <c r="E494" t="str">
        <f>"114917"</f>
        <v>114917</v>
      </c>
      <c r="F494" t="str">
        <f>"INV GC 114917"</f>
        <v>INV GC 114917</v>
      </c>
      <c r="G494" s="3">
        <v>40.96</v>
      </c>
      <c r="H494" t="str">
        <f>"INV GC 114917"</f>
        <v>INV GC 114917</v>
      </c>
    </row>
    <row r="495" spans="1:8" x14ac:dyDescent="0.25">
      <c r="E495" t="str">
        <f>"114918"</f>
        <v>114918</v>
      </c>
      <c r="F495" t="str">
        <f>"INV GC 114918"</f>
        <v>INV GC 114918</v>
      </c>
      <c r="G495" s="3">
        <v>40.96</v>
      </c>
      <c r="H495" t="str">
        <f>"INV GC 114918"</f>
        <v>INV GC 114918</v>
      </c>
    </row>
    <row r="496" spans="1:8" x14ac:dyDescent="0.25">
      <c r="E496" t="str">
        <f>"114945"</f>
        <v>114945</v>
      </c>
      <c r="F496" t="str">
        <f>"INSPECTION FORMS/DEVELOPMENT S"</f>
        <v>INSPECTION FORMS/DEVELOPMENT S</v>
      </c>
      <c r="G496" s="3">
        <v>39.65</v>
      </c>
      <c r="H496" t="str">
        <f>"INSPECTION FORMS/DEVELOPMENT S"</f>
        <v>INSPECTION FORMS/DEVELOPMENT S</v>
      </c>
    </row>
    <row r="497" spans="1:8" x14ac:dyDescent="0.25">
      <c r="A497" t="s">
        <v>147</v>
      </c>
      <c r="B497">
        <v>136600</v>
      </c>
      <c r="C497" s="3">
        <v>22.96</v>
      </c>
      <c r="D497" s="6">
        <v>44417</v>
      </c>
      <c r="E497" t="str">
        <f>"018950601"</f>
        <v>018950601</v>
      </c>
      <c r="F497" t="str">
        <f>"INV 018950601"</f>
        <v>INV 018950601</v>
      </c>
      <c r="G497" s="3">
        <v>22.96</v>
      </c>
      <c r="H497" t="str">
        <f>"INV 018950601"</f>
        <v>INV 018950601</v>
      </c>
    </row>
    <row r="498" spans="1:8" x14ac:dyDescent="0.25">
      <c r="A498" t="s">
        <v>147</v>
      </c>
      <c r="B498">
        <v>136727</v>
      </c>
      <c r="C498" s="3">
        <v>1165.94</v>
      </c>
      <c r="D498" s="6">
        <v>44431</v>
      </c>
      <c r="E498" t="str">
        <f>"018131296"</f>
        <v>018131296</v>
      </c>
      <c r="F498" t="str">
        <f>"INV 018131296/018966259"</f>
        <v>INV 018131296/018966259</v>
      </c>
      <c r="G498" s="3">
        <v>34.99</v>
      </c>
      <c r="H498" t="str">
        <f>"INV 018131296"</f>
        <v>INV 018131296</v>
      </c>
    </row>
    <row r="499" spans="1:8" x14ac:dyDescent="0.25">
      <c r="E499" t="str">
        <f>""</f>
        <v/>
      </c>
      <c r="F499" t="str">
        <f>""</f>
        <v/>
      </c>
      <c r="G499" s="3">
        <v>34.99</v>
      </c>
      <c r="H499" t="str">
        <f>"INV 018966259"</f>
        <v>INV 018966259</v>
      </c>
    </row>
    <row r="500" spans="1:8" x14ac:dyDescent="0.25">
      <c r="E500" t="str">
        <f>"018966260"</f>
        <v>018966260</v>
      </c>
      <c r="F500" t="str">
        <f>"INV 018966260"</f>
        <v>INV 018966260</v>
      </c>
      <c r="G500" s="3">
        <v>24.96</v>
      </c>
      <c r="H500" t="str">
        <f>"INV 018966260"</f>
        <v>INV 018966260</v>
      </c>
    </row>
    <row r="501" spans="1:8" x14ac:dyDescent="0.25">
      <c r="E501" t="str">
        <f>"018966282"</f>
        <v>018966282</v>
      </c>
      <c r="F501" t="str">
        <f>"INV 018966282  18966295"</f>
        <v>INV 018966282  18966295</v>
      </c>
      <c r="G501" s="3">
        <v>688.5</v>
      </c>
      <c r="H501" t="str">
        <f>"INV 018966282"</f>
        <v>INV 018966282</v>
      </c>
    </row>
    <row r="502" spans="1:8" x14ac:dyDescent="0.25">
      <c r="E502" t="str">
        <f>""</f>
        <v/>
      </c>
      <c r="F502" t="str">
        <f>""</f>
        <v/>
      </c>
      <c r="G502" s="3">
        <v>382.5</v>
      </c>
      <c r="H502" t="str">
        <f>"INV 018966295"</f>
        <v>INV 018966295</v>
      </c>
    </row>
    <row r="503" spans="1:8" x14ac:dyDescent="0.25">
      <c r="A503" t="s">
        <v>148</v>
      </c>
      <c r="B503">
        <v>136601</v>
      </c>
      <c r="C503" s="3">
        <v>75</v>
      </c>
      <c r="D503" s="6">
        <v>44417</v>
      </c>
      <c r="E503" t="str">
        <f>"13309"</f>
        <v>13309</v>
      </c>
      <c r="F503" t="str">
        <f>"SERVICE"</f>
        <v>SERVICE</v>
      </c>
      <c r="G503" s="3">
        <v>75</v>
      </c>
      <c r="H503" t="str">
        <f>"SERVICE"</f>
        <v>SERVICE</v>
      </c>
    </row>
    <row r="504" spans="1:8" x14ac:dyDescent="0.25">
      <c r="A504" t="s">
        <v>149</v>
      </c>
      <c r="B504">
        <v>136602</v>
      </c>
      <c r="C504" s="3">
        <v>195</v>
      </c>
      <c r="D504" s="6">
        <v>44417</v>
      </c>
      <c r="E504" t="str">
        <f>"202108024865"</f>
        <v>202108024865</v>
      </c>
      <c r="F504" t="str">
        <f>"GCAT CONFERENCE/MARIDEL BORREG"</f>
        <v>GCAT CONFERENCE/MARIDEL BORREG</v>
      </c>
      <c r="G504" s="3">
        <v>195</v>
      </c>
      <c r="H504" t="str">
        <f>"GCAT CONFERENCE/MARIDEL BORREG"</f>
        <v>GCAT CONFERENCE/MARIDEL BORREG</v>
      </c>
    </row>
    <row r="505" spans="1:8" x14ac:dyDescent="0.25">
      <c r="A505" t="s">
        <v>150</v>
      </c>
      <c r="B505">
        <v>136728</v>
      </c>
      <c r="C505" s="3">
        <v>54.55</v>
      </c>
      <c r="D505" s="6">
        <v>44431</v>
      </c>
      <c r="E505" t="str">
        <f>"9009015505"</f>
        <v>9009015505</v>
      </c>
      <c r="F505" t="str">
        <f>"INV 9009015505"</f>
        <v>INV 9009015505</v>
      </c>
      <c r="G505" s="3">
        <v>54.55</v>
      </c>
      <c r="H505" t="str">
        <f>"INV 9009015505"</f>
        <v>INV 9009015505</v>
      </c>
    </row>
    <row r="506" spans="1:8" x14ac:dyDescent="0.25">
      <c r="A506" t="s">
        <v>151</v>
      </c>
      <c r="B506">
        <v>136603</v>
      </c>
      <c r="C506" s="3">
        <v>364.4</v>
      </c>
      <c r="D506" s="6">
        <v>44417</v>
      </c>
      <c r="E506" t="str">
        <f>"2319"</f>
        <v>2319</v>
      </c>
      <c r="F506" t="str">
        <f>"INTERPRETER"</f>
        <v>INTERPRETER</v>
      </c>
      <c r="G506" s="3">
        <v>364.4</v>
      </c>
      <c r="H506" t="str">
        <f>"INTERPRETER"</f>
        <v>INTERPRETER</v>
      </c>
    </row>
    <row r="507" spans="1:8" x14ac:dyDescent="0.25">
      <c r="A507" t="s">
        <v>151</v>
      </c>
      <c r="B507">
        <v>136729</v>
      </c>
      <c r="C507" s="3">
        <v>366.08</v>
      </c>
      <c r="D507" s="6">
        <v>44431</v>
      </c>
      <c r="E507" t="str">
        <f>"2326"</f>
        <v>2326</v>
      </c>
      <c r="F507" t="str">
        <f>"INTERPRETING/GREG E NORMAN"</f>
        <v>INTERPRETING/GREG E NORMAN</v>
      </c>
      <c r="G507" s="3">
        <v>366.08</v>
      </c>
      <c r="H507" t="str">
        <f>"INTERPRETING/GREG E NORMAN"</f>
        <v>INTERPRETING/GREG E NORMAN</v>
      </c>
    </row>
    <row r="508" spans="1:8" x14ac:dyDescent="0.25">
      <c r="A508" t="s">
        <v>152</v>
      </c>
      <c r="B508">
        <v>4906</v>
      </c>
      <c r="C508" s="3">
        <v>1468.94</v>
      </c>
      <c r="D508" s="6">
        <v>44418</v>
      </c>
      <c r="E508" t="str">
        <f>"0823622"</f>
        <v>0823622</v>
      </c>
      <c r="F508" t="str">
        <f>"INV 0853622"</f>
        <v>INV 0853622</v>
      </c>
      <c r="G508" s="3">
        <v>119.98</v>
      </c>
      <c r="H508" t="str">
        <f>"INV 0853622"</f>
        <v>INV 0853622</v>
      </c>
    </row>
    <row r="509" spans="1:8" x14ac:dyDescent="0.25">
      <c r="E509" t="str">
        <f>"0851634"</f>
        <v>0851634</v>
      </c>
      <c r="F509" t="str">
        <f>"INV 0853620/0851634"</f>
        <v>INV 0853620/0851634</v>
      </c>
      <c r="G509" s="3">
        <v>49.99</v>
      </c>
      <c r="H509" t="str">
        <f>"INV 0851634"</f>
        <v>INV 0851634</v>
      </c>
    </row>
    <row r="510" spans="1:8" x14ac:dyDescent="0.25">
      <c r="E510" t="str">
        <f>""</f>
        <v/>
      </c>
      <c r="F510" t="str">
        <f>""</f>
        <v/>
      </c>
      <c r="G510" s="3">
        <v>49.99</v>
      </c>
      <c r="H510" t="str">
        <f>"INV 0853620"</f>
        <v>INV 0853620</v>
      </c>
    </row>
    <row r="511" spans="1:8" x14ac:dyDescent="0.25">
      <c r="E511" t="str">
        <f>"0853369"</f>
        <v>0853369</v>
      </c>
      <c r="F511" t="str">
        <f>"INV 0853369"</f>
        <v>INV 0853369</v>
      </c>
      <c r="G511" s="3">
        <v>1149</v>
      </c>
      <c r="H511" t="str">
        <f>"INV 0853369"</f>
        <v>INV 0853369</v>
      </c>
    </row>
    <row r="512" spans="1:8" x14ac:dyDescent="0.25">
      <c r="E512" t="str">
        <f>"0854636"</f>
        <v>0854636</v>
      </c>
      <c r="F512" t="str">
        <f>"INV 0854636"</f>
        <v>INV 0854636</v>
      </c>
      <c r="G512" s="3">
        <v>99.98</v>
      </c>
      <c r="H512" t="str">
        <f>"INV 0854636"</f>
        <v>INV 0854636</v>
      </c>
    </row>
    <row r="513" spans="1:8" x14ac:dyDescent="0.25">
      <c r="A513" t="s">
        <v>152</v>
      </c>
      <c r="B513">
        <v>4976</v>
      </c>
      <c r="C513" s="3">
        <v>4619.28</v>
      </c>
      <c r="D513" s="6">
        <v>44432</v>
      </c>
      <c r="E513" t="str">
        <f>"0836595"</f>
        <v>0836595</v>
      </c>
      <c r="F513" t="str">
        <f>"INV 0836595/0842767"</f>
        <v>INV 0836595/0842767</v>
      </c>
      <c r="G513" s="3">
        <v>99.98</v>
      </c>
      <c r="H513" t="str">
        <f>"INV 0836595"</f>
        <v>INV 0836595</v>
      </c>
    </row>
    <row r="514" spans="1:8" x14ac:dyDescent="0.25">
      <c r="E514" t="str">
        <f>""</f>
        <v/>
      </c>
      <c r="F514" t="str">
        <f>""</f>
        <v/>
      </c>
      <c r="G514" s="3">
        <v>222.92</v>
      </c>
      <c r="H514" t="str">
        <f>"INV 0842767"</f>
        <v>INV 0842767</v>
      </c>
    </row>
    <row r="515" spans="1:8" x14ac:dyDescent="0.25">
      <c r="E515" t="str">
        <f>"0850548"</f>
        <v>0850548</v>
      </c>
      <c r="F515" t="str">
        <f>"INV 0850548/0851803/..."</f>
        <v>INV 0850548/0851803/...</v>
      </c>
      <c r="G515" s="3">
        <v>59.94</v>
      </c>
      <c r="H515" t="str">
        <f>"INV 0850548"</f>
        <v>INV 0850548</v>
      </c>
    </row>
    <row r="516" spans="1:8" x14ac:dyDescent="0.25">
      <c r="E516" t="str">
        <f>""</f>
        <v/>
      </c>
      <c r="F516" t="str">
        <f>""</f>
        <v/>
      </c>
      <c r="G516" s="3">
        <v>413.48</v>
      </c>
      <c r="H516" t="str">
        <f>"INV 0851803"</f>
        <v>INV 0851803</v>
      </c>
    </row>
    <row r="517" spans="1:8" x14ac:dyDescent="0.25">
      <c r="E517" t="str">
        <f>""</f>
        <v/>
      </c>
      <c r="F517" t="str">
        <f>""</f>
        <v/>
      </c>
      <c r="G517" s="3">
        <v>13</v>
      </c>
      <c r="H517" t="str">
        <f>"INV 0853949"</f>
        <v>INV 0853949</v>
      </c>
    </row>
    <row r="518" spans="1:8" x14ac:dyDescent="0.25">
      <c r="E518" t="str">
        <f>"0851633"</f>
        <v>0851633</v>
      </c>
      <c r="F518" t="str">
        <f>"INV 0851633/0855326/..."</f>
        <v>INV 0851633/0855326/...</v>
      </c>
      <c r="G518" s="3">
        <v>54.94</v>
      </c>
      <c r="H518" t="str">
        <f>"INV 0851633"</f>
        <v>INV 0851633</v>
      </c>
    </row>
    <row r="519" spans="1:8" x14ac:dyDescent="0.25">
      <c r="E519" t="str">
        <f>""</f>
        <v/>
      </c>
      <c r="F519" t="str">
        <f>""</f>
        <v/>
      </c>
      <c r="G519" s="3">
        <v>13</v>
      </c>
      <c r="H519" t="str">
        <f>"INV 0855326"</f>
        <v>INV 0855326</v>
      </c>
    </row>
    <row r="520" spans="1:8" x14ac:dyDescent="0.25">
      <c r="E520" t="str">
        <f>""</f>
        <v/>
      </c>
      <c r="F520" t="str">
        <f>""</f>
        <v/>
      </c>
      <c r="G520" s="3">
        <v>79.989999999999995</v>
      </c>
      <c r="H520" t="str">
        <f>"INV 0854512"</f>
        <v>INV 0854512</v>
      </c>
    </row>
    <row r="521" spans="1:8" x14ac:dyDescent="0.25">
      <c r="E521" t="str">
        <f>""</f>
        <v/>
      </c>
      <c r="F521" t="str">
        <f>""</f>
        <v/>
      </c>
      <c r="G521" s="3">
        <v>139.97999999999999</v>
      </c>
      <c r="H521" t="str">
        <f>"INV 0858684"</f>
        <v>INV 0858684</v>
      </c>
    </row>
    <row r="522" spans="1:8" x14ac:dyDescent="0.25">
      <c r="E522" t="str">
        <f>"0855776"</f>
        <v>0855776</v>
      </c>
      <c r="F522" t="str">
        <f>"INV 0855776"</f>
        <v>INV 0855776</v>
      </c>
      <c r="G522" s="3">
        <v>99.98</v>
      </c>
      <c r="H522" t="str">
        <f>"INV 0855776"</f>
        <v>INV 0855776</v>
      </c>
    </row>
    <row r="523" spans="1:8" x14ac:dyDescent="0.25">
      <c r="E523" t="str">
        <f>"0856840"</f>
        <v>0856840</v>
      </c>
      <c r="F523" t="str">
        <f>"INV0856840  INV0856379"</f>
        <v>INV0856840  INV0856379</v>
      </c>
      <c r="G523" s="3">
        <v>230.94</v>
      </c>
      <c r="H523" t="str">
        <f>"INV0856840"</f>
        <v>INV0856840</v>
      </c>
    </row>
    <row r="524" spans="1:8" x14ac:dyDescent="0.25">
      <c r="E524" t="str">
        <f>""</f>
        <v/>
      </c>
      <c r="F524" t="str">
        <f>""</f>
        <v/>
      </c>
      <c r="G524" s="3">
        <v>654.33000000000004</v>
      </c>
      <c r="H524" t="str">
        <f>"INV0856379"</f>
        <v>INV0856379</v>
      </c>
    </row>
    <row r="525" spans="1:8" x14ac:dyDescent="0.25">
      <c r="E525" t="str">
        <f>"0857178"</f>
        <v>0857178</v>
      </c>
      <c r="F525" t="str">
        <f>"INV 0857178"</f>
        <v>INV 0857178</v>
      </c>
      <c r="G525" s="3">
        <v>104.99</v>
      </c>
      <c r="H525" t="str">
        <f>"INV 0857178"</f>
        <v>INV 0857178</v>
      </c>
    </row>
    <row r="526" spans="1:8" x14ac:dyDescent="0.25">
      <c r="E526" t="str">
        <f>"0857245"</f>
        <v>0857245</v>
      </c>
      <c r="F526" t="str">
        <f>"INV 0857245"</f>
        <v>INV 0857245</v>
      </c>
      <c r="G526" s="3">
        <v>225</v>
      </c>
      <c r="H526" t="str">
        <f>"INV 0857245"</f>
        <v>INV 0857245</v>
      </c>
    </row>
    <row r="527" spans="1:8" x14ac:dyDescent="0.25">
      <c r="E527" t="str">
        <f>"0857495"</f>
        <v>0857495</v>
      </c>
      <c r="F527" t="str">
        <f>"INV 0857495"</f>
        <v>INV 0857495</v>
      </c>
      <c r="G527" s="3">
        <v>225</v>
      </c>
      <c r="H527" t="str">
        <f>"INV 0857495"</f>
        <v>INV 0857495</v>
      </c>
    </row>
    <row r="528" spans="1:8" x14ac:dyDescent="0.25">
      <c r="E528" t="str">
        <f>"0857497"</f>
        <v>0857497</v>
      </c>
      <c r="F528" t="str">
        <f>"INV 0857497"</f>
        <v>INV 0857497</v>
      </c>
      <c r="G528" s="3">
        <v>225</v>
      </c>
      <c r="H528" t="str">
        <f>"INV 0857497"</f>
        <v>INV 0857497</v>
      </c>
    </row>
    <row r="529" spans="1:8" x14ac:dyDescent="0.25">
      <c r="E529" t="str">
        <f>"0857499"</f>
        <v>0857499</v>
      </c>
      <c r="F529" t="str">
        <f>"INV 0857499"</f>
        <v>INV 0857499</v>
      </c>
      <c r="G529" s="3">
        <v>225</v>
      </c>
      <c r="H529" t="str">
        <f>"INV 0857499"</f>
        <v>INV 0857499</v>
      </c>
    </row>
    <row r="530" spans="1:8" x14ac:dyDescent="0.25">
      <c r="E530" t="str">
        <f>"0857500"</f>
        <v>0857500</v>
      </c>
      <c r="F530" t="str">
        <f>"INV 0857500"</f>
        <v>INV 0857500</v>
      </c>
      <c r="G530" s="3">
        <v>571</v>
      </c>
      <c r="H530" t="str">
        <f>"INV 0857500"</f>
        <v>INV 0857500</v>
      </c>
    </row>
    <row r="531" spans="1:8" x14ac:dyDescent="0.25">
      <c r="E531" t="str">
        <f>"0858164"</f>
        <v>0858164</v>
      </c>
      <c r="F531" t="str">
        <f>"INV 0858164"</f>
        <v>INV 0858164</v>
      </c>
      <c r="G531" s="3">
        <v>225</v>
      </c>
      <c r="H531" t="str">
        <f>"INV 0858164"</f>
        <v>INV 0858164</v>
      </c>
    </row>
    <row r="532" spans="1:8" x14ac:dyDescent="0.25">
      <c r="E532" t="str">
        <f>"0858165"</f>
        <v>0858165</v>
      </c>
      <c r="F532" t="str">
        <f>"INV 0858165"</f>
        <v>INV 0858165</v>
      </c>
      <c r="G532" s="3">
        <v>225</v>
      </c>
      <c r="H532" t="str">
        <f>"INV 0858165"</f>
        <v>INV 0858165</v>
      </c>
    </row>
    <row r="533" spans="1:8" x14ac:dyDescent="0.25">
      <c r="E533" t="str">
        <f>"0858166"</f>
        <v>0858166</v>
      </c>
      <c r="F533" t="str">
        <f>"INV 0858166"</f>
        <v>INV 0858166</v>
      </c>
      <c r="G533" s="3">
        <v>225</v>
      </c>
      <c r="H533" t="str">
        <f>"INV 0858166"</f>
        <v>INV 0858166</v>
      </c>
    </row>
    <row r="534" spans="1:8" x14ac:dyDescent="0.25">
      <c r="E534" t="str">
        <f>"B-1108"</f>
        <v>B-1108</v>
      </c>
      <c r="F534" t="str">
        <f>"Env office badge"</f>
        <v>Env office badge</v>
      </c>
      <c r="G534" s="3">
        <v>109</v>
      </c>
      <c r="H534" t="str">
        <f>"Env office badge"</f>
        <v>Env office badge</v>
      </c>
    </row>
    <row r="535" spans="1:8" x14ac:dyDescent="0.25">
      <c r="E535" t="str">
        <f>"INV0830086"</f>
        <v>INV0830086</v>
      </c>
      <c r="F535" t="str">
        <f>"INV0830086"</f>
        <v>INV0830086</v>
      </c>
      <c r="G535" s="3">
        <v>30.09</v>
      </c>
      <c r="H535" t="str">
        <f>"INV0830086"</f>
        <v>INV0830086</v>
      </c>
    </row>
    <row r="536" spans="1:8" x14ac:dyDescent="0.25">
      <c r="E536" t="str">
        <f>"INV0848985-1"</f>
        <v>INV0848985-1</v>
      </c>
      <c r="F536" t="str">
        <f>"INV0848985"</f>
        <v>INV0848985</v>
      </c>
      <c r="G536" s="3">
        <v>31.25</v>
      </c>
      <c r="H536" t="str">
        <f>"INV0848985"</f>
        <v>INV0848985</v>
      </c>
    </row>
    <row r="537" spans="1:8" x14ac:dyDescent="0.25">
      <c r="E537" t="str">
        <f>"INV0857611"</f>
        <v>INV0857611</v>
      </c>
      <c r="F537" t="str">
        <f>"INV0857611"</f>
        <v>INV0857611</v>
      </c>
      <c r="G537" s="3">
        <v>115.47</v>
      </c>
      <c r="H537" t="str">
        <f>"INV0857611"</f>
        <v>INV0857611</v>
      </c>
    </row>
    <row r="538" spans="1:8" x14ac:dyDescent="0.25">
      <c r="A538" t="s">
        <v>153</v>
      </c>
      <c r="B538">
        <v>4959</v>
      </c>
      <c r="C538" s="3">
        <v>103.39</v>
      </c>
      <c r="D538" s="6">
        <v>44432</v>
      </c>
      <c r="E538" t="str">
        <f>"24679"</f>
        <v>24679</v>
      </c>
      <c r="F538" t="str">
        <f>"Base Plate Vehicle Mount"</f>
        <v>Base Plate Vehicle Mount</v>
      </c>
      <c r="G538" s="3">
        <v>79.290000000000006</v>
      </c>
      <c r="H538" t="str">
        <f>"C-HDM-152:Base"</f>
        <v>C-HDM-152:Base</v>
      </c>
    </row>
    <row r="539" spans="1:8" x14ac:dyDescent="0.25">
      <c r="E539" t="str">
        <f>""</f>
        <v/>
      </c>
      <c r="F539" t="str">
        <f>""</f>
        <v/>
      </c>
      <c r="G539" s="3">
        <v>24.1</v>
      </c>
      <c r="H539" t="str">
        <f>"Freight Charge"</f>
        <v>Freight Charge</v>
      </c>
    </row>
    <row r="540" spans="1:8" x14ac:dyDescent="0.25">
      <c r="A540" t="s">
        <v>154</v>
      </c>
      <c r="B540">
        <v>4918</v>
      </c>
      <c r="C540" s="3">
        <v>1587.76</v>
      </c>
      <c r="D540" s="6">
        <v>44418</v>
      </c>
      <c r="E540" t="str">
        <f>"20720"</f>
        <v>20720</v>
      </c>
      <c r="F540" t="str">
        <f>"Order#UG0H6/00"</f>
        <v>Order#UG0H6/00</v>
      </c>
      <c r="G540" s="3">
        <v>328.14</v>
      </c>
      <c r="H540" t="str">
        <f>"GP89480"</f>
        <v>GP89480</v>
      </c>
    </row>
    <row r="541" spans="1:8" x14ac:dyDescent="0.25">
      <c r="E541" t="str">
        <f>""</f>
        <v/>
      </c>
      <c r="F541" t="str">
        <f>""</f>
        <v/>
      </c>
      <c r="G541" s="3">
        <v>192.08</v>
      </c>
      <c r="H541" t="str">
        <f>"GP19371"</f>
        <v>GP19371</v>
      </c>
    </row>
    <row r="542" spans="1:8" x14ac:dyDescent="0.25">
      <c r="E542" t="str">
        <f>""</f>
        <v/>
      </c>
      <c r="F542" t="str">
        <f>""</f>
        <v/>
      </c>
      <c r="G542" s="3">
        <v>62.58</v>
      </c>
      <c r="H542" t="str">
        <f>"NABC"</f>
        <v>NABC</v>
      </c>
    </row>
    <row r="543" spans="1:8" x14ac:dyDescent="0.25">
      <c r="E543" t="str">
        <f>""</f>
        <v/>
      </c>
      <c r="F543" t="str">
        <f>""</f>
        <v/>
      </c>
      <c r="G543" s="3">
        <v>161.37</v>
      </c>
      <c r="H543" t="str">
        <f>"SHINEEP5"</f>
        <v>SHINEEP5</v>
      </c>
    </row>
    <row r="544" spans="1:8" x14ac:dyDescent="0.25">
      <c r="E544" t="str">
        <f>""</f>
        <v/>
      </c>
      <c r="F544" t="str">
        <f>""</f>
        <v/>
      </c>
      <c r="G544" s="3">
        <v>43.05</v>
      </c>
      <c r="H544" t="str">
        <f>"20MSTRP"</f>
        <v>20MSTRP</v>
      </c>
    </row>
    <row r="545" spans="1:8" x14ac:dyDescent="0.25">
      <c r="E545" t="str">
        <f>""</f>
        <v/>
      </c>
      <c r="F545" t="str">
        <f>""</f>
        <v/>
      </c>
      <c r="G545" s="3">
        <v>14.63</v>
      </c>
      <c r="H545" t="str">
        <f>"20C"</f>
        <v>20C</v>
      </c>
    </row>
    <row r="546" spans="1:8" x14ac:dyDescent="0.25">
      <c r="E546" t="str">
        <f>""</f>
        <v/>
      </c>
      <c r="F546" t="str">
        <f>""</f>
        <v/>
      </c>
      <c r="G546" s="3">
        <v>81.569999999999993</v>
      </c>
      <c r="H546" t="str">
        <f>"CREWBOWLCLING"</f>
        <v>CREWBOWLCLING</v>
      </c>
    </row>
    <row r="547" spans="1:8" x14ac:dyDescent="0.25">
      <c r="E547" t="str">
        <f>""</f>
        <v/>
      </c>
      <c r="F547" t="str">
        <f>""</f>
        <v/>
      </c>
      <c r="G547" s="3">
        <v>112.24</v>
      </c>
      <c r="H547" t="str">
        <f>"DVO04437"</f>
        <v>DVO04437</v>
      </c>
    </row>
    <row r="548" spans="1:8" x14ac:dyDescent="0.25">
      <c r="E548" t="str">
        <f>"2075012"</f>
        <v>2075012</v>
      </c>
      <c r="F548" t="str">
        <f>"INV 2075012"</f>
        <v>INV 2075012</v>
      </c>
      <c r="G548" s="3">
        <v>592.1</v>
      </c>
      <c r="H548" t="str">
        <f>"INV 2075012"</f>
        <v>INV 2075012</v>
      </c>
    </row>
    <row r="549" spans="1:8" x14ac:dyDescent="0.25">
      <c r="A549" t="s">
        <v>154</v>
      </c>
      <c r="B549">
        <v>4985</v>
      </c>
      <c r="C549" s="3">
        <v>297.75</v>
      </c>
      <c r="D549" s="6">
        <v>44432</v>
      </c>
      <c r="E549" t="str">
        <f>"2058998"</f>
        <v>2058998</v>
      </c>
      <c r="F549" t="str">
        <f>"CUST#52521"</f>
        <v>CUST#52521</v>
      </c>
      <c r="G549" s="3">
        <v>27.19</v>
      </c>
      <c r="H549" t="str">
        <f>"CUST#52521"</f>
        <v>CUST#52521</v>
      </c>
    </row>
    <row r="550" spans="1:8" x14ac:dyDescent="0.25">
      <c r="E550" t="str">
        <f>"2080986"</f>
        <v>2080986</v>
      </c>
      <c r="F550" t="str">
        <f>"INV 2080986"</f>
        <v>INV 2080986</v>
      </c>
      <c r="G550" s="3">
        <v>270.56</v>
      </c>
      <c r="H550" t="str">
        <f>"INV 2080986"</f>
        <v>INV 2080986</v>
      </c>
    </row>
    <row r="551" spans="1:8" x14ac:dyDescent="0.25">
      <c r="A551" t="s">
        <v>155</v>
      </c>
      <c r="B551">
        <v>4968</v>
      </c>
      <c r="C551" s="3">
        <v>7500</v>
      </c>
      <c r="D551" s="6">
        <v>44432</v>
      </c>
      <c r="E551" t="str">
        <f>"201816"</f>
        <v>201816</v>
      </c>
      <c r="F551" t="str">
        <f>"INV 210816"</f>
        <v>INV 210816</v>
      </c>
      <c r="G551" s="3">
        <v>7500</v>
      </c>
      <c r="H551" t="str">
        <f>"INV 210816"</f>
        <v>INV 210816</v>
      </c>
    </row>
    <row r="552" spans="1:8" x14ac:dyDescent="0.25">
      <c r="A552" t="s">
        <v>156</v>
      </c>
      <c r="B552">
        <v>136604</v>
      </c>
      <c r="C552" s="3">
        <v>1563.99</v>
      </c>
      <c r="D552" s="6">
        <v>44417</v>
      </c>
      <c r="E552" t="str">
        <f>"0000287356"</f>
        <v>0000287356</v>
      </c>
      <c r="F552" t="str">
        <f>"#287356/HANSON EQUIP/PCT#3"</f>
        <v>#287356/HANSON EQUIP/PCT#3</v>
      </c>
      <c r="G552" s="3">
        <v>1563.99</v>
      </c>
      <c r="H552" t="str">
        <f>"#287356/HANSON EQUIP/PCT#3"</f>
        <v>#287356/HANSON EQUIP/PCT#3</v>
      </c>
    </row>
    <row r="553" spans="1:8" x14ac:dyDescent="0.25">
      <c r="A553" t="s">
        <v>157</v>
      </c>
      <c r="B553">
        <v>136605</v>
      </c>
      <c r="C553" s="3">
        <v>300</v>
      </c>
      <c r="D553" s="6">
        <v>44417</v>
      </c>
      <c r="E553" t="str">
        <f>"13309"</f>
        <v>13309</v>
      </c>
      <c r="F553" t="str">
        <f>"SERVICE"</f>
        <v>SERVICE</v>
      </c>
      <c r="G553" s="3">
        <v>300</v>
      </c>
      <c r="H553" t="str">
        <f>"SERVICE"</f>
        <v>SERVICE</v>
      </c>
    </row>
    <row r="554" spans="1:8" x14ac:dyDescent="0.25">
      <c r="A554" t="s">
        <v>157</v>
      </c>
      <c r="B554">
        <v>136730</v>
      </c>
      <c r="C554" s="3">
        <v>150</v>
      </c>
      <c r="D554" s="6">
        <v>44431</v>
      </c>
      <c r="E554" t="str">
        <f>"13285"</f>
        <v>13285</v>
      </c>
      <c r="F554" t="str">
        <f>"SERVICE"</f>
        <v>SERVICE</v>
      </c>
      <c r="G554" s="3">
        <v>150</v>
      </c>
      <c r="H554" t="str">
        <f>"SERVICE"</f>
        <v>SERVICE</v>
      </c>
    </row>
    <row r="555" spans="1:8" x14ac:dyDescent="0.25">
      <c r="A555" t="s">
        <v>158</v>
      </c>
      <c r="B555">
        <v>136731</v>
      </c>
      <c r="C555" s="3">
        <v>75</v>
      </c>
      <c r="D555" s="6">
        <v>44431</v>
      </c>
      <c r="E555" t="str">
        <f>"13227"</f>
        <v>13227</v>
      </c>
      <c r="F555" t="str">
        <f>"SERVICE"</f>
        <v>SERVICE</v>
      </c>
      <c r="G555" s="3">
        <v>75</v>
      </c>
      <c r="H555" t="str">
        <f>"SERVICE"</f>
        <v>SERVICE</v>
      </c>
    </row>
    <row r="556" spans="1:8" x14ac:dyDescent="0.25">
      <c r="A556" t="s">
        <v>159</v>
      </c>
      <c r="B556">
        <v>136606</v>
      </c>
      <c r="C556" s="3">
        <v>252.6</v>
      </c>
      <c r="D556" s="6">
        <v>44417</v>
      </c>
      <c r="E556" t="str">
        <f>"78712-101"</f>
        <v>78712-101</v>
      </c>
      <c r="F556" t="str">
        <f>"Headsets"</f>
        <v>Headsets</v>
      </c>
      <c r="G556" s="3">
        <v>237.6</v>
      </c>
      <c r="H556" t="str">
        <f>"78712-101"</f>
        <v>78712-101</v>
      </c>
    </row>
    <row r="557" spans="1:8" x14ac:dyDescent="0.25">
      <c r="E557" t="str">
        <f>""</f>
        <v/>
      </c>
      <c r="F557" t="str">
        <f>""</f>
        <v/>
      </c>
      <c r="G557" s="3">
        <v>15</v>
      </c>
      <c r="H557" t="str">
        <f>"Freight"</f>
        <v>Freight</v>
      </c>
    </row>
    <row r="558" spans="1:8" x14ac:dyDescent="0.25">
      <c r="A558" t="s">
        <v>160</v>
      </c>
      <c r="B558">
        <v>136732</v>
      </c>
      <c r="C558" s="3">
        <v>149.97999999999999</v>
      </c>
      <c r="D558" s="6">
        <v>44431</v>
      </c>
      <c r="E558" t="str">
        <f>"47555"</f>
        <v>47555</v>
      </c>
      <c r="F558" t="str">
        <f>"SUPPLIES/JP4 ELGIN"</f>
        <v>SUPPLIES/JP4 ELGIN</v>
      </c>
      <c r="G558" s="3">
        <v>149.97999999999999</v>
      </c>
      <c r="H558" t="str">
        <f>"SUPPLIES/JP4 ELGIN"</f>
        <v>SUPPLIES/JP4 ELGIN</v>
      </c>
    </row>
    <row r="559" spans="1:8" x14ac:dyDescent="0.25">
      <c r="A559" t="s">
        <v>161</v>
      </c>
      <c r="B559">
        <v>136607</v>
      </c>
      <c r="C559" s="3">
        <v>2277</v>
      </c>
      <c r="D559" s="6">
        <v>44417</v>
      </c>
      <c r="E559" t="str">
        <f>"202108035002"</f>
        <v>202108035002</v>
      </c>
      <c r="F559" t="str">
        <f>"LODGING"</f>
        <v>LODGING</v>
      </c>
      <c r="G559" s="3">
        <v>569.25</v>
      </c>
      <c r="H559" t="str">
        <f>"LODGING-MILLER"</f>
        <v>LODGING-MILLER</v>
      </c>
    </row>
    <row r="560" spans="1:8" x14ac:dyDescent="0.25">
      <c r="E560" t="str">
        <f>""</f>
        <v/>
      </c>
      <c r="F560" t="str">
        <f>""</f>
        <v/>
      </c>
      <c r="G560" s="3">
        <v>569.25</v>
      </c>
      <c r="H560" t="str">
        <f>"LODGING-GOMEZ"</f>
        <v>LODGING-GOMEZ</v>
      </c>
    </row>
    <row r="561" spans="1:8" x14ac:dyDescent="0.25">
      <c r="E561" t="str">
        <f>""</f>
        <v/>
      </c>
      <c r="F561" t="str">
        <f>""</f>
        <v/>
      </c>
      <c r="G561" s="3">
        <v>569.25</v>
      </c>
      <c r="H561" t="str">
        <f>"LODGING-O'GRADY"</f>
        <v>LODGING-O'GRADY</v>
      </c>
    </row>
    <row r="562" spans="1:8" x14ac:dyDescent="0.25">
      <c r="E562" t="str">
        <f>""</f>
        <v/>
      </c>
      <c r="F562" t="str">
        <f>""</f>
        <v/>
      </c>
      <c r="G562" s="3">
        <v>569.25</v>
      </c>
      <c r="H562" t="str">
        <f>"LODGING-GRIFFITH"</f>
        <v>LODGING-GRIFFITH</v>
      </c>
    </row>
    <row r="563" spans="1:8" x14ac:dyDescent="0.25">
      <c r="A563" t="s">
        <v>162</v>
      </c>
      <c r="B563">
        <v>4977</v>
      </c>
      <c r="C563" s="3">
        <v>650</v>
      </c>
      <c r="D563" s="6">
        <v>44432</v>
      </c>
      <c r="E563" t="str">
        <f>"202108175278"</f>
        <v>202108175278</v>
      </c>
      <c r="F563" t="str">
        <f>"BASCOM L HODGES JR"</f>
        <v>BASCOM L HODGES JR</v>
      </c>
      <c r="G563" s="3">
        <v>650</v>
      </c>
      <c r="H563" t="str">
        <f>""</f>
        <v/>
      </c>
    </row>
    <row r="564" spans="1:8" x14ac:dyDescent="0.25">
      <c r="A564" t="s">
        <v>163</v>
      </c>
      <c r="B564">
        <v>136608</v>
      </c>
      <c r="C564" s="3">
        <v>397.5</v>
      </c>
      <c r="D564" s="6">
        <v>44417</v>
      </c>
      <c r="E564" t="str">
        <f>"202107284795"</f>
        <v>202107284795</v>
      </c>
      <c r="F564" t="str">
        <f>"21-20814"</f>
        <v>21-20814</v>
      </c>
      <c r="G564" s="3">
        <v>150</v>
      </c>
      <c r="H564" t="str">
        <f>"21-20814"</f>
        <v>21-20814</v>
      </c>
    </row>
    <row r="565" spans="1:8" x14ac:dyDescent="0.25">
      <c r="E565" t="str">
        <f>"202107284796"</f>
        <v>202107284796</v>
      </c>
      <c r="F565" t="str">
        <f>"21-20815"</f>
        <v>21-20815</v>
      </c>
      <c r="G565" s="3">
        <v>150</v>
      </c>
      <c r="H565" t="str">
        <f>"21-20815"</f>
        <v>21-20815</v>
      </c>
    </row>
    <row r="566" spans="1:8" x14ac:dyDescent="0.25">
      <c r="E566" t="str">
        <f>"202107284797"</f>
        <v>202107284797</v>
      </c>
      <c r="F566" t="str">
        <f>"20-20377"</f>
        <v>20-20377</v>
      </c>
      <c r="G566" s="3">
        <v>75</v>
      </c>
      <c r="H566" t="str">
        <f>"20-20377"</f>
        <v>20-20377</v>
      </c>
    </row>
    <row r="567" spans="1:8" x14ac:dyDescent="0.25">
      <c r="E567" t="str">
        <f>"202107284798"</f>
        <v>202107284798</v>
      </c>
      <c r="F567" t="str">
        <f>"21-20565"</f>
        <v>21-20565</v>
      </c>
      <c r="G567" s="3">
        <v>22.5</v>
      </c>
      <c r="H567" t="str">
        <f>"21-20565"</f>
        <v>21-20565</v>
      </c>
    </row>
    <row r="568" spans="1:8" x14ac:dyDescent="0.25">
      <c r="A568" t="s">
        <v>164</v>
      </c>
      <c r="B568">
        <v>136733</v>
      </c>
      <c r="C568" s="3">
        <v>287</v>
      </c>
      <c r="D568" s="6">
        <v>44431</v>
      </c>
      <c r="E568" t="str">
        <f>"202108165217"</f>
        <v>202108165217</v>
      </c>
      <c r="F568" t="str">
        <f>"COURT REPORTING/HOLLY SCHULZ"</f>
        <v>COURT REPORTING/HOLLY SCHULZ</v>
      </c>
      <c r="G568" s="3">
        <v>287</v>
      </c>
      <c r="H568" t="str">
        <f>"COURT REPORTING/HOLLY SCHULZ"</f>
        <v>COURT REPORTING/HOLLY SCHULZ</v>
      </c>
    </row>
    <row r="569" spans="1:8" x14ac:dyDescent="0.25">
      <c r="A569" t="s">
        <v>165</v>
      </c>
      <c r="B569">
        <v>4907</v>
      </c>
      <c r="C569" s="3">
        <v>1767.81</v>
      </c>
      <c r="D569" s="6">
        <v>44418</v>
      </c>
      <c r="E569" t="str">
        <f>"PIM60064257"</f>
        <v>PIM60064257</v>
      </c>
      <c r="F569" t="str">
        <f>"CUST#0129050/PCT#1"</f>
        <v>CUST#0129050/PCT#1</v>
      </c>
      <c r="G569" s="3">
        <v>92.94</v>
      </c>
      <c r="H569" t="str">
        <f>"CUST#0129050/PCT#1"</f>
        <v>CUST#0129050/PCT#1</v>
      </c>
    </row>
    <row r="570" spans="1:8" x14ac:dyDescent="0.25">
      <c r="E570" t="str">
        <f>"PIMA0359316"</f>
        <v>PIMA0359316</v>
      </c>
      <c r="F570" t="str">
        <f>"CUST#0129150/PCT#3"</f>
        <v>CUST#0129150/PCT#3</v>
      </c>
      <c r="G570" s="3">
        <v>1674.87</v>
      </c>
      <c r="H570" t="str">
        <f>"CUST#0129150/PCT#3"</f>
        <v>CUST#0129150/PCT#3</v>
      </c>
    </row>
    <row r="571" spans="1:8" x14ac:dyDescent="0.25">
      <c r="A571" t="s">
        <v>166</v>
      </c>
      <c r="B571">
        <v>4892</v>
      </c>
      <c r="C571" s="3">
        <v>305</v>
      </c>
      <c r="D571" s="6">
        <v>44418</v>
      </c>
      <c r="E571" t="str">
        <f>"0552221025"</f>
        <v>0552221025</v>
      </c>
      <c r="F571" t="str">
        <f>"CUST#212645"</f>
        <v>CUST#212645</v>
      </c>
      <c r="G571" s="3">
        <v>90</v>
      </c>
      <c r="H571" t="str">
        <f>"CUST#212645"</f>
        <v>CUST#212645</v>
      </c>
    </row>
    <row r="572" spans="1:8" x14ac:dyDescent="0.25">
      <c r="E572" t="str">
        <f>"055222379"</f>
        <v>055222379</v>
      </c>
      <c r="F572" t="str">
        <f>"CUST#212645"</f>
        <v>CUST#212645</v>
      </c>
      <c r="G572" s="3">
        <v>215</v>
      </c>
      <c r="H572" t="str">
        <f>"CUST#212645"</f>
        <v>CUST#212645</v>
      </c>
    </row>
    <row r="573" spans="1:8" x14ac:dyDescent="0.25">
      <c r="A573" t="s">
        <v>167</v>
      </c>
      <c r="B573">
        <v>136609</v>
      </c>
      <c r="C573" s="3">
        <v>2445</v>
      </c>
      <c r="D573" s="6">
        <v>44417</v>
      </c>
      <c r="E573" t="str">
        <f>"2676"</f>
        <v>2676</v>
      </c>
      <c r="F573" t="str">
        <f>"MINI MICROCHIPS/ANIMAL SHELTER"</f>
        <v>MINI MICROCHIPS/ANIMAL SHELTER</v>
      </c>
      <c r="G573" s="3">
        <v>2445</v>
      </c>
      <c r="H573" t="str">
        <f>"MINI MICROCHIPS/ANIMAL SHELTER"</f>
        <v>MINI MICROCHIPS/ANIMAL SHELTER</v>
      </c>
    </row>
    <row r="574" spans="1:8" x14ac:dyDescent="0.25">
      <c r="A574" t="s">
        <v>168</v>
      </c>
      <c r="B574">
        <v>4890</v>
      </c>
      <c r="C574" s="3">
        <v>522.5</v>
      </c>
      <c r="D574" s="6">
        <v>44418</v>
      </c>
      <c r="E574" t="str">
        <f>"BCAS07012021"</f>
        <v>BCAS07012021</v>
      </c>
      <c r="F574" t="str">
        <f>"SHELTERLUV SOFTWARE"</f>
        <v>SHELTERLUV SOFTWARE</v>
      </c>
      <c r="G574" s="3">
        <v>522.5</v>
      </c>
      <c r="H574" t="str">
        <f>"SHELTERLUV SOFTWARE"</f>
        <v>SHELTERLUV SOFTWARE</v>
      </c>
    </row>
    <row r="575" spans="1:8" x14ac:dyDescent="0.25">
      <c r="A575" t="s">
        <v>169</v>
      </c>
      <c r="B575">
        <v>136610</v>
      </c>
      <c r="C575" s="3">
        <v>2374</v>
      </c>
      <c r="D575" s="6">
        <v>44417</v>
      </c>
      <c r="E575" t="str">
        <f>"WI-31824-H0V8"</f>
        <v>WI-31824-H0V8</v>
      </c>
      <c r="F575" t="str">
        <f>"AGREEMENT#001725"</f>
        <v>AGREEMENT#001725</v>
      </c>
      <c r="G575" s="3">
        <v>2374</v>
      </c>
      <c r="H575" t="str">
        <f>"AGREEMENT#001725"</f>
        <v>AGREEMENT#001725</v>
      </c>
    </row>
    <row r="576" spans="1:8" x14ac:dyDescent="0.25">
      <c r="A576" t="s">
        <v>169</v>
      </c>
      <c r="B576">
        <v>136734</v>
      </c>
      <c r="C576" s="3">
        <v>5626.18</v>
      </c>
      <c r="D576" s="6">
        <v>44431</v>
      </c>
      <c r="E576" t="str">
        <f>"WI-32716-S6D6"</f>
        <v>WI-32716-S6D6</v>
      </c>
      <c r="F576" t="str">
        <f>"INV WI-32716-S6D6"</f>
        <v>INV WI-32716-S6D6</v>
      </c>
      <c r="G576" s="3">
        <v>1063.75</v>
      </c>
      <c r="H576" t="str">
        <f>"INV WI-32716-S6D6"</f>
        <v>INV WI-32716-S6D6</v>
      </c>
    </row>
    <row r="577" spans="1:8" x14ac:dyDescent="0.25">
      <c r="E577" t="str">
        <f>"WI-32718-V7P9"</f>
        <v>WI-32718-V7P9</v>
      </c>
      <c r="F577" t="str">
        <f>"INV WI-32718-V7P9"</f>
        <v>INV WI-32718-V7P9</v>
      </c>
      <c r="G577" s="3">
        <v>737.5</v>
      </c>
      <c r="H577" t="str">
        <f>"INV WI-32718-V7P9"</f>
        <v>INV WI-32718-V7P9</v>
      </c>
    </row>
    <row r="578" spans="1:8" x14ac:dyDescent="0.25">
      <c r="E578" t="str">
        <f>"WI-32719-X7G1"</f>
        <v>WI-32719-X7G1</v>
      </c>
      <c r="F578" t="str">
        <f>"INV WI-32719-X7G1"</f>
        <v>INV WI-32719-X7G1</v>
      </c>
      <c r="G578" s="3">
        <v>3824.93</v>
      </c>
      <c r="H578" t="str">
        <f>"INV WI-32719-X7G1"</f>
        <v>INV WI-32719-X7G1</v>
      </c>
    </row>
    <row r="579" spans="1:8" x14ac:dyDescent="0.25">
      <c r="A579" t="s">
        <v>170</v>
      </c>
      <c r="B579">
        <v>4946</v>
      </c>
      <c r="C579" s="3">
        <v>977.98</v>
      </c>
      <c r="D579" s="6">
        <v>44432</v>
      </c>
      <c r="E579" t="str">
        <f>"207095"</f>
        <v>207095</v>
      </c>
      <c r="F579" t="str">
        <f>"WIRE HOSE/WILDFIRE"</f>
        <v>WIRE HOSE/WILDFIRE</v>
      </c>
      <c r="G579" s="3">
        <v>199.26</v>
      </c>
      <c r="H579" t="str">
        <f>"WIRE HOSE/WILDFIRE"</f>
        <v>WIRE HOSE/WILDFIRE</v>
      </c>
    </row>
    <row r="580" spans="1:8" x14ac:dyDescent="0.25">
      <c r="E580" t="str">
        <f>"207603"</f>
        <v>207603</v>
      </c>
      <c r="F580" t="str">
        <f>"HYDRAULIC CYLINDER REPAIR/PCT3"</f>
        <v>HYDRAULIC CYLINDER REPAIR/PCT3</v>
      </c>
      <c r="G580" s="3">
        <v>731.04</v>
      </c>
      <c r="H580" t="str">
        <f>"HYDRAULIC CYLINDER REPAIR/PCT3"</f>
        <v>HYDRAULIC CYLINDER REPAIR/PCT3</v>
      </c>
    </row>
    <row r="581" spans="1:8" x14ac:dyDescent="0.25">
      <c r="E581" t="str">
        <f>"207683"</f>
        <v>207683</v>
      </c>
      <c r="F581" t="str">
        <f>"SUPPLIES/PCT#3"</f>
        <v>SUPPLIES/PCT#3</v>
      </c>
      <c r="G581" s="3">
        <v>47.68</v>
      </c>
      <c r="H581" t="str">
        <f>"SUPPLIES/PCT#3"</f>
        <v>SUPPLIES/PCT#3</v>
      </c>
    </row>
    <row r="582" spans="1:8" x14ac:dyDescent="0.25">
      <c r="A582" t="s">
        <v>171</v>
      </c>
      <c r="B582">
        <v>136735</v>
      </c>
      <c r="C582" s="3">
        <v>464.7</v>
      </c>
      <c r="D582" s="6">
        <v>44431</v>
      </c>
      <c r="E582" t="str">
        <f>"202108185293"</f>
        <v>202108185293</v>
      </c>
      <c r="F582" t="str">
        <f>"ACCT#187947/ANIMAL SHELTER"</f>
        <v>ACCT#187947/ANIMAL SHELTER</v>
      </c>
      <c r="G582" s="3">
        <v>464.7</v>
      </c>
      <c r="H582" t="str">
        <f>"ACCT#187947/ANIMAL SHELTER"</f>
        <v>ACCT#187947/ANIMAL SHELTER</v>
      </c>
    </row>
    <row r="583" spans="1:8" x14ac:dyDescent="0.25">
      <c r="A583" t="s">
        <v>172</v>
      </c>
      <c r="B583">
        <v>4981</v>
      </c>
      <c r="C583" s="3">
        <v>2430</v>
      </c>
      <c r="D583" s="6">
        <v>44432</v>
      </c>
      <c r="E583" t="str">
        <f>"72130"</f>
        <v>72130</v>
      </c>
      <c r="F583" t="str">
        <f>"SEPTEMBER/INDIGET HEALTH"</f>
        <v>SEPTEMBER/INDIGET HEALTH</v>
      </c>
      <c r="G583" s="3">
        <v>1973</v>
      </c>
      <c r="H583" t="str">
        <f>"SEPTEMBER/INDIGET HEALTH"</f>
        <v>SEPTEMBER/INDIGET HEALTH</v>
      </c>
    </row>
    <row r="584" spans="1:8" x14ac:dyDescent="0.25">
      <c r="E584" t="str">
        <f>""</f>
        <v/>
      </c>
      <c r="F584" t="str">
        <f>""</f>
        <v/>
      </c>
      <c r="G584" s="3">
        <v>457</v>
      </c>
      <c r="H584" t="str">
        <f>"SEPTEMBER/INDIGET HEALTH"</f>
        <v>SEPTEMBER/INDIGET HEALTH</v>
      </c>
    </row>
    <row r="585" spans="1:8" x14ac:dyDescent="0.25">
      <c r="A585" t="s">
        <v>173</v>
      </c>
      <c r="B585">
        <v>136611</v>
      </c>
      <c r="C585" s="3">
        <v>171.04</v>
      </c>
      <c r="D585" s="6">
        <v>44417</v>
      </c>
      <c r="E585" t="str">
        <f>"DVGT277"</f>
        <v>DVGT277</v>
      </c>
      <c r="F585" t="str">
        <f>"CUST#AX773/COUNTY CLERK"</f>
        <v>CUST#AX773/COUNTY CLERK</v>
      </c>
      <c r="G585" s="3">
        <v>171.04</v>
      </c>
      <c r="H585" t="str">
        <f>"CUST#AX773/COUNTY CLERK"</f>
        <v>CUST#AX773/COUNTY CLERK</v>
      </c>
    </row>
    <row r="586" spans="1:8" x14ac:dyDescent="0.25">
      <c r="A586" t="s">
        <v>174</v>
      </c>
      <c r="B586">
        <v>136612</v>
      </c>
      <c r="C586" s="3">
        <v>105</v>
      </c>
      <c r="D586" s="6">
        <v>44417</v>
      </c>
      <c r="E586" t="str">
        <f>"202107294817"</f>
        <v>202107294817</v>
      </c>
      <c r="F586" t="str">
        <f>"REIMBURSE/JAMES K ALTGELT"</f>
        <v>REIMBURSE/JAMES K ALTGELT</v>
      </c>
      <c r="G586" s="3">
        <v>105</v>
      </c>
      <c r="H586" t="str">
        <f>"REIMBURSE/JAMES K ALTGELT"</f>
        <v>REIMBURSE/JAMES K ALTGELT</v>
      </c>
    </row>
    <row r="587" spans="1:8" x14ac:dyDescent="0.25">
      <c r="A587" t="s">
        <v>175</v>
      </c>
      <c r="B587">
        <v>4923</v>
      </c>
      <c r="C587" s="3">
        <v>150</v>
      </c>
      <c r="D587" s="6">
        <v>44418</v>
      </c>
      <c r="E587" t="str">
        <f>"12892"</f>
        <v>12892</v>
      </c>
      <c r="F587" t="str">
        <f>"AD LITEM FEE"</f>
        <v>AD LITEM FEE</v>
      </c>
      <c r="G587" s="3">
        <v>150</v>
      </c>
      <c r="H587" t="str">
        <f>"AD LITEM FEE"</f>
        <v>AD LITEM FEE</v>
      </c>
    </row>
    <row r="588" spans="1:8" x14ac:dyDescent="0.25">
      <c r="A588" t="s">
        <v>175</v>
      </c>
      <c r="B588">
        <v>4990</v>
      </c>
      <c r="C588" s="3">
        <v>602.21</v>
      </c>
      <c r="D588" s="6">
        <v>44432</v>
      </c>
      <c r="E588" t="str">
        <f>"13094"</f>
        <v>13094</v>
      </c>
      <c r="F588" t="str">
        <f>"AD LITEM FEE"</f>
        <v>AD LITEM FEE</v>
      </c>
      <c r="G588" s="3">
        <v>150</v>
      </c>
      <c r="H588" t="str">
        <f>"AD LITEM FEE"</f>
        <v>AD LITEM FEE</v>
      </c>
    </row>
    <row r="589" spans="1:8" x14ac:dyDescent="0.25">
      <c r="E589" t="str">
        <f>"13227"</f>
        <v>13227</v>
      </c>
      <c r="F589" t="str">
        <f>"AD LITME FEE"</f>
        <v>AD LITME FEE</v>
      </c>
      <c r="G589" s="3">
        <v>150</v>
      </c>
      <c r="H589" t="str">
        <f>"AD LITME FEE"</f>
        <v>AD LITME FEE</v>
      </c>
    </row>
    <row r="590" spans="1:8" x14ac:dyDescent="0.25">
      <c r="E590" t="str">
        <f>"13464"</f>
        <v>13464</v>
      </c>
      <c r="F590" t="str">
        <f>"AD LITEM FEE"</f>
        <v>AD LITEM FEE</v>
      </c>
      <c r="G590" s="3">
        <v>52.21</v>
      </c>
      <c r="H590" t="str">
        <f>"AD LITEM FEE"</f>
        <v>AD LITEM FEE</v>
      </c>
    </row>
    <row r="591" spans="1:8" x14ac:dyDescent="0.25">
      <c r="E591" t="str">
        <f>"202108115123"</f>
        <v>202108115123</v>
      </c>
      <c r="F591" t="str">
        <f>"02-1226-2"</f>
        <v>02-1226-2</v>
      </c>
      <c r="G591" s="3">
        <v>250</v>
      </c>
      <c r="H591" t="str">
        <f>"02-1226-2"</f>
        <v>02-1226-2</v>
      </c>
    </row>
    <row r="592" spans="1:8" x14ac:dyDescent="0.25">
      <c r="A592" t="s">
        <v>176</v>
      </c>
      <c r="B592">
        <v>136613</v>
      </c>
      <c r="C592" s="3">
        <v>15</v>
      </c>
      <c r="D592" s="6">
        <v>44417</v>
      </c>
      <c r="E592" t="str">
        <f>"202107304839"</f>
        <v>202107304839</v>
      </c>
      <c r="F592" t="str">
        <f>"OVERPAYMENT/JERRY STEDMAN"</f>
        <v>OVERPAYMENT/JERRY STEDMAN</v>
      </c>
      <c r="G592" s="3">
        <v>15</v>
      </c>
      <c r="H592" t="str">
        <f>"OVERPAYMENT/JERRY STEDMAN"</f>
        <v>OVERPAYMENT/JERRY STEDMAN</v>
      </c>
    </row>
    <row r="593" spans="1:8" x14ac:dyDescent="0.25">
      <c r="A593" t="s">
        <v>177</v>
      </c>
      <c r="B593">
        <v>136736</v>
      </c>
      <c r="C593" s="3">
        <v>185</v>
      </c>
      <c r="D593" s="6">
        <v>44431</v>
      </c>
      <c r="E593" t="str">
        <f>"202108115193"</f>
        <v>202108115193</v>
      </c>
      <c r="F593" t="str">
        <f>"PER DIEM"</f>
        <v>PER DIEM</v>
      </c>
      <c r="G593" s="3">
        <v>185</v>
      </c>
      <c r="H593" t="str">
        <f>"PER DIEM"</f>
        <v>PER DIEM</v>
      </c>
    </row>
    <row r="594" spans="1:8" x14ac:dyDescent="0.25">
      <c r="A594" t="s">
        <v>178</v>
      </c>
      <c r="B594">
        <v>136737</v>
      </c>
      <c r="C594" s="3">
        <v>25</v>
      </c>
      <c r="D594" s="6">
        <v>44431</v>
      </c>
      <c r="E594" t="str">
        <f>"13-163 7-6-21"</f>
        <v>13-163 7-6-21</v>
      </c>
      <c r="F594" t="str">
        <f>"RESTITUTION - MARCUS MANZANARE"</f>
        <v>RESTITUTION - MARCUS MANZANARE</v>
      </c>
      <c r="G594" s="3">
        <v>25</v>
      </c>
      <c r="H594" t="str">
        <f>"RESTITUTION - MARCUS MANZANARE"</f>
        <v>RESTITUTION - MARCUS MANZANARE</v>
      </c>
    </row>
    <row r="595" spans="1:8" x14ac:dyDescent="0.25">
      <c r="A595" t="s">
        <v>179</v>
      </c>
      <c r="B595">
        <v>136614</v>
      </c>
      <c r="C595" s="3">
        <v>1625</v>
      </c>
      <c r="D595" s="6">
        <v>44417</v>
      </c>
      <c r="E595" t="str">
        <f>"202107274769"</f>
        <v>202107274769</v>
      </c>
      <c r="F595" t="str">
        <f>"57-440"</f>
        <v>57-440</v>
      </c>
      <c r="G595" s="3">
        <v>250</v>
      </c>
      <c r="H595" t="str">
        <f>"57-440"</f>
        <v>57-440</v>
      </c>
    </row>
    <row r="596" spans="1:8" x14ac:dyDescent="0.25">
      <c r="E596" t="str">
        <f>"202107274770"</f>
        <v>202107274770</v>
      </c>
      <c r="F596" t="str">
        <f>"54-145 54-1463"</f>
        <v>54-145 54-1463</v>
      </c>
      <c r="G596" s="3">
        <v>375</v>
      </c>
      <c r="H596" t="str">
        <f>"54-145 54-1463"</f>
        <v>54-145 54-1463</v>
      </c>
    </row>
    <row r="597" spans="1:8" x14ac:dyDescent="0.25">
      <c r="E597" t="str">
        <f>"202107274771"</f>
        <v>202107274771</v>
      </c>
      <c r="F597" t="str">
        <f>"57-565"</f>
        <v>57-565</v>
      </c>
      <c r="G597" s="3">
        <v>250</v>
      </c>
      <c r="H597" t="str">
        <f>"57-565"</f>
        <v>57-565</v>
      </c>
    </row>
    <row r="598" spans="1:8" x14ac:dyDescent="0.25">
      <c r="E598" t="str">
        <f>"202107274772"</f>
        <v>202107274772</v>
      </c>
      <c r="F598" t="str">
        <f>"20190075"</f>
        <v>20190075</v>
      </c>
      <c r="G598" s="3">
        <v>250</v>
      </c>
      <c r="H598" t="str">
        <f>"20190075"</f>
        <v>20190075</v>
      </c>
    </row>
    <row r="599" spans="1:8" x14ac:dyDescent="0.25">
      <c r="E599" t="str">
        <f>"202107274773"</f>
        <v>202107274773</v>
      </c>
      <c r="F599" t="str">
        <f>"57-643"</f>
        <v>57-643</v>
      </c>
      <c r="G599" s="3">
        <v>250</v>
      </c>
      <c r="H599" t="str">
        <f>"57-643"</f>
        <v>57-643</v>
      </c>
    </row>
    <row r="600" spans="1:8" x14ac:dyDescent="0.25">
      <c r="E600" t="str">
        <f>"202107274774"</f>
        <v>202107274774</v>
      </c>
      <c r="F600" t="str">
        <f>"02-0213.3"</f>
        <v>02-0213.3</v>
      </c>
      <c r="G600" s="3">
        <v>250</v>
      </c>
      <c r="H600" t="str">
        <f>"02-0213.3"</f>
        <v>02-0213.3</v>
      </c>
    </row>
    <row r="601" spans="1:8" x14ac:dyDescent="0.25">
      <c r="A601" t="s">
        <v>179</v>
      </c>
      <c r="B601">
        <v>136738</v>
      </c>
      <c r="C601" s="3">
        <v>1075</v>
      </c>
      <c r="D601" s="6">
        <v>44431</v>
      </c>
      <c r="E601" t="str">
        <f>"202108165229"</f>
        <v>202108165229</v>
      </c>
      <c r="F601" t="str">
        <f>"20190330A"</f>
        <v>20190330A</v>
      </c>
      <c r="G601" s="3">
        <v>325</v>
      </c>
      <c r="H601" t="str">
        <f>"20190330A"</f>
        <v>20190330A</v>
      </c>
    </row>
    <row r="602" spans="1:8" x14ac:dyDescent="0.25">
      <c r="E602" t="str">
        <f>"202108165230"</f>
        <v>202108165230</v>
      </c>
      <c r="F602" t="str">
        <f>"303122021"</f>
        <v>303122021</v>
      </c>
      <c r="G602" s="3">
        <v>250</v>
      </c>
      <c r="H602" t="str">
        <f>"303122021"</f>
        <v>303122021</v>
      </c>
    </row>
    <row r="603" spans="1:8" x14ac:dyDescent="0.25">
      <c r="E603" t="str">
        <f>"202108165231"</f>
        <v>202108165231</v>
      </c>
      <c r="F603" t="str">
        <f>"57-805"</f>
        <v>57-805</v>
      </c>
      <c r="G603" s="3">
        <v>250</v>
      </c>
      <c r="H603" t="str">
        <f>"57-805"</f>
        <v>57-805</v>
      </c>
    </row>
    <row r="604" spans="1:8" x14ac:dyDescent="0.25">
      <c r="E604" t="str">
        <f>"202108165232"</f>
        <v>202108165232</v>
      </c>
      <c r="F604" t="str">
        <f>"57-590"</f>
        <v>57-590</v>
      </c>
      <c r="G604" s="3">
        <v>250</v>
      </c>
      <c r="H604" t="str">
        <f>"57-590"</f>
        <v>57-590</v>
      </c>
    </row>
    <row r="605" spans="1:8" x14ac:dyDescent="0.25">
      <c r="A605" t="s">
        <v>180</v>
      </c>
      <c r="B605">
        <v>4916</v>
      </c>
      <c r="C605" s="3">
        <v>1750</v>
      </c>
      <c r="D605" s="6">
        <v>44418</v>
      </c>
      <c r="E605" t="str">
        <f>"202107274760"</f>
        <v>202107274760</v>
      </c>
      <c r="F605" t="str">
        <f>"1830-21"</f>
        <v>1830-21</v>
      </c>
      <c r="G605" s="3">
        <v>100</v>
      </c>
      <c r="H605" t="str">
        <f>"1830-21"</f>
        <v>1830-21</v>
      </c>
    </row>
    <row r="606" spans="1:8" x14ac:dyDescent="0.25">
      <c r="E606" t="str">
        <f>"202107274761"</f>
        <v>202107274761</v>
      </c>
      <c r="F606" t="str">
        <f>"4010121.7"</f>
        <v>4010121.7</v>
      </c>
      <c r="G606" s="3">
        <v>400</v>
      </c>
      <c r="H606" t="str">
        <f>"4010121.7"</f>
        <v>4010121.7</v>
      </c>
    </row>
    <row r="607" spans="1:8" x14ac:dyDescent="0.25">
      <c r="E607" t="str">
        <f>"202107274762"</f>
        <v>202107274762</v>
      </c>
      <c r="F607" t="str">
        <f>"423-7899"</f>
        <v>423-7899</v>
      </c>
      <c r="G607" s="3">
        <v>100</v>
      </c>
      <c r="H607" t="str">
        <f>"423-7899"</f>
        <v>423-7899</v>
      </c>
    </row>
    <row r="608" spans="1:8" x14ac:dyDescent="0.25">
      <c r="E608" t="str">
        <f>"202107274763"</f>
        <v>202107274763</v>
      </c>
      <c r="F608" t="str">
        <f>"DCPC-21-035 423-7903"</f>
        <v>DCPC-21-035 423-7903</v>
      </c>
      <c r="G608" s="3">
        <v>200</v>
      </c>
      <c r="H608" t="str">
        <f>"DCPC-21-035 423-7903"</f>
        <v>DCPC-21-035 423-7903</v>
      </c>
    </row>
    <row r="609" spans="1:8" x14ac:dyDescent="0.25">
      <c r="E609" t="str">
        <f>"202107274764"</f>
        <v>202107274764</v>
      </c>
      <c r="F609" t="str">
        <f>"1834-335"</f>
        <v>1834-335</v>
      </c>
      <c r="G609" s="3">
        <v>100</v>
      </c>
      <c r="H609" t="str">
        <f>"1834-335"</f>
        <v>1834-335</v>
      </c>
    </row>
    <row r="610" spans="1:8" x14ac:dyDescent="0.25">
      <c r="E610" t="str">
        <f>"202107304823"</f>
        <v>202107304823</v>
      </c>
      <c r="F610" t="str">
        <f>"57079"</f>
        <v>57079</v>
      </c>
      <c r="G610" s="3">
        <v>250</v>
      </c>
      <c r="H610" t="str">
        <f>"57079"</f>
        <v>57079</v>
      </c>
    </row>
    <row r="611" spans="1:8" x14ac:dyDescent="0.25">
      <c r="E611" t="str">
        <f>"202107304824"</f>
        <v>202107304824</v>
      </c>
      <c r="F611" t="str">
        <f>"21-20672"</f>
        <v>21-20672</v>
      </c>
      <c r="G611" s="3">
        <v>100</v>
      </c>
      <c r="H611" t="str">
        <f>"21-20672"</f>
        <v>21-20672</v>
      </c>
    </row>
    <row r="612" spans="1:8" x14ac:dyDescent="0.25">
      <c r="E612" t="str">
        <f>"202107304825"</f>
        <v>202107304825</v>
      </c>
      <c r="F612" t="str">
        <f>"101262019G"</f>
        <v>101262019G</v>
      </c>
      <c r="G612" s="3">
        <v>250</v>
      </c>
      <c r="H612" t="str">
        <f>"101262019G"</f>
        <v>101262019G</v>
      </c>
    </row>
    <row r="613" spans="1:8" x14ac:dyDescent="0.25">
      <c r="E613" t="str">
        <f>"202107304826"</f>
        <v>202107304826</v>
      </c>
      <c r="F613" t="str">
        <f>"CC20190511.C"</f>
        <v>CC20190511.C</v>
      </c>
      <c r="G613" s="3">
        <v>250</v>
      </c>
      <c r="H613" t="str">
        <f>"CC20190511.C"</f>
        <v>CC20190511.C</v>
      </c>
    </row>
    <row r="614" spans="1:8" x14ac:dyDescent="0.25">
      <c r="A614" t="s">
        <v>180</v>
      </c>
      <c r="B614">
        <v>4984</v>
      </c>
      <c r="C614" s="3">
        <v>3400</v>
      </c>
      <c r="D614" s="6">
        <v>44432</v>
      </c>
      <c r="E614" t="str">
        <f>"202108115131"</f>
        <v>202108115131</v>
      </c>
      <c r="F614" t="str">
        <f>"57604"</f>
        <v>57604</v>
      </c>
      <c r="G614" s="3">
        <v>500</v>
      </c>
      <c r="H614" t="str">
        <f>"57604"</f>
        <v>57604</v>
      </c>
    </row>
    <row r="615" spans="1:8" x14ac:dyDescent="0.25">
      <c r="E615" t="str">
        <f>"202108115132"</f>
        <v>202108115132</v>
      </c>
      <c r="F615" t="str">
        <f>"17037"</f>
        <v>17037</v>
      </c>
      <c r="G615" s="3">
        <v>2200</v>
      </c>
      <c r="H615" t="str">
        <f>"17037"</f>
        <v>17037</v>
      </c>
    </row>
    <row r="616" spans="1:8" x14ac:dyDescent="0.25">
      <c r="E616" t="str">
        <f>"202108115133"</f>
        <v>202108115133</v>
      </c>
      <c r="F616" t="str">
        <f>"1654-21/1657-335"</f>
        <v>1654-21/1657-335</v>
      </c>
      <c r="G616" s="3">
        <v>200</v>
      </c>
      <c r="H616" t="str">
        <f>"1654-21/1657-335"</f>
        <v>1654-21/1657-335</v>
      </c>
    </row>
    <row r="617" spans="1:8" x14ac:dyDescent="0.25">
      <c r="E617" t="str">
        <f>"202108165227"</f>
        <v>202108165227</v>
      </c>
      <c r="F617" t="str">
        <f>"4061221-1"</f>
        <v>4061221-1</v>
      </c>
      <c r="G617" s="3">
        <v>250</v>
      </c>
      <c r="H617" t="str">
        <f>"4061221-1"</f>
        <v>4061221-1</v>
      </c>
    </row>
    <row r="618" spans="1:8" x14ac:dyDescent="0.25">
      <c r="E618" t="str">
        <f>"202108165228"</f>
        <v>202108165228</v>
      </c>
      <c r="F618" t="str">
        <f>"57827"</f>
        <v>57827</v>
      </c>
      <c r="G618" s="3">
        <v>250</v>
      </c>
      <c r="H618" t="str">
        <f>"57827"</f>
        <v>57827</v>
      </c>
    </row>
    <row r="619" spans="1:8" x14ac:dyDescent="0.25">
      <c r="A619" t="s">
        <v>181</v>
      </c>
      <c r="B619">
        <v>136615</v>
      </c>
      <c r="C619" s="3">
        <v>600</v>
      </c>
      <c r="D619" s="6">
        <v>44417</v>
      </c>
      <c r="E619" t="str">
        <f>"202107284800"</f>
        <v>202107284800</v>
      </c>
      <c r="F619" t="str">
        <f>"INTERPRETER/KEBHAA"</f>
        <v>INTERPRETER/KEBHAA</v>
      </c>
      <c r="G619" s="3">
        <v>300</v>
      </c>
      <c r="H619" t="str">
        <f>"INTERPRETER/KEBHAA"</f>
        <v>INTERPRETER/KEBHAA</v>
      </c>
    </row>
    <row r="620" spans="1:8" x14ac:dyDescent="0.25">
      <c r="E620" t="str">
        <f>"202107284801"</f>
        <v>202107284801</v>
      </c>
      <c r="F620" t="str">
        <f>"INTERPRETATION/KEBHAA"</f>
        <v>INTERPRETATION/KEBHAA</v>
      </c>
      <c r="G620" s="3">
        <v>300</v>
      </c>
      <c r="H620" t="str">
        <f>"INTERPRETATION/KEBHAA"</f>
        <v>INTERPRETATION/KEBHAA</v>
      </c>
    </row>
    <row r="621" spans="1:8" x14ac:dyDescent="0.25">
      <c r="A621" t="s">
        <v>181</v>
      </c>
      <c r="B621">
        <v>136739</v>
      </c>
      <c r="C621" s="3">
        <v>600</v>
      </c>
      <c r="D621" s="6">
        <v>44431</v>
      </c>
      <c r="E621" t="str">
        <f>"1209"</f>
        <v>1209</v>
      </c>
      <c r="F621" t="str">
        <f>"INTERPRETING/ESKEW"</f>
        <v>INTERPRETING/ESKEW</v>
      </c>
      <c r="G621" s="3">
        <v>300</v>
      </c>
      <c r="H621" t="str">
        <f>"INTERPRETING/ESKEW"</f>
        <v>INTERPRETING/ESKEW</v>
      </c>
    </row>
    <row r="622" spans="1:8" x14ac:dyDescent="0.25">
      <c r="E622" t="str">
        <f>"1211"</f>
        <v>1211</v>
      </c>
      <c r="F622" t="str">
        <f>"INTERPRETER/ESKEW"</f>
        <v>INTERPRETER/ESKEW</v>
      </c>
      <c r="G622" s="3">
        <v>300</v>
      </c>
      <c r="H622" t="str">
        <f>"INTERPRETER/ESKEW"</f>
        <v>INTERPRETER/ESKEW</v>
      </c>
    </row>
    <row r="623" spans="1:8" x14ac:dyDescent="0.25">
      <c r="A623" t="s">
        <v>182</v>
      </c>
      <c r="B623">
        <v>136740</v>
      </c>
      <c r="C623" s="3">
        <v>360</v>
      </c>
      <c r="D623" s="6">
        <v>44431</v>
      </c>
      <c r="E623" t="str">
        <f>"533012"</f>
        <v>533012</v>
      </c>
      <c r="F623" t="str">
        <f>"TRASH/MOWING PCT#1"</f>
        <v>TRASH/MOWING PCT#1</v>
      </c>
      <c r="G623" s="3">
        <v>360</v>
      </c>
      <c r="H623" t="str">
        <f>"TRASH/MOWING PCT#1"</f>
        <v>TRASH/MOWING PCT#1</v>
      </c>
    </row>
    <row r="624" spans="1:8" x14ac:dyDescent="0.25">
      <c r="A624" t="s">
        <v>183</v>
      </c>
      <c r="B624">
        <v>4908</v>
      </c>
      <c r="C624" s="3">
        <v>2717</v>
      </c>
      <c r="D624" s="6">
        <v>44418</v>
      </c>
      <c r="E624" t="str">
        <f>"455"</f>
        <v>455</v>
      </c>
      <c r="F624" t="str">
        <f>"TOWER RENTAL"</f>
        <v>TOWER RENTAL</v>
      </c>
      <c r="G624" s="3">
        <v>2717</v>
      </c>
      <c r="H624" t="str">
        <f>"TOWER RENTAL"</f>
        <v>TOWER RENTAL</v>
      </c>
    </row>
    <row r="625" spans="1:8" x14ac:dyDescent="0.25">
      <c r="A625" t="s">
        <v>184</v>
      </c>
      <c r="B625">
        <v>136616</v>
      </c>
      <c r="C625" s="3">
        <v>85</v>
      </c>
      <c r="D625" s="6">
        <v>44417</v>
      </c>
      <c r="E625" t="str">
        <f>"13706"</f>
        <v>13706</v>
      </c>
      <c r="F625" t="str">
        <f>"SERVICE"</f>
        <v>SERVICE</v>
      </c>
      <c r="G625" s="3">
        <v>85</v>
      </c>
      <c r="H625" t="str">
        <f>"SERVICE"</f>
        <v>SERVICE</v>
      </c>
    </row>
    <row r="626" spans="1:8" x14ac:dyDescent="0.25">
      <c r="A626" t="s">
        <v>185</v>
      </c>
      <c r="B626">
        <v>136830</v>
      </c>
      <c r="C626" s="3">
        <v>113.13</v>
      </c>
      <c r="D626" s="6">
        <v>44434</v>
      </c>
      <c r="E626" t="str">
        <f>"4758*155*1"</f>
        <v>4758*155*1</v>
      </c>
      <c r="F626" t="str">
        <f>"JAIL PHYSICIAN SERVICES"</f>
        <v>JAIL PHYSICIAN SERVICES</v>
      </c>
      <c r="G626" s="3">
        <v>113.13</v>
      </c>
      <c r="H626" t="str">
        <f>"CAPITAL AREA SURGEONS  PLLC"</f>
        <v>CAPITAL AREA SURGEONS  PLLC</v>
      </c>
    </row>
    <row r="627" spans="1:8" x14ac:dyDescent="0.25">
      <c r="A627" t="s">
        <v>186</v>
      </c>
      <c r="B627">
        <v>136617</v>
      </c>
      <c r="C627" s="3">
        <v>1502.51</v>
      </c>
      <c r="D627" s="6">
        <v>44417</v>
      </c>
      <c r="E627" t="str">
        <f>"275730"</f>
        <v>275730</v>
      </c>
      <c r="F627" t="str">
        <f>"ACCT#BASCO1/PCT#1"</f>
        <v>ACCT#BASCO1/PCT#1</v>
      </c>
      <c r="G627" s="3">
        <v>582.13</v>
      </c>
      <c r="H627" t="str">
        <f>"ACCT#BASCO1/PCT#1"</f>
        <v>ACCT#BASCO1/PCT#1</v>
      </c>
    </row>
    <row r="628" spans="1:8" x14ac:dyDescent="0.25">
      <c r="E628" t="str">
        <f>"275754"</f>
        <v>275754</v>
      </c>
      <c r="F628" t="str">
        <f>"ACCT#BASCO1/PCT#1"</f>
        <v>ACCT#BASCO1/PCT#1</v>
      </c>
      <c r="G628" s="3">
        <v>920.38</v>
      </c>
      <c r="H628" t="str">
        <f>"ACCT#BASCO1/PCT#1"</f>
        <v>ACCT#BASCO1/PCT#1</v>
      </c>
    </row>
    <row r="629" spans="1:8" x14ac:dyDescent="0.25">
      <c r="A629" t="s">
        <v>187</v>
      </c>
      <c r="B629">
        <v>4938</v>
      </c>
      <c r="C629" s="3">
        <v>3577.37</v>
      </c>
      <c r="D629" s="6">
        <v>44432</v>
      </c>
      <c r="E629" t="str">
        <f>"25600"</f>
        <v>25600</v>
      </c>
      <c r="F629" t="str">
        <f>"Card Readers Elections"</f>
        <v>Card Readers Elections</v>
      </c>
      <c r="G629" s="3">
        <v>3577.37</v>
      </c>
      <c r="H629" t="str">
        <f>"Card Readers Elections"</f>
        <v>Card Readers Elections</v>
      </c>
    </row>
    <row r="630" spans="1:8" x14ac:dyDescent="0.25">
      <c r="A630" t="s">
        <v>188</v>
      </c>
      <c r="B630">
        <v>4875</v>
      </c>
      <c r="C630" s="3">
        <v>1140</v>
      </c>
      <c r="D630" s="6">
        <v>44418</v>
      </c>
      <c r="E630" t="str">
        <f>"281980"</f>
        <v>281980</v>
      </c>
      <c r="F630" t="str">
        <f>"ORDER#1269-7731/ANNEX"</f>
        <v>ORDER#1269-7731/ANNEX</v>
      </c>
      <c r="G630" s="3">
        <v>420</v>
      </c>
      <c r="H630" t="str">
        <f>"ORDER#1269-7731/ANNEX"</f>
        <v>ORDER#1269-7731/ANNEX</v>
      </c>
    </row>
    <row r="631" spans="1:8" x14ac:dyDescent="0.25">
      <c r="E631" t="str">
        <f>"281981"</f>
        <v>281981</v>
      </c>
      <c r="F631" t="str">
        <f>"ORDER#1269-F0903/HISTORIC COUR"</f>
        <v>ORDER#1269-F0903/HISTORIC COUR</v>
      </c>
      <c r="G631" s="3">
        <v>720</v>
      </c>
      <c r="H631" t="str">
        <f>"ORDER#1269-F0903/HISTORIC COUR"</f>
        <v>ORDER#1269-F0903/HISTORIC COUR</v>
      </c>
    </row>
    <row r="632" spans="1:8" x14ac:dyDescent="0.25">
      <c r="A632" t="s">
        <v>188</v>
      </c>
      <c r="B632">
        <v>4949</v>
      </c>
      <c r="C632" s="3">
        <v>300</v>
      </c>
      <c r="D632" s="6">
        <v>44432</v>
      </c>
      <c r="E632" t="str">
        <f>"280976"</f>
        <v>280976</v>
      </c>
      <c r="F632" t="str">
        <f>"ORDER#1269-F9983"</f>
        <v>ORDER#1269-F9983</v>
      </c>
      <c r="G632" s="3">
        <v>300</v>
      </c>
      <c r="H632" t="str">
        <f>"ORDER#1269-F9983"</f>
        <v>ORDER#1269-F9983</v>
      </c>
    </row>
    <row r="633" spans="1:8" x14ac:dyDescent="0.25">
      <c r="A633" t="s">
        <v>189</v>
      </c>
      <c r="B633">
        <v>136741</v>
      </c>
      <c r="C633" s="3">
        <v>1990.62</v>
      </c>
      <c r="D633" s="6">
        <v>44431</v>
      </c>
      <c r="E633" t="str">
        <f>"202108115186"</f>
        <v>202108115186</v>
      </c>
      <c r="F633" t="str">
        <f>"CUST#1650/PCT#1"</f>
        <v>CUST#1650/PCT#1</v>
      </c>
      <c r="G633" s="3">
        <v>283.33999999999997</v>
      </c>
      <c r="H633" t="str">
        <f>"CUST#1650/PCT#1"</f>
        <v>CUST#1650/PCT#1</v>
      </c>
    </row>
    <row r="634" spans="1:8" x14ac:dyDescent="0.25">
      <c r="E634" t="str">
        <f>"202108165221"</f>
        <v>202108165221</v>
      </c>
      <c r="F634" t="str">
        <f>"CUST#1650"</f>
        <v>CUST#1650</v>
      </c>
      <c r="G634" s="3">
        <v>60.98</v>
      </c>
      <c r="H634" t="str">
        <f>"CUST#1650"</f>
        <v>CUST#1650</v>
      </c>
    </row>
    <row r="635" spans="1:8" x14ac:dyDescent="0.25">
      <c r="E635" t="str">
        <f>"210767056"</f>
        <v>210767056</v>
      </c>
      <c r="F635" t="str">
        <f>"ACCT#1590/ANIMAL CONTROL"</f>
        <v>ACCT#1590/ANIMAL CONTROL</v>
      </c>
      <c r="G635" s="3">
        <v>62.48</v>
      </c>
      <c r="H635" t="str">
        <f>"ACCT#1590/ANIMAL CONTROL"</f>
        <v>ACCT#1590/ANIMAL CONTROL</v>
      </c>
    </row>
    <row r="636" spans="1:8" x14ac:dyDescent="0.25">
      <c r="E636" t="str">
        <f>"210767070"</f>
        <v>210767070</v>
      </c>
      <c r="F636" t="str">
        <f>"ACCT#1645/WILDFIRE"</f>
        <v>ACCT#1645/WILDFIRE</v>
      </c>
      <c r="G636" s="3">
        <v>39.39</v>
      </c>
      <c r="H636" t="str">
        <f>"ACCT#1645/WILDFIRE"</f>
        <v>ACCT#1645/WILDFIRE</v>
      </c>
    </row>
    <row r="637" spans="1:8" x14ac:dyDescent="0.25">
      <c r="E637" t="str">
        <f>"210767074"</f>
        <v>210767074</v>
      </c>
      <c r="F637" t="str">
        <f>"ACCT#1700/PCT#2"</f>
        <v>ACCT#1700/PCT#2</v>
      </c>
      <c r="G637" s="3">
        <v>623.54</v>
      </c>
      <c r="H637" t="str">
        <f>"ACCT#1700/PCT#2"</f>
        <v>ACCT#1700/PCT#2</v>
      </c>
    </row>
    <row r="638" spans="1:8" x14ac:dyDescent="0.25">
      <c r="E638" t="str">
        <f>"210767079"</f>
        <v>210767079</v>
      </c>
      <c r="F638" t="str">
        <f>"ACCT#1750/PCT#3"</f>
        <v>ACCT#1750/PCT#3</v>
      </c>
      <c r="G638" s="3">
        <v>912.59</v>
      </c>
      <c r="H638" t="str">
        <f>"ACCT#1750/PCT#3"</f>
        <v>ACCT#1750/PCT#3</v>
      </c>
    </row>
    <row r="639" spans="1:8" x14ac:dyDescent="0.25">
      <c r="E639" t="str">
        <f>"210767082"</f>
        <v>210767082</v>
      </c>
      <c r="F639" t="str">
        <f>"ACCT#1800/PCT#4"</f>
        <v>ACCT#1800/PCT#4</v>
      </c>
      <c r="G639" s="3">
        <v>8.3000000000000007</v>
      </c>
      <c r="H639" t="str">
        <f>"ACCT#1800/PCT#4"</f>
        <v>ACCT#1800/PCT#4</v>
      </c>
    </row>
    <row r="640" spans="1:8" x14ac:dyDescent="0.25">
      <c r="A640" t="s">
        <v>190</v>
      </c>
      <c r="B640">
        <v>4867</v>
      </c>
      <c r="C640" s="3">
        <v>2044.87</v>
      </c>
      <c r="D640" s="6">
        <v>44418</v>
      </c>
      <c r="E640" t="str">
        <f>"01218413"</f>
        <v>01218413</v>
      </c>
      <c r="F640" t="str">
        <f>"INV 07218413  07289707"</f>
        <v>INV 07218413  07289707</v>
      </c>
      <c r="G640" s="3">
        <v>961.04</v>
      </c>
      <c r="H640" t="str">
        <f>"INV 07218413"</f>
        <v>INV 07218413</v>
      </c>
    </row>
    <row r="641" spans="1:8" x14ac:dyDescent="0.25">
      <c r="E641" t="str">
        <f>""</f>
        <v/>
      </c>
      <c r="F641" t="str">
        <f>""</f>
        <v/>
      </c>
      <c r="G641" s="3">
        <v>1083.83</v>
      </c>
      <c r="H641" t="str">
        <f>"INV 07289707"</f>
        <v>INV 07289707</v>
      </c>
    </row>
    <row r="642" spans="1:8" x14ac:dyDescent="0.25">
      <c r="A642" t="s">
        <v>190</v>
      </c>
      <c r="B642">
        <v>4936</v>
      </c>
      <c r="C642" s="3">
        <v>1969.07</v>
      </c>
      <c r="D642" s="6">
        <v>44432</v>
      </c>
      <c r="E642" t="str">
        <f>"08043568"</f>
        <v>08043568</v>
      </c>
      <c r="F642" t="str">
        <f>"INV 08043568  08110484"</f>
        <v>INV 08043568  08110484</v>
      </c>
      <c r="G642" s="3">
        <v>1062.0999999999999</v>
      </c>
      <c r="H642" t="str">
        <f>"INV 08043568"</f>
        <v>INV 08043568</v>
      </c>
    </row>
    <row r="643" spans="1:8" x14ac:dyDescent="0.25">
      <c r="E643" t="str">
        <f>""</f>
        <v/>
      </c>
      <c r="F643" t="str">
        <f>""</f>
        <v/>
      </c>
      <c r="G643" s="3">
        <v>906.97</v>
      </c>
      <c r="H643" t="str">
        <f>"INV 08110484"</f>
        <v>INV 08110484</v>
      </c>
    </row>
    <row r="644" spans="1:8" x14ac:dyDescent="0.25">
      <c r="A644" t="s">
        <v>191</v>
      </c>
      <c r="B644">
        <v>4889</v>
      </c>
      <c r="C644" s="3">
        <v>150</v>
      </c>
      <c r="D644" s="6">
        <v>44418</v>
      </c>
      <c r="E644" t="str">
        <f>"156921"</f>
        <v>156921</v>
      </c>
      <c r="F644" t="str">
        <f>"CLEANING/LAURA ROBERTSON"</f>
        <v>CLEANING/LAURA ROBERTSON</v>
      </c>
      <c r="G644" s="3">
        <v>150</v>
      </c>
      <c r="H644" t="str">
        <f>"CLEANING/LAURA ROBERTSON"</f>
        <v>CLEANING/LAURA ROBERTSON</v>
      </c>
    </row>
    <row r="645" spans="1:8" x14ac:dyDescent="0.25">
      <c r="A645" t="s">
        <v>191</v>
      </c>
      <c r="B645">
        <v>4965</v>
      </c>
      <c r="C645" s="3">
        <v>150</v>
      </c>
      <c r="D645" s="6">
        <v>44432</v>
      </c>
      <c r="E645" t="str">
        <f>"156922"</f>
        <v>156922</v>
      </c>
      <c r="F645" t="str">
        <f>"CLEANING/LAURA ROBERTSON"</f>
        <v>CLEANING/LAURA ROBERTSON</v>
      </c>
      <c r="G645" s="3">
        <v>150</v>
      </c>
      <c r="H645" t="str">
        <f>"CLEANING/LAURA ROBERTSON"</f>
        <v>CLEANING/LAURA ROBERTSON</v>
      </c>
    </row>
    <row r="646" spans="1:8" x14ac:dyDescent="0.25">
      <c r="A646" t="s">
        <v>192</v>
      </c>
      <c r="B646">
        <v>136742</v>
      </c>
      <c r="C646" s="3">
        <v>80</v>
      </c>
      <c r="D646" s="6">
        <v>44431</v>
      </c>
      <c r="E646" t="str">
        <f>"13227"</f>
        <v>13227</v>
      </c>
      <c r="F646" t="str">
        <f>"SERVICE"</f>
        <v>SERVICE</v>
      </c>
      <c r="G646" s="3">
        <v>80</v>
      </c>
      <c r="H646" t="str">
        <f>"SERVICE"</f>
        <v>SERVICE</v>
      </c>
    </row>
    <row r="647" spans="1:8" x14ac:dyDescent="0.25">
      <c r="A647" t="s">
        <v>193</v>
      </c>
      <c r="B647">
        <v>136743</v>
      </c>
      <c r="C647" s="3">
        <v>52</v>
      </c>
      <c r="D647" s="6">
        <v>44431</v>
      </c>
      <c r="E647" t="str">
        <f>"202108165224"</f>
        <v>202108165224</v>
      </c>
      <c r="F647" t="str">
        <f>"TIRE SERVICE/PCT#4"</f>
        <v>TIRE SERVICE/PCT#4</v>
      </c>
      <c r="G647" s="3">
        <v>52</v>
      </c>
      <c r="H647" t="str">
        <f>"TIRE SERVICE/PCT#4"</f>
        <v>TIRE SERVICE/PCT#4</v>
      </c>
    </row>
    <row r="648" spans="1:8" x14ac:dyDescent="0.25">
      <c r="A648" t="s">
        <v>194</v>
      </c>
      <c r="B648">
        <v>136547</v>
      </c>
      <c r="C648" s="3">
        <v>119.71</v>
      </c>
      <c r="D648" s="6">
        <v>44412</v>
      </c>
      <c r="E648" t="str">
        <f>"202108034977"</f>
        <v>202108034977</v>
      </c>
      <c r="F648" t="str">
        <f>"ACCT#109-00072-02 1 / 07232021"</f>
        <v>ACCT#109-00072-02 1 / 07232021</v>
      </c>
      <c r="G648" s="3">
        <v>119.71</v>
      </c>
      <c r="H648" t="str">
        <f>"ACCT#109-00072-02 1 / 07232021"</f>
        <v>ACCT#109-00072-02 1 / 07232021</v>
      </c>
    </row>
    <row r="649" spans="1:8" x14ac:dyDescent="0.25">
      <c r="A649" t="s">
        <v>194</v>
      </c>
      <c r="B649">
        <v>136744</v>
      </c>
      <c r="C649" s="3">
        <v>75</v>
      </c>
      <c r="D649" s="6">
        <v>44431</v>
      </c>
      <c r="E649" t="str">
        <f>"13227"</f>
        <v>13227</v>
      </c>
      <c r="F649" t="str">
        <f>"SERVICE"</f>
        <v>SERVICE</v>
      </c>
    </row>
    <row r="650" spans="1:8" x14ac:dyDescent="0.25">
      <c r="A650" t="s">
        <v>195</v>
      </c>
      <c r="B650">
        <v>136745</v>
      </c>
      <c r="C650" s="3">
        <v>97</v>
      </c>
      <c r="D650" s="6">
        <v>44431</v>
      </c>
      <c r="E650" t="str">
        <f>"202108175234"</f>
        <v>202108175234</v>
      </c>
      <c r="F650" t="str">
        <f>"REIMBURSE/LEROY FERRELL"</f>
        <v>REIMBURSE/LEROY FERRELL</v>
      </c>
      <c r="G650" s="3">
        <v>97</v>
      </c>
      <c r="H650" t="str">
        <f>"REIMBURSE/LEROY FERRELL"</f>
        <v>REIMBURSE/LEROY FERRELL</v>
      </c>
    </row>
    <row r="651" spans="1:8" x14ac:dyDescent="0.25">
      <c r="A651" t="s">
        <v>196</v>
      </c>
      <c r="B651">
        <v>136746</v>
      </c>
      <c r="C651" s="3">
        <v>150</v>
      </c>
      <c r="D651" s="6">
        <v>44431</v>
      </c>
      <c r="E651" t="str">
        <f>"1361725-20210731"</f>
        <v>1361725-20210731</v>
      </c>
      <c r="F651" t="str">
        <f>"BILL ID#1361725/INDIGENT HEALT"</f>
        <v>BILL ID#1361725/INDIGENT HEALT</v>
      </c>
      <c r="G651" s="3">
        <v>150</v>
      </c>
      <c r="H651" t="str">
        <f>"BILL ID#1361725/INDIGENT HEALT"</f>
        <v>BILL ID#1361725/INDIGENT HEALT</v>
      </c>
    </row>
    <row r="652" spans="1:8" x14ac:dyDescent="0.25">
      <c r="A652" t="s">
        <v>197</v>
      </c>
      <c r="B652">
        <v>136747</v>
      </c>
      <c r="C652" s="3">
        <v>383.5</v>
      </c>
      <c r="D652" s="6">
        <v>44431</v>
      </c>
      <c r="E652" t="str">
        <f>"1394645-20210731"</f>
        <v>1394645-20210731</v>
      </c>
      <c r="F652" t="str">
        <f>"BILL ID#1394645/COUNTY CLERK"</f>
        <v>BILL ID#1394645/COUNTY CLERK</v>
      </c>
      <c r="G652" s="3">
        <v>50</v>
      </c>
      <c r="H652" t="str">
        <f>"BILL ID#1394645/COUNTY CLERK"</f>
        <v>BILL ID#1394645/COUNTY CLERK</v>
      </c>
    </row>
    <row r="653" spans="1:8" x14ac:dyDescent="0.25">
      <c r="E653" t="str">
        <f>"1420944-20210731"</f>
        <v>1420944-20210731</v>
      </c>
      <c r="F653" t="str">
        <f>"BILL ID#1420944/SO"</f>
        <v>BILL ID#1420944/SO</v>
      </c>
      <c r="G653" s="3">
        <v>333.5</v>
      </c>
      <c r="H653" t="str">
        <f>"BILL ID#1420944/SO"</f>
        <v>BILL ID#1420944/SO</v>
      </c>
    </row>
    <row r="654" spans="1:8" x14ac:dyDescent="0.25">
      <c r="A654" t="s">
        <v>198</v>
      </c>
      <c r="B654">
        <v>136748</v>
      </c>
      <c r="C654" s="3">
        <v>75</v>
      </c>
      <c r="D654" s="6">
        <v>44431</v>
      </c>
      <c r="E654" t="str">
        <f>"13227"</f>
        <v>13227</v>
      </c>
      <c r="F654" t="str">
        <f>"SERVICE"</f>
        <v>SERVICE</v>
      </c>
      <c r="G654" s="3">
        <v>75</v>
      </c>
      <c r="H654" t="str">
        <f>"SERVICE"</f>
        <v>SERVICE</v>
      </c>
    </row>
    <row r="655" spans="1:8" x14ac:dyDescent="0.25">
      <c r="A655" t="s">
        <v>199</v>
      </c>
      <c r="B655">
        <v>136749</v>
      </c>
      <c r="C655" s="3">
        <v>185</v>
      </c>
      <c r="D655" s="6">
        <v>44431</v>
      </c>
      <c r="E655" t="str">
        <f>"202108115191"</f>
        <v>202108115191</v>
      </c>
      <c r="F655" t="str">
        <f>"PER DIEM"</f>
        <v>PER DIEM</v>
      </c>
      <c r="G655" s="3">
        <v>185</v>
      </c>
      <c r="H655" t="str">
        <f>"PER DIEM"</f>
        <v>PER DIEM</v>
      </c>
    </row>
    <row r="656" spans="1:8" x14ac:dyDescent="0.25">
      <c r="A656" t="s">
        <v>200</v>
      </c>
      <c r="B656">
        <v>4957</v>
      </c>
      <c r="C656" s="3">
        <v>18434.46</v>
      </c>
      <c r="D656" s="6">
        <v>44432</v>
      </c>
      <c r="E656" t="str">
        <f>"202108115198"</f>
        <v>202108115198</v>
      </c>
      <c r="F656" t="str">
        <f>"HOME VISIT GRANT JUNE"</f>
        <v>HOME VISIT GRANT JUNE</v>
      </c>
      <c r="G656" s="3">
        <v>18434.46</v>
      </c>
      <c r="H656" t="str">
        <f>"HOME VISIT GRANT JUNE"</f>
        <v>HOME VISIT GRANT JUNE</v>
      </c>
    </row>
    <row r="657" spans="1:8" x14ac:dyDescent="0.25">
      <c r="A657" t="s">
        <v>201</v>
      </c>
      <c r="B657">
        <v>4879</v>
      </c>
      <c r="C657" s="3">
        <v>3147.27</v>
      </c>
      <c r="D657" s="6">
        <v>44418</v>
      </c>
      <c r="E657" t="str">
        <f>"2021-1484"</f>
        <v>2021-1484</v>
      </c>
      <c r="F657" t="str">
        <f>"2021-1484"</f>
        <v>2021-1484</v>
      </c>
      <c r="G657" s="3">
        <v>569.78</v>
      </c>
      <c r="H657" t="str">
        <f>"2021-1484"</f>
        <v>2021-1484</v>
      </c>
    </row>
    <row r="658" spans="1:8" x14ac:dyDescent="0.25">
      <c r="E658" t="str">
        <f>"2021-1708"</f>
        <v>2021-1708</v>
      </c>
      <c r="F658" t="str">
        <f>"INV 2021-1708"</f>
        <v>INV 2021-1708</v>
      </c>
      <c r="G658" s="3">
        <v>2577.4899999999998</v>
      </c>
      <c r="H658" t="str">
        <f>"INV 2021-1708"</f>
        <v>INV 2021-1708</v>
      </c>
    </row>
    <row r="659" spans="1:8" x14ac:dyDescent="0.25">
      <c r="A659" t="s">
        <v>201</v>
      </c>
      <c r="B659">
        <v>4954</v>
      </c>
      <c r="C659" s="3">
        <v>369</v>
      </c>
      <c r="D659" s="6">
        <v>44432</v>
      </c>
      <c r="E659" t="str">
        <f>"591443"</f>
        <v>591443</v>
      </c>
      <c r="F659" t="str">
        <f>"INV 591443"</f>
        <v>INV 591443</v>
      </c>
      <c r="G659" s="3">
        <v>369</v>
      </c>
      <c r="H659" t="str">
        <f>"INV 591443"</f>
        <v>INV 591443</v>
      </c>
    </row>
    <row r="660" spans="1:8" x14ac:dyDescent="0.25">
      <c r="A660" t="s">
        <v>202</v>
      </c>
      <c r="B660">
        <v>4885</v>
      </c>
      <c r="C660" s="3">
        <v>832</v>
      </c>
      <c r="D660" s="6">
        <v>44418</v>
      </c>
      <c r="E660" t="str">
        <f>"202108034989"</f>
        <v>202108034989</v>
      </c>
      <c r="F660" t="str">
        <f>"TRASH REMOVAL/LONNIE DAVIS JR"</f>
        <v>TRASH REMOVAL/LONNIE DAVIS JR</v>
      </c>
      <c r="G660" s="3">
        <v>312</v>
      </c>
      <c r="H660" t="str">
        <f>"TRASH REMOVAL/LONNIE DAVIS JR"</f>
        <v>TRASH REMOVAL/LONNIE DAVIS JR</v>
      </c>
    </row>
    <row r="661" spans="1:8" x14ac:dyDescent="0.25">
      <c r="E661" t="str">
        <f>"202108034990"</f>
        <v>202108034990</v>
      </c>
      <c r="F661" t="str">
        <f>"TRASH REMOVAL/LONNIE DAVIS JR"</f>
        <v>TRASH REMOVAL/LONNIE DAVIS JR</v>
      </c>
      <c r="G661" s="3">
        <v>520</v>
      </c>
      <c r="H661" t="str">
        <f>"TRASH REMOVAL/LONNIE DAVIS JR"</f>
        <v>TRASH REMOVAL/LONNIE DAVIS JR</v>
      </c>
    </row>
    <row r="662" spans="1:8" x14ac:dyDescent="0.25">
      <c r="A662" t="s">
        <v>203</v>
      </c>
      <c r="B662">
        <v>4912</v>
      </c>
      <c r="C662" s="3">
        <v>150</v>
      </c>
      <c r="D662" s="6">
        <v>44418</v>
      </c>
      <c r="E662" t="str">
        <f>"10-0118662"</f>
        <v>10-0118662</v>
      </c>
      <c r="F662" t="str">
        <f>"STATEMENT 10-000601"</f>
        <v>STATEMENT 10-000601</v>
      </c>
      <c r="G662" s="3">
        <v>30</v>
      </c>
      <c r="H662" t="str">
        <f>"INV 10-0118662"</f>
        <v>INV 10-0118662</v>
      </c>
    </row>
    <row r="663" spans="1:8" x14ac:dyDescent="0.25">
      <c r="E663" t="str">
        <f>""</f>
        <v/>
      </c>
      <c r="F663" t="str">
        <f>""</f>
        <v/>
      </c>
      <c r="G663" s="3">
        <v>30</v>
      </c>
      <c r="H663" t="str">
        <f>"INV 10-0122296"</f>
        <v>INV 10-0122296</v>
      </c>
    </row>
    <row r="664" spans="1:8" x14ac:dyDescent="0.25">
      <c r="E664" t="str">
        <f>""</f>
        <v/>
      </c>
      <c r="F664" t="str">
        <f>""</f>
        <v/>
      </c>
      <c r="G664" s="3">
        <v>50</v>
      </c>
      <c r="H664" t="str">
        <f>"INV 10-0124077"</f>
        <v>INV 10-0124077</v>
      </c>
    </row>
    <row r="665" spans="1:8" x14ac:dyDescent="0.25">
      <c r="E665" t="str">
        <f>""</f>
        <v/>
      </c>
      <c r="F665" t="str">
        <f>""</f>
        <v/>
      </c>
      <c r="G665" s="3">
        <v>40</v>
      </c>
      <c r="H665" t="str">
        <f>"INV 10-0124083"</f>
        <v>INV 10-0124083</v>
      </c>
    </row>
    <row r="666" spans="1:8" x14ac:dyDescent="0.25">
      <c r="A666" t="s">
        <v>204</v>
      </c>
      <c r="B666">
        <v>136618</v>
      </c>
      <c r="C666" s="3">
        <v>3481.22</v>
      </c>
      <c r="D666" s="6">
        <v>44417</v>
      </c>
      <c r="E666" t="str">
        <f>"25194"</f>
        <v>25194</v>
      </c>
      <c r="F666" t="str">
        <f>"MACKAY COMMUNICATIONS  INC"</f>
        <v>MACKAY COMMUNICATIONS  INC</v>
      </c>
      <c r="G666" s="3">
        <v>3481.22</v>
      </c>
      <c r="H666" t="str">
        <f>"Hand Set"</f>
        <v>Hand Set</v>
      </c>
    </row>
    <row r="667" spans="1:8" x14ac:dyDescent="0.25">
      <c r="A667" t="s">
        <v>205</v>
      </c>
      <c r="B667">
        <v>136750</v>
      </c>
      <c r="C667" s="3">
        <v>115</v>
      </c>
      <c r="D667" s="6">
        <v>44431</v>
      </c>
      <c r="E667" t="str">
        <f>"202108175274"</f>
        <v>202108175274</v>
      </c>
      <c r="F667" t="str">
        <f>"PER DIEM FOR TRAINING"</f>
        <v>PER DIEM FOR TRAINING</v>
      </c>
      <c r="G667" s="3">
        <v>115</v>
      </c>
      <c r="H667" t="str">
        <f>"PER DIEM FOR TRAINING"</f>
        <v>PER DIEM FOR TRAINING</v>
      </c>
    </row>
    <row r="668" spans="1:8" x14ac:dyDescent="0.25">
      <c r="A668" t="s">
        <v>206</v>
      </c>
      <c r="B668">
        <v>136751</v>
      </c>
      <c r="C668" s="3">
        <v>565.95000000000005</v>
      </c>
      <c r="D668" s="6">
        <v>44431</v>
      </c>
      <c r="E668" t="str">
        <f>"202108175252"</f>
        <v>202108175252</v>
      </c>
      <c r="F668" t="str">
        <f>"INDIGENT HEALTH"</f>
        <v>INDIGENT HEALTH</v>
      </c>
      <c r="G668" s="3">
        <v>513.75</v>
      </c>
      <c r="H668" t="str">
        <f>"INDIGENT HEALTH"</f>
        <v>INDIGENT HEALTH</v>
      </c>
    </row>
    <row r="669" spans="1:8" x14ac:dyDescent="0.25">
      <c r="E669" t="str">
        <f>""</f>
        <v/>
      </c>
      <c r="F669" t="str">
        <f>""</f>
        <v/>
      </c>
      <c r="G669" s="3">
        <v>52.2</v>
      </c>
      <c r="H669" t="str">
        <f>"INDIGENT HEALTH"</f>
        <v>INDIGENT HEALTH</v>
      </c>
    </row>
    <row r="670" spans="1:8" x14ac:dyDescent="0.25">
      <c r="A670" t="s">
        <v>207</v>
      </c>
      <c r="B670">
        <v>136619</v>
      </c>
      <c r="C670" s="3">
        <v>1071.9000000000001</v>
      </c>
      <c r="D670" s="6">
        <v>44417</v>
      </c>
      <c r="E670" t="str">
        <f>"INV001961045"</f>
        <v>INV001961045</v>
      </c>
      <c r="F670" t="str">
        <f>"INV001961045"</f>
        <v>INV001961045</v>
      </c>
      <c r="G670" s="3">
        <v>1071.9000000000001</v>
      </c>
      <c r="H670" t="str">
        <f>"INV001961045"</f>
        <v>INV001961045</v>
      </c>
    </row>
    <row r="671" spans="1:8" x14ac:dyDescent="0.25">
      <c r="A671" t="s">
        <v>207</v>
      </c>
      <c r="B671">
        <v>136752</v>
      </c>
      <c r="C671" s="3">
        <v>68.09</v>
      </c>
      <c r="D671" s="6">
        <v>44431</v>
      </c>
      <c r="E671" t="str">
        <f>"001961551"</f>
        <v>001961551</v>
      </c>
      <c r="F671" t="str">
        <f>"INV001961551"</f>
        <v>INV001961551</v>
      </c>
      <c r="G671" s="3">
        <v>68.09</v>
      </c>
      <c r="H671" t="str">
        <f>"INV001961551"</f>
        <v>INV001961551</v>
      </c>
    </row>
    <row r="672" spans="1:8" x14ac:dyDescent="0.25">
      <c r="A672" t="s">
        <v>208</v>
      </c>
      <c r="B672">
        <v>4877</v>
      </c>
      <c r="C672" s="3">
        <v>375</v>
      </c>
      <c r="D672" s="6">
        <v>44418</v>
      </c>
      <c r="E672" t="str">
        <f>"202108024854"</f>
        <v>202108024854</v>
      </c>
      <c r="F672" t="str">
        <f>"404039-9 9253525576"</f>
        <v>404039-9 9253525576</v>
      </c>
      <c r="G672" s="3">
        <v>250</v>
      </c>
      <c r="H672" t="str">
        <f>"404039-9 9253525576"</f>
        <v>404039-9 9253525576</v>
      </c>
    </row>
    <row r="673" spans="1:8" x14ac:dyDescent="0.25">
      <c r="E673" t="str">
        <f>"202108024855"</f>
        <v>202108024855</v>
      </c>
      <c r="F673" t="str">
        <f>"02-6030-1 9253576502"</f>
        <v>02-6030-1 9253576502</v>
      </c>
      <c r="G673" s="3">
        <v>125</v>
      </c>
      <c r="H673" t="str">
        <f>"02-6030-1 9253576502"</f>
        <v>02-6030-1 9253576502</v>
      </c>
    </row>
    <row r="674" spans="1:8" x14ac:dyDescent="0.25">
      <c r="A674" t="s">
        <v>208</v>
      </c>
      <c r="B674">
        <v>4952</v>
      </c>
      <c r="C674" s="3">
        <v>125</v>
      </c>
      <c r="D674" s="6">
        <v>44432</v>
      </c>
      <c r="E674" t="str">
        <f>"202108115124"</f>
        <v>202108115124</v>
      </c>
      <c r="F674" t="str">
        <f>"303122021-C"</f>
        <v>303122021-C</v>
      </c>
      <c r="G674" s="3">
        <v>125</v>
      </c>
      <c r="H674" t="str">
        <f>"303122021-C"</f>
        <v>303122021-C</v>
      </c>
    </row>
    <row r="675" spans="1:8" x14ac:dyDescent="0.25">
      <c r="A675" t="s">
        <v>209</v>
      </c>
      <c r="B675">
        <v>136620</v>
      </c>
      <c r="C675" s="3">
        <v>99.47</v>
      </c>
      <c r="D675" s="6">
        <v>44417</v>
      </c>
      <c r="E675" t="str">
        <f>"0023861219"</f>
        <v>0023861219</v>
      </c>
      <c r="F675" t="str">
        <f>"ACCT#S9549/PCT#1"</f>
        <v>ACCT#S9549/PCT#1</v>
      </c>
      <c r="G675" s="3">
        <v>99.47</v>
      </c>
      <c r="H675" t="str">
        <f>"ACCT#S9549/PCT#1"</f>
        <v>ACCT#S9549/PCT#1</v>
      </c>
    </row>
    <row r="676" spans="1:8" x14ac:dyDescent="0.25">
      <c r="A676" t="s">
        <v>209</v>
      </c>
      <c r="B676">
        <v>136753</v>
      </c>
      <c r="C676" s="3">
        <v>351.68</v>
      </c>
      <c r="D676" s="6">
        <v>44431</v>
      </c>
      <c r="E676" t="str">
        <f>"0023959812"</f>
        <v>0023959812</v>
      </c>
      <c r="F676" t="str">
        <f>"ACCT#41472/PCT#1"</f>
        <v>ACCT#41472/PCT#1</v>
      </c>
      <c r="G676" s="3">
        <v>31.23</v>
      </c>
      <c r="H676" t="str">
        <f>"ACCT#41472/PCT#1"</f>
        <v>ACCT#41472/PCT#1</v>
      </c>
    </row>
    <row r="677" spans="1:8" x14ac:dyDescent="0.25">
      <c r="E677" t="str">
        <f>"0023959875"</f>
        <v>0023959875</v>
      </c>
      <c r="F677" t="str">
        <f>"ACCT#45057/PCT#4"</f>
        <v>ACCT#45057/PCT#4</v>
      </c>
      <c r="G677" s="3">
        <v>57.73</v>
      </c>
      <c r="H677" t="str">
        <f>"ACCT#45057/PCT#4"</f>
        <v>ACCT#45057/PCT#4</v>
      </c>
    </row>
    <row r="678" spans="1:8" x14ac:dyDescent="0.25">
      <c r="E678" t="str">
        <f>"0023959920"</f>
        <v>0023959920</v>
      </c>
      <c r="F678" t="str">
        <f>"INV 0023959920"</f>
        <v>INV 0023959920</v>
      </c>
      <c r="G678" s="3">
        <v>67.72</v>
      </c>
      <c r="H678" t="str">
        <f>"INV 0023959920"</f>
        <v>INV 0023959920</v>
      </c>
    </row>
    <row r="679" spans="1:8" x14ac:dyDescent="0.25">
      <c r="E679" t="str">
        <f>"0023960201"</f>
        <v>0023960201</v>
      </c>
      <c r="F679" t="str">
        <f>"ACCT#S9549/PCT#1"</f>
        <v>ACCT#S9549/PCT#1</v>
      </c>
      <c r="G679" s="3">
        <v>195</v>
      </c>
      <c r="H679" t="str">
        <f>"ACCT#S9549/PCT#1"</f>
        <v>ACCT#S9549/PCT#1</v>
      </c>
    </row>
    <row r="680" spans="1:8" x14ac:dyDescent="0.25">
      <c r="A680" t="s">
        <v>210</v>
      </c>
      <c r="B680">
        <v>136621</v>
      </c>
      <c r="C680" s="3">
        <v>22538.639999999999</v>
      </c>
      <c r="D680" s="6">
        <v>44417</v>
      </c>
      <c r="E680" t="str">
        <f>"12543"</f>
        <v>12543</v>
      </c>
      <c r="F680" t="str">
        <f>"ABST FEE"</f>
        <v>ABST FEE</v>
      </c>
      <c r="G680" s="3">
        <v>175</v>
      </c>
      <c r="H680" t="str">
        <f>"ABST FEE"</f>
        <v>ABST FEE</v>
      </c>
    </row>
    <row r="681" spans="1:8" x14ac:dyDescent="0.25">
      <c r="E681" t="str">
        <f>"12892"</f>
        <v>12892</v>
      </c>
      <c r="F681" t="str">
        <f>"ABST FEE"</f>
        <v>ABST FEE</v>
      </c>
      <c r="G681" s="3">
        <v>225</v>
      </c>
      <c r="H681" t="str">
        <f>"ABST FEE"</f>
        <v>ABST FEE</v>
      </c>
    </row>
    <row r="682" spans="1:8" x14ac:dyDescent="0.25">
      <c r="E682" t="str">
        <f>"13309"</f>
        <v>13309</v>
      </c>
      <c r="F682" t="str">
        <f>"ABST FEE"</f>
        <v>ABST FEE</v>
      </c>
      <c r="G682" s="3">
        <v>225</v>
      </c>
      <c r="H682" t="str">
        <f>"ABST FEE"</f>
        <v>ABST FEE</v>
      </c>
    </row>
    <row r="683" spans="1:8" x14ac:dyDescent="0.25">
      <c r="E683" t="str">
        <f>"13394 6-2-21"</f>
        <v>13394 6-2-21</v>
      </c>
      <c r="F683" t="str">
        <f>"ABST FEE"</f>
        <v>ABST FEE</v>
      </c>
      <c r="G683" s="3">
        <v>40</v>
      </c>
      <c r="H683" t="str">
        <f>"ABST FEE"</f>
        <v>ABST FEE</v>
      </c>
    </row>
    <row r="684" spans="1:8" x14ac:dyDescent="0.25">
      <c r="E684" t="str">
        <f>"13445"</f>
        <v>13445</v>
      </c>
      <c r="F684" t="str">
        <f>"SERVICE"</f>
        <v>SERVICE</v>
      </c>
      <c r="G684" s="3">
        <v>55</v>
      </c>
      <c r="H684" t="str">
        <f>"SERVICE"</f>
        <v>SERVICE</v>
      </c>
    </row>
    <row r="685" spans="1:8" x14ac:dyDescent="0.25">
      <c r="E685" t="str">
        <f>"13464 6-7-21"</f>
        <v>13464 6-7-21</v>
      </c>
      <c r="F685" t="str">
        <f t="shared" ref="F685:F692" si="5">"ABST FEE"</f>
        <v>ABST FEE</v>
      </c>
      <c r="G685" s="3">
        <v>50</v>
      </c>
      <c r="H685" t="str">
        <f t="shared" ref="H685:H692" si="6">"ABST FEE"</f>
        <v>ABST FEE</v>
      </c>
    </row>
    <row r="686" spans="1:8" x14ac:dyDescent="0.25">
      <c r="E686" t="str">
        <f>"13603 6-17-21"</f>
        <v>13603 6-17-21</v>
      </c>
      <c r="F686" t="str">
        <f t="shared" si="5"/>
        <v>ABST FEE</v>
      </c>
      <c r="G686" s="3">
        <v>75</v>
      </c>
      <c r="H686" t="str">
        <f t="shared" si="6"/>
        <v>ABST FEE</v>
      </c>
    </row>
    <row r="687" spans="1:8" x14ac:dyDescent="0.25">
      <c r="E687" t="str">
        <f>"13646"</f>
        <v>13646</v>
      </c>
      <c r="F687" t="str">
        <f t="shared" si="5"/>
        <v>ABST FEE</v>
      </c>
      <c r="G687" s="3">
        <v>225</v>
      </c>
      <c r="H687" t="str">
        <f t="shared" si="6"/>
        <v>ABST FEE</v>
      </c>
    </row>
    <row r="688" spans="1:8" x14ac:dyDescent="0.25">
      <c r="E688" t="str">
        <f>"13650"</f>
        <v>13650</v>
      </c>
      <c r="F688" t="str">
        <f t="shared" si="5"/>
        <v>ABST FEE</v>
      </c>
      <c r="G688" s="3">
        <v>225</v>
      </c>
      <c r="H688" t="str">
        <f t="shared" si="6"/>
        <v>ABST FEE</v>
      </c>
    </row>
    <row r="689" spans="1:8" x14ac:dyDescent="0.25">
      <c r="E689" t="str">
        <f>"13656"</f>
        <v>13656</v>
      </c>
      <c r="F689" t="str">
        <f t="shared" si="5"/>
        <v>ABST FEE</v>
      </c>
      <c r="G689" s="3">
        <v>225</v>
      </c>
      <c r="H689" t="str">
        <f t="shared" si="6"/>
        <v>ABST FEE</v>
      </c>
    </row>
    <row r="690" spans="1:8" x14ac:dyDescent="0.25">
      <c r="E690" t="str">
        <f>"13660"</f>
        <v>13660</v>
      </c>
      <c r="F690" t="str">
        <f t="shared" si="5"/>
        <v>ABST FEE</v>
      </c>
      <c r="G690" s="3">
        <v>95</v>
      </c>
      <c r="H690" t="str">
        <f t="shared" si="6"/>
        <v>ABST FEE</v>
      </c>
    </row>
    <row r="691" spans="1:8" x14ac:dyDescent="0.25">
      <c r="E691" t="str">
        <f>"13706"</f>
        <v>13706</v>
      </c>
      <c r="F691" t="str">
        <f t="shared" si="5"/>
        <v>ABST FEE</v>
      </c>
      <c r="G691" s="3">
        <v>225</v>
      </c>
      <c r="H691" t="str">
        <f t="shared" si="6"/>
        <v>ABST FEE</v>
      </c>
    </row>
    <row r="692" spans="1:8" x14ac:dyDescent="0.25">
      <c r="E692" t="str">
        <f>"13730"</f>
        <v>13730</v>
      </c>
      <c r="F692" t="str">
        <f t="shared" si="5"/>
        <v>ABST FEE</v>
      </c>
      <c r="G692" s="3">
        <v>225</v>
      </c>
      <c r="H692" t="str">
        <f t="shared" si="6"/>
        <v>ABST FEE</v>
      </c>
    </row>
    <row r="693" spans="1:8" x14ac:dyDescent="0.25">
      <c r="E693" t="str">
        <f>"202108034945"</f>
        <v>202108034945</v>
      </c>
      <c r="F693" t="str">
        <f>"JULY 2021"</f>
        <v>JULY 2021</v>
      </c>
      <c r="G693" s="3">
        <v>20323.64</v>
      </c>
      <c r="H693" t="str">
        <f>"JULY 2021"</f>
        <v>JULY 2021</v>
      </c>
    </row>
    <row r="694" spans="1:8" x14ac:dyDescent="0.25">
      <c r="E694" t="str">
        <f>"9652"</f>
        <v>9652</v>
      </c>
      <c r="F694" t="str">
        <f>"ABST FEE"</f>
        <v>ABST FEE</v>
      </c>
      <c r="G694" s="3">
        <v>150</v>
      </c>
      <c r="H694" t="str">
        <f>"ABST FEE"</f>
        <v>ABST FEE</v>
      </c>
    </row>
    <row r="695" spans="1:8" x14ac:dyDescent="0.25">
      <c r="A695" t="s">
        <v>210</v>
      </c>
      <c r="B695">
        <v>136754</v>
      </c>
      <c r="C695" s="3">
        <v>2465.3200000000002</v>
      </c>
      <c r="D695" s="6">
        <v>44431</v>
      </c>
      <c r="E695" t="str">
        <f>"12940 7-6-21"</f>
        <v>12940 7-6-21</v>
      </c>
      <c r="F695" t="str">
        <f>"ABST FEE"</f>
        <v>ABST FEE</v>
      </c>
      <c r="G695" s="3">
        <v>100</v>
      </c>
      <c r="H695" t="str">
        <f>"ABST FEE"</f>
        <v>ABST FEE</v>
      </c>
    </row>
    <row r="696" spans="1:8" x14ac:dyDescent="0.25">
      <c r="E696" t="str">
        <f>"13094"</f>
        <v>13094</v>
      </c>
      <c r="F696" t="str">
        <f>"ABST FEE/SERVICE"</f>
        <v>ABST FEE/SERVICE</v>
      </c>
      <c r="G696" s="3">
        <v>280</v>
      </c>
      <c r="H696" t="str">
        <f>"ABST FEE/SERVICE"</f>
        <v>ABST FEE/SERVICE</v>
      </c>
    </row>
    <row r="697" spans="1:8" x14ac:dyDescent="0.25">
      <c r="E697" t="str">
        <f>"13159 4-05-2021"</f>
        <v>13159 4-05-2021</v>
      </c>
      <c r="F697" t="str">
        <f>"ABST FEE"</f>
        <v>ABST FEE</v>
      </c>
      <c r="G697" s="3">
        <v>75</v>
      </c>
      <c r="H697" t="str">
        <f>"ABST FEE"</f>
        <v>ABST FEE</v>
      </c>
    </row>
    <row r="698" spans="1:8" x14ac:dyDescent="0.25">
      <c r="E698" t="str">
        <f>"13227 4-5-21"</f>
        <v>13227 4-5-21</v>
      </c>
      <c r="F698" t="str">
        <f>"ABST FEE"</f>
        <v>ABST FEE</v>
      </c>
      <c r="G698" s="3">
        <v>225</v>
      </c>
      <c r="H698" t="str">
        <f>"ABST FEE"</f>
        <v>ABST FEE</v>
      </c>
    </row>
    <row r="699" spans="1:8" x14ac:dyDescent="0.25">
      <c r="E699" t="str">
        <f>"13268"</f>
        <v>13268</v>
      </c>
      <c r="F699" t="str">
        <f>"ABST FEE"</f>
        <v>ABST FEE</v>
      </c>
      <c r="G699" s="3">
        <v>225</v>
      </c>
      <c r="H699" t="str">
        <f>"ABST FEE"</f>
        <v>ABST FEE</v>
      </c>
    </row>
    <row r="700" spans="1:8" x14ac:dyDescent="0.25">
      <c r="E700" t="str">
        <f>"13285"</f>
        <v>13285</v>
      </c>
      <c r="F700" t="str">
        <f>"ABST FEE"</f>
        <v>ABST FEE</v>
      </c>
      <c r="G700" s="3">
        <v>225</v>
      </c>
      <c r="H700" t="str">
        <f>"ABST FEE"</f>
        <v>ABST FEE</v>
      </c>
    </row>
    <row r="701" spans="1:8" x14ac:dyDescent="0.25">
      <c r="E701" t="str">
        <f>"13306"</f>
        <v>13306</v>
      </c>
      <c r="F701" t="str">
        <f>"ABST FEE/SERVICE"</f>
        <v>ABST FEE/SERVICE</v>
      </c>
      <c r="G701" s="3">
        <v>285</v>
      </c>
      <c r="H701" t="str">
        <f>"ABST FEE/SERVICE"</f>
        <v>ABST FEE/SERVICE</v>
      </c>
    </row>
    <row r="702" spans="1:8" x14ac:dyDescent="0.25">
      <c r="E702" t="str">
        <f>"13325"</f>
        <v>13325</v>
      </c>
      <c r="F702" t="str">
        <f t="shared" ref="F702:F709" si="7">"ABST FEE"</f>
        <v>ABST FEE</v>
      </c>
      <c r="G702" s="3">
        <v>17</v>
      </c>
      <c r="H702" t="str">
        <f t="shared" ref="H702:H709" si="8">"ABST FEE"</f>
        <v>ABST FEE</v>
      </c>
    </row>
    <row r="703" spans="1:8" x14ac:dyDescent="0.25">
      <c r="E703" t="str">
        <f>"13394 6-25-21"</f>
        <v>13394 6-25-21</v>
      </c>
      <c r="F703" t="str">
        <f t="shared" si="7"/>
        <v>ABST FEE</v>
      </c>
      <c r="G703" s="3">
        <v>40</v>
      </c>
      <c r="H703" t="str">
        <f t="shared" si="8"/>
        <v>ABST FEE</v>
      </c>
    </row>
    <row r="704" spans="1:8" x14ac:dyDescent="0.25">
      <c r="E704" t="str">
        <f>"13417"</f>
        <v>13417</v>
      </c>
      <c r="F704" t="str">
        <f t="shared" si="7"/>
        <v>ABST FEE</v>
      </c>
      <c r="G704" s="3">
        <v>225</v>
      </c>
      <c r="H704" t="str">
        <f t="shared" si="8"/>
        <v>ABST FEE</v>
      </c>
    </row>
    <row r="705" spans="1:8" x14ac:dyDescent="0.25">
      <c r="E705" t="str">
        <f>"13464 7-1-2021"</f>
        <v>13464 7-1-2021</v>
      </c>
      <c r="F705" t="str">
        <f t="shared" si="7"/>
        <v>ABST FEE</v>
      </c>
      <c r="G705" s="3">
        <v>50</v>
      </c>
      <c r="H705" t="str">
        <f t="shared" si="8"/>
        <v>ABST FEE</v>
      </c>
    </row>
    <row r="706" spans="1:8" x14ac:dyDescent="0.25">
      <c r="E706" t="str">
        <f>"13573 6-21-21"</f>
        <v>13573 6-21-21</v>
      </c>
      <c r="F706" t="str">
        <f t="shared" si="7"/>
        <v>ABST FEE</v>
      </c>
      <c r="G706" s="3">
        <v>178.32</v>
      </c>
      <c r="H706" t="str">
        <f t="shared" si="8"/>
        <v>ABST FEE</v>
      </c>
    </row>
    <row r="707" spans="1:8" x14ac:dyDescent="0.25">
      <c r="E707" t="str">
        <f>"13588"</f>
        <v>13588</v>
      </c>
      <c r="F707" t="str">
        <f t="shared" si="7"/>
        <v>ABST FEE</v>
      </c>
      <c r="G707" s="3">
        <v>90</v>
      </c>
      <c r="H707" t="str">
        <f t="shared" si="8"/>
        <v>ABST FEE</v>
      </c>
    </row>
    <row r="708" spans="1:8" x14ac:dyDescent="0.25">
      <c r="E708" t="str">
        <f>"13729"</f>
        <v>13729</v>
      </c>
      <c r="F708" t="str">
        <f t="shared" si="7"/>
        <v>ABST FEE</v>
      </c>
      <c r="G708" s="3">
        <v>225</v>
      </c>
      <c r="H708" t="str">
        <f t="shared" si="8"/>
        <v>ABST FEE</v>
      </c>
    </row>
    <row r="709" spans="1:8" x14ac:dyDescent="0.25">
      <c r="E709" t="str">
        <f>"13732"</f>
        <v>13732</v>
      </c>
      <c r="F709" t="str">
        <f t="shared" si="7"/>
        <v>ABST FEE</v>
      </c>
      <c r="G709" s="3">
        <v>225</v>
      </c>
      <c r="H709" t="str">
        <f t="shared" si="8"/>
        <v>ABST FEE</v>
      </c>
    </row>
    <row r="710" spans="1:8" x14ac:dyDescent="0.25">
      <c r="A710" t="s">
        <v>211</v>
      </c>
      <c r="B710">
        <v>136755</v>
      </c>
      <c r="C710" s="3">
        <v>635.99</v>
      </c>
      <c r="D710" s="6">
        <v>44431</v>
      </c>
      <c r="E710" t="str">
        <f>"18020497"</f>
        <v>18020497</v>
      </c>
      <c r="F710" t="str">
        <f>"INV 18020497  18020688"</f>
        <v>INV 18020497  18020688</v>
      </c>
      <c r="G710" s="3">
        <v>231.05</v>
      </c>
      <c r="H710" t="str">
        <f>"INV 18020497"</f>
        <v>INV 18020497</v>
      </c>
    </row>
    <row r="711" spans="1:8" x14ac:dyDescent="0.25">
      <c r="E711" t="str">
        <f>""</f>
        <v/>
      </c>
      <c r="F711" t="str">
        <f>""</f>
        <v/>
      </c>
      <c r="G711" s="3">
        <v>133.02000000000001</v>
      </c>
      <c r="H711" t="str">
        <f>"INV 18020688"</f>
        <v>INV 18020688</v>
      </c>
    </row>
    <row r="712" spans="1:8" x14ac:dyDescent="0.25">
      <c r="E712" t="str">
        <f>""</f>
        <v/>
      </c>
      <c r="F712" t="str">
        <f>""</f>
        <v/>
      </c>
      <c r="G712" s="3">
        <v>98.82</v>
      </c>
      <c r="H712" t="str">
        <f>"INV 18044280"</f>
        <v>INV 18044280</v>
      </c>
    </row>
    <row r="713" spans="1:8" x14ac:dyDescent="0.25">
      <c r="E713" t="str">
        <f>""</f>
        <v/>
      </c>
      <c r="F713" t="str">
        <f>""</f>
        <v/>
      </c>
      <c r="G713" s="3">
        <v>86.55</v>
      </c>
      <c r="H713" t="str">
        <f>"INV 18154708"</f>
        <v>INV 18154708</v>
      </c>
    </row>
    <row r="714" spans="1:8" x14ac:dyDescent="0.25">
      <c r="E714" t="str">
        <f>""</f>
        <v/>
      </c>
      <c r="F714" t="str">
        <f>""</f>
        <v/>
      </c>
      <c r="G714" s="3">
        <v>86.55</v>
      </c>
      <c r="H714" t="str">
        <f>"INV 18157239"</f>
        <v>INV 18157239</v>
      </c>
    </row>
    <row r="715" spans="1:8" x14ac:dyDescent="0.25">
      <c r="A715" t="s">
        <v>212</v>
      </c>
      <c r="B715">
        <v>136756</v>
      </c>
      <c r="C715" s="3">
        <v>1064.18</v>
      </c>
      <c r="D715" s="6">
        <v>44431</v>
      </c>
      <c r="E715" t="str">
        <f>"202108175258"</f>
        <v>202108175258</v>
      </c>
      <c r="F715" t="str">
        <f>"INDIGENT HEALTH"</f>
        <v>INDIGENT HEALTH</v>
      </c>
      <c r="G715" s="3">
        <v>1064.18</v>
      </c>
      <c r="H715" t="str">
        <f>"INDIGENT HEALTH"</f>
        <v>INDIGENT HEALTH</v>
      </c>
    </row>
    <row r="716" spans="1:8" x14ac:dyDescent="0.25">
      <c r="A716" t="s">
        <v>213</v>
      </c>
      <c r="B716">
        <v>4891</v>
      </c>
      <c r="C716" s="3">
        <v>1250.45</v>
      </c>
      <c r="D716" s="6">
        <v>44418</v>
      </c>
      <c r="E716" t="str">
        <f>"202107304836"</f>
        <v>202107304836</v>
      </c>
      <c r="F716" t="str">
        <f>"MILEAGE/MELLANIE MICKELSON"</f>
        <v>MILEAGE/MELLANIE MICKELSON</v>
      </c>
      <c r="G716" s="3">
        <v>430.64</v>
      </c>
      <c r="H716" t="str">
        <f>"MILEAGE/MELLANIE MICKELSON"</f>
        <v>MILEAGE/MELLANIE MICKELSON</v>
      </c>
    </row>
    <row r="717" spans="1:8" x14ac:dyDescent="0.25">
      <c r="E717" t="str">
        <f>"202107304837"</f>
        <v>202107304837</v>
      </c>
      <c r="F717" t="str">
        <f>"REIMBURSE/MELLANIE MICKELSON"</f>
        <v>REIMBURSE/MELLANIE MICKELSON</v>
      </c>
      <c r="G717" s="3">
        <v>162.63</v>
      </c>
      <c r="H717" t="str">
        <f>"REIMBURSE/MELLANIE MICKELSON"</f>
        <v>REIMBURSE/MELLANIE MICKELSON</v>
      </c>
    </row>
    <row r="718" spans="1:8" x14ac:dyDescent="0.25">
      <c r="E718" t="str">
        <f>"202107304838"</f>
        <v>202107304838</v>
      </c>
      <c r="F718" t="str">
        <f>"REIMBURSE/MELLANIE MICKELSON"</f>
        <v>REIMBURSE/MELLANIE MICKELSON</v>
      </c>
      <c r="G718" s="3">
        <v>657.18</v>
      </c>
      <c r="H718" t="str">
        <f>"REIMBURSE/MELLANIE MICKELSON"</f>
        <v>REIMBURSE/MELLANIE MICKELSON</v>
      </c>
    </row>
    <row r="719" spans="1:8" x14ac:dyDescent="0.25">
      <c r="A719" t="s">
        <v>214</v>
      </c>
      <c r="B719">
        <v>136757</v>
      </c>
      <c r="C719" s="3">
        <v>9780</v>
      </c>
      <c r="D719" s="6">
        <v>44431</v>
      </c>
      <c r="E719" t="str">
        <f>"25546"</f>
        <v>25546</v>
      </c>
      <c r="F719" t="str">
        <f>"Mentalix Renewal SO"</f>
        <v>Mentalix Renewal SO</v>
      </c>
      <c r="G719" s="3">
        <v>300</v>
      </c>
      <c r="H719" t="str">
        <f>"M-1000PX-OPT"</f>
        <v>M-1000PX-OPT</v>
      </c>
    </row>
    <row r="720" spans="1:8" x14ac:dyDescent="0.25">
      <c r="E720" t="str">
        <f>""</f>
        <v/>
      </c>
      <c r="F720" t="str">
        <f>""</f>
        <v/>
      </c>
      <c r="G720" s="3">
        <v>4590</v>
      </c>
      <c r="H720" t="str">
        <f>"M-FS-TX-SPSCS-P-5"</f>
        <v>M-FS-TX-SPSCS-P-5</v>
      </c>
    </row>
    <row r="721" spans="1:8" x14ac:dyDescent="0.25">
      <c r="E721" t="str">
        <f>""</f>
        <v/>
      </c>
      <c r="F721" t="str">
        <f>""</f>
        <v/>
      </c>
      <c r="G721" s="3">
        <v>300</v>
      </c>
      <c r="H721" t="str">
        <f>"M-FS-MUGSHOT"</f>
        <v>M-FS-MUGSHOT</v>
      </c>
    </row>
    <row r="722" spans="1:8" x14ac:dyDescent="0.25">
      <c r="E722" t="str">
        <f>""</f>
        <v/>
      </c>
      <c r="F722" t="str">
        <f>""</f>
        <v/>
      </c>
      <c r="G722" s="3">
        <v>4590</v>
      </c>
      <c r="H722" t="str">
        <f>"M-FS-TX-SPSCS-P-5"</f>
        <v>M-FS-TX-SPSCS-P-5</v>
      </c>
    </row>
    <row r="723" spans="1:8" x14ac:dyDescent="0.25">
      <c r="A723" t="s">
        <v>215</v>
      </c>
      <c r="B723">
        <v>4870</v>
      </c>
      <c r="C723" s="3">
        <v>378.6</v>
      </c>
      <c r="D723" s="6">
        <v>44418</v>
      </c>
      <c r="E723" t="str">
        <f>"25152"</f>
        <v>25152</v>
      </c>
      <c r="F723" t="str">
        <f>"FREIGHT SALES/PCT#2"</f>
        <v>FREIGHT SALES/PCT#2</v>
      </c>
      <c r="G723" s="3">
        <v>257.60000000000002</v>
      </c>
      <c r="H723" t="str">
        <f>"FREIGHT SALES/PCT#2"</f>
        <v>FREIGHT SALES/PCT#2</v>
      </c>
    </row>
    <row r="724" spans="1:8" x14ac:dyDescent="0.25">
      <c r="E724" t="str">
        <f>"25194"</f>
        <v>25194</v>
      </c>
      <c r="F724" t="str">
        <f>"FREIGHT SALES/PCT#2"</f>
        <v>FREIGHT SALES/PCT#2</v>
      </c>
      <c r="G724" s="3">
        <v>121</v>
      </c>
      <c r="H724" t="str">
        <f>"FREIGHT SALES/PCT#2"</f>
        <v>FREIGHT SALES/PCT#2</v>
      </c>
    </row>
    <row r="725" spans="1:8" x14ac:dyDescent="0.25">
      <c r="A725" t="s">
        <v>215</v>
      </c>
      <c r="B725">
        <v>4940</v>
      </c>
      <c r="C725" s="3">
        <v>119.8</v>
      </c>
      <c r="D725" s="6">
        <v>44432</v>
      </c>
      <c r="E725" t="str">
        <f>"25292"</f>
        <v>25292</v>
      </c>
      <c r="F725" t="str">
        <f>"FRIGHT SALES/PCT#2"</f>
        <v>FRIGHT SALES/PCT#2</v>
      </c>
      <c r="G725" s="3">
        <v>119.8</v>
      </c>
      <c r="H725" t="str">
        <f>"FRIGHT SALES/PCT#2"</f>
        <v>FRIGHT SALES/PCT#2</v>
      </c>
    </row>
    <row r="726" spans="1:8" x14ac:dyDescent="0.25">
      <c r="A726" t="s">
        <v>216</v>
      </c>
      <c r="B726">
        <v>136622</v>
      </c>
      <c r="C726" s="3">
        <v>141.75</v>
      </c>
      <c r="D726" s="6">
        <v>44417</v>
      </c>
      <c r="E726" t="str">
        <f>"TX067195"</f>
        <v>TX067195</v>
      </c>
      <c r="F726" t="str">
        <f>"CUST#TX-C004092/ANIMAL SHELTER"</f>
        <v>CUST#TX-C004092/ANIMAL SHELTER</v>
      </c>
      <c r="G726" s="3">
        <v>60.17</v>
      </c>
      <c r="H726" t="str">
        <f>"CUST#TX-C004092/ANIMAL SHELTER"</f>
        <v>CUST#TX-C004092/ANIMAL SHELTER</v>
      </c>
    </row>
    <row r="727" spans="1:8" x14ac:dyDescent="0.25">
      <c r="E727" t="str">
        <f>"TX067640"</f>
        <v>TX067640</v>
      </c>
      <c r="F727" t="str">
        <f>"CUST#TX-C004092/ANIMAL SHELTER"</f>
        <v>CUST#TX-C004092/ANIMAL SHELTER</v>
      </c>
      <c r="G727" s="3">
        <v>41.67</v>
      </c>
      <c r="H727" t="str">
        <f>"CUST#TX-C004092/ANIMAL SHELTER"</f>
        <v>CUST#TX-C004092/ANIMAL SHELTER</v>
      </c>
    </row>
    <row r="728" spans="1:8" x14ac:dyDescent="0.25">
      <c r="E728" t="str">
        <f>"TX068132"</f>
        <v>TX068132</v>
      </c>
      <c r="F728" t="str">
        <f>"CUST#TX-C004092/ANIMAL SHELTER"</f>
        <v>CUST#TX-C004092/ANIMAL SHELTER</v>
      </c>
      <c r="G728" s="3">
        <v>39.909999999999997</v>
      </c>
      <c r="H728" t="str">
        <f>"CUST#TX-C004092/ANIMAL SHELTER"</f>
        <v>CUST#TX-C004092/ANIMAL SHELTER</v>
      </c>
    </row>
    <row r="729" spans="1:8" x14ac:dyDescent="0.25">
      <c r="A729" t="s">
        <v>217</v>
      </c>
      <c r="B729">
        <v>136495</v>
      </c>
      <c r="C729" s="3">
        <v>274</v>
      </c>
      <c r="D729" s="6">
        <v>44411</v>
      </c>
      <c r="E729" t="str">
        <f>"202108034901"</f>
        <v>202108034901</v>
      </c>
      <c r="F729" t="str">
        <f>"M"</f>
        <v>M</v>
      </c>
      <c r="G729" s="3">
        <v>274</v>
      </c>
      <c r="H729" t="str">
        <f>"Children's Advocacy Center"</f>
        <v>Children's Advocacy Center</v>
      </c>
    </row>
    <row r="730" spans="1:8" x14ac:dyDescent="0.25">
      <c r="A730" t="s">
        <v>218</v>
      </c>
      <c r="B730">
        <v>136496</v>
      </c>
      <c r="C730" s="3">
        <v>88</v>
      </c>
      <c r="D730" s="6">
        <v>44411</v>
      </c>
      <c r="E730" t="str">
        <f>"202108034902"</f>
        <v>202108034902</v>
      </c>
      <c r="F730" t="str">
        <f>"Miscell"</f>
        <v>Miscell</v>
      </c>
      <c r="G730" s="3">
        <v>88</v>
      </c>
      <c r="H730" t="str">
        <f>"Family Crisis Center"</f>
        <v>Family Crisis Center</v>
      </c>
    </row>
    <row r="731" spans="1:8" x14ac:dyDescent="0.25">
      <c r="A731" t="s">
        <v>219</v>
      </c>
      <c r="B731">
        <v>136497</v>
      </c>
      <c r="C731" s="3">
        <v>128</v>
      </c>
      <c r="D731" s="6">
        <v>44411</v>
      </c>
      <c r="E731" t="str">
        <f>"202108034903"</f>
        <v>202108034903</v>
      </c>
      <c r="F731" t="str">
        <f>""</f>
        <v/>
      </c>
      <c r="G731" s="3">
        <v>128</v>
      </c>
      <c r="H731" t="str">
        <f>"COURT APPOINTED SPECIAL ADVOCA"</f>
        <v>COURT APPOINTED SPECIAL ADVOCA</v>
      </c>
    </row>
    <row r="732" spans="1:8" x14ac:dyDescent="0.25">
      <c r="A732" t="s">
        <v>220</v>
      </c>
      <c r="B732">
        <v>136498</v>
      </c>
      <c r="C732" s="3">
        <v>100</v>
      </c>
      <c r="D732" s="6">
        <v>44411</v>
      </c>
      <c r="E732" t="str">
        <f>"202108034904"</f>
        <v>202108034904</v>
      </c>
      <c r="F732" t="str">
        <f>"Mi"</f>
        <v>Mi</v>
      </c>
      <c r="G732" s="3">
        <v>100</v>
      </c>
      <c r="H732" t="str">
        <f>"Child Protective Services"</f>
        <v>Child Protective Services</v>
      </c>
    </row>
    <row r="733" spans="1:8" x14ac:dyDescent="0.25">
      <c r="A733" t="s">
        <v>221</v>
      </c>
      <c r="B733">
        <v>136499</v>
      </c>
      <c r="C733" s="3">
        <v>6</v>
      </c>
      <c r="D733" s="6">
        <v>44411</v>
      </c>
      <c r="E733" t="str">
        <f>"202108034905"</f>
        <v>202108034905</v>
      </c>
      <c r="F733" t="str">
        <f>""</f>
        <v/>
      </c>
      <c r="G733" s="3">
        <v>6</v>
      </c>
      <c r="H733" t="str">
        <f>"JACQUELINE ALVARENGA-GUTIERREZ"</f>
        <v>JACQUELINE ALVARENGA-GUTIERREZ</v>
      </c>
    </row>
    <row r="734" spans="1:8" x14ac:dyDescent="0.25">
      <c r="A734" t="s">
        <v>222</v>
      </c>
      <c r="B734">
        <v>136500</v>
      </c>
      <c r="C734" s="3">
        <v>6</v>
      </c>
      <c r="D734" s="6">
        <v>44411</v>
      </c>
      <c r="E734" t="str">
        <f>"202108034906"</f>
        <v>202108034906</v>
      </c>
      <c r="F734" t="str">
        <f>""</f>
        <v/>
      </c>
      <c r="G734" s="3">
        <v>6</v>
      </c>
      <c r="H734" t="str">
        <f>"ANDREA MARIE HIGGINS-WILLIAMS"</f>
        <v>ANDREA MARIE HIGGINS-WILLIAMS</v>
      </c>
    </row>
    <row r="735" spans="1:8" x14ac:dyDescent="0.25">
      <c r="A735" t="s">
        <v>223</v>
      </c>
      <c r="B735">
        <v>136501</v>
      </c>
      <c r="C735" s="3">
        <v>6</v>
      </c>
      <c r="D735" s="6">
        <v>44411</v>
      </c>
      <c r="E735" t="str">
        <f>"202108034907"</f>
        <v>202108034907</v>
      </c>
      <c r="F735" t="str">
        <f>"Miscellan"</f>
        <v>Miscellan</v>
      </c>
      <c r="G735" s="3">
        <v>6</v>
      </c>
      <c r="H735" t="str">
        <f>"DAVID NOE MARTINEZ"</f>
        <v>DAVID NOE MARTINEZ</v>
      </c>
    </row>
    <row r="736" spans="1:8" x14ac:dyDescent="0.25">
      <c r="A736" t="s">
        <v>224</v>
      </c>
      <c r="B736">
        <v>136502</v>
      </c>
      <c r="C736" s="3">
        <v>6</v>
      </c>
      <c r="D736" s="6">
        <v>44411</v>
      </c>
      <c r="E736" t="str">
        <f>"202108034908"</f>
        <v>202108034908</v>
      </c>
      <c r="F736" t="str">
        <f>"Miscellaneo"</f>
        <v>Miscellaneo</v>
      </c>
      <c r="G736" s="3">
        <v>6</v>
      </c>
      <c r="H736" t="str">
        <f>"ADRIAN MARC MATA"</f>
        <v>ADRIAN MARC MATA</v>
      </c>
    </row>
    <row r="737" spans="1:8" x14ac:dyDescent="0.25">
      <c r="A737" t="s">
        <v>225</v>
      </c>
      <c r="B737">
        <v>136503</v>
      </c>
      <c r="C737" s="3">
        <v>6</v>
      </c>
      <c r="D737" s="6">
        <v>44411</v>
      </c>
      <c r="E737" t="str">
        <f>"202108034909"</f>
        <v>202108034909</v>
      </c>
      <c r="F737" t="str">
        <f>"Miscella"</f>
        <v>Miscella</v>
      </c>
      <c r="G737" s="3">
        <v>6</v>
      </c>
      <c r="H737" t="str">
        <f>"JAMES KEITH MCGOWIN"</f>
        <v>JAMES KEITH MCGOWIN</v>
      </c>
    </row>
    <row r="738" spans="1:8" x14ac:dyDescent="0.25">
      <c r="A738" t="s">
        <v>226</v>
      </c>
      <c r="B738">
        <v>136504</v>
      </c>
      <c r="C738" s="3">
        <v>46</v>
      </c>
      <c r="D738" s="6">
        <v>44411</v>
      </c>
      <c r="E738" t="str">
        <f>"202108034910"</f>
        <v>202108034910</v>
      </c>
      <c r="F738" t="str">
        <f>"Miscell"</f>
        <v>Miscell</v>
      </c>
      <c r="G738" s="3">
        <v>46</v>
      </c>
      <c r="H738" t="str">
        <f>"ANTHONY LOUIS OSWALD"</f>
        <v>ANTHONY LOUIS OSWALD</v>
      </c>
    </row>
    <row r="739" spans="1:8" x14ac:dyDescent="0.25">
      <c r="A739" t="s">
        <v>227</v>
      </c>
      <c r="B739">
        <v>136505</v>
      </c>
      <c r="C739" s="3">
        <v>6</v>
      </c>
      <c r="D739" s="6">
        <v>44411</v>
      </c>
      <c r="E739" t="str">
        <f>"202108034911"</f>
        <v>202108034911</v>
      </c>
      <c r="F739" t="str">
        <f>"Miscellan"</f>
        <v>Miscellan</v>
      </c>
      <c r="G739" s="3">
        <v>6</v>
      </c>
      <c r="H739" t="str">
        <f>"GRACE NICOLE PEREZ"</f>
        <v>GRACE NICOLE PEREZ</v>
      </c>
    </row>
    <row r="740" spans="1:8" x14ac:dyDescent="0.25">
      <c r="A740" t="s">
        <v>228</v>
      </c>
      <c r="B740">
        <v>136506</v>
      </c>
      <c r="C740" s="3">
        <v>6</v>
      </c>
      <c r="D740" s="6">
        <v>44411</v>
      </c>
      <c r="E740" t="str">
        <f>"202108034912"</f>
        <v>202108034912</v>
      </c>
      <c r="F740" t="str">
        <f>"Miscellaneo"</f>
        <v>Miscellaneo</v>
      </c>
      <c r="G740" s="3">
        <v>6</v>
      </c>
      <c r="H740" t="str">
        <f>"SUSANA ROBERTSON"</f>
        <v>SUSANA ROBERTSON</v>
      </c>
    </row>
    <row r="741" spans="1:8" x14ac:dyDescent="0.25">
      <c r="A741" t="s">
        <v>229</v>
      </c>
      <c r="B741">
        <v>136507</v>
      </c>
      <c r="C741" s="3">
        <v>6</v>
      </c>
      <c r="D741" s="6">
        <v>44411</v>
      </c>
      <c r="E741" t="str">
        <f>"202108034913"</f>
        <v>202108034913</v>
      </c>
      <c r="F741" t="str">
        <f>"Miscell"</f>
        <v>Miscell</v>
      </c>
      <c r="G741" s="3">
        <v>6</v>
      </c>
      <c r="H741" t="str">
        <f>"MARY SANCHEZ SALAZAR"</f>
        <v>MARY SANCHEZ SALAZAR</v>
      </c>
    </row>
    <row r="742" spans="1:8" x14ac:dyDescent="0.25">
      <c r="A742" t="s">
        <v>230</v>
      </c>
      <c r="B742">
        <v>136508</v>
      </c>
      <c r="C742" s="3">
        <v>6</v>
      </c>
      <c r="D742" s="6">
        <v>44411</v>
      </c>
      <c r="E742" t="str">
        <f>"202108034914"</f>
        <v>202108034914</v>
      </c>
      <c r="F742" t="str">
        <f>"Miscellaneous"</f>
        <v>Miscellaneous</v>
      </c>
      <c r="G742" s="3">
        <v>6</v>
      </c>
      <c r="H742" t="str">
        <f>"ROLAND G SILVA"</f>
        <v>ROLAND G SILVA</v>
      </c>
    </row>
    <row r="743" spans="1:8" x14ac:dyDescent="0.25">
      <c r="A743" t="s">
        <v>231</v>
      </c>
      <c r="B743">
        <v>136509</v>
      </c>
      <c r="C743" s="3">
        <v>6</v>
      </c>
      <c r="D743" s="6">
        <v>44411</v>
      </c>
      <c r="E743" t="str">
        <f>"202108034915"</f>
        <v>202108034915</v>
      </c>
      <c r="F743" t="str">
        <f>"Miscella"</f>
        <v>Miscella</v>
      </c>
      <c r="G743" s="3">
        <v>6</v>
      </c>
      <c r="H743" t="str">
        <f>"MELBA JANE SKUBIATA"</f>
        <v>MELBA JANE SKUBIATA</v>
      </c>
    </row>
    <row r="744" spans="1:8" x14ac:dyDescent="0.25">
      <c r="A744" t="s">
        <v>232</v>
      </c>
      <c r="B744">
        <v>136510</v>
      </c>
      <c r="C744" s="3">
        <v>6</v>
      </c>
      <c r="D744" s="6">
        <v>44411</v>
      </c>
      <c r="E744" t="str">
        <f>"202108034916"</f>
        <v>202108034916</v>
      </c>
      <c r="F744" t="str">
        <f>"Miscel"</f>
        <v>Miscel</v>
      </c>
      <c r="G744" s="3">
        <v>6</v>
      </c>
      <c r="H744" t="str">
        <f>"BREANNA NOEL STEADMAN"</f>
        <v>BREANNA NOEL STEADMAN</v>
      </c>
    </row>
    <row r="745" spans="1:8" x14ac:dyDescent="0.25">
      <c r="A745" t="s">
        <v>233</v>
      </c>
      <c r="B745">
        <v>136511</v>
      </c>
      <c r="C745" s="3">
        <v>6</v>
      </c>
      <c r="D745" s="6">
        <v>44411</v>
      </c>
      <c r="E745" t="str">
        <f>"202108034917"</f>
        <v>202108034917</v>
      </c>
      <c r="F745" t="str">
        <f>"Misc"</f>
        <v>Misc</v>
      </c>
      <c r="G745" s="3">
        <v>6</v>
      </c>
      <c r="H745" t="str">
        <f>"TIANNA KEANDREA HIGGINS"</f>
        <v>TIANNA KEANDREA HIGGINS</v>
      </c>
    </row>
    <row r="746" spans="1:8" x14ac:dyDescent="0.25">
      <c r="A746" t="s">
        <v>234</v>
      </c>
      <c r="B746">
        <v>136512</v>
      </c>
      <c r="C746" s="3">
        <v>6</v>
      </c>
      <c r="D746" s="6">
        <v>44411</v>
      </c>
      <c r="E746" t="str">
        <f>"202108034918"</f>
        <v>202108034918</v>
      </c>
      <c r="F746" t="str">
        <f>"Miscel"</f>
        <v>Miscel</v>
      </c>
      <c r="G746" s="3">
        <v>6</v>
      </c>
      <c r="H746" t="str">
        <f>"MARJORIE OLIVER HICKS"</f>
        <v>MARJORIE OLIVER HICKS</v>
      </c>
    </row>
    <row r="747" spans="1:8" x14ac:dyDescent="0.25">
      <c r="A747" t="s">
        <v>235</v>
      </c>
      <c r="B747">
        <v>136513</v>
      </c>
      <c r="C747" s="3">
        <v>6</v>
      </c>
      <c r="D747" s="6">
        <v>44411</v>
      </c>
      <c r="E747" t="str">
        <f>"202108034919"</f>
        <v>202108034919</v>
      </c>
      <c r="F747" t="str">
        <f>"Miscellaneous"</f>
        <v>Miscellaneous</v>
      </c>
      <c r="G747" s="3">
        <v>6</v>
      </c>
      <c r="H747" t="str">
        <f>"CIANNA GARCIA"</f>
        <v>CIANNA GARCIA</v>
      </c>
    </row>
    <row r="748" spans="1:8" x14ac:dyDescent="0.25">
      <c r="A748" t="s">
        <v>236</v>
      </c>
      <c r="B748">
        <v>136514</v>
      </c>
      <c r="C748" s="3">
        <v>6</v>
      </c>
      <c r="D748" s="6">
        <v>44411</v>
      </c>
      <c r="E748" t="str">
        <f>"202108034920"</f>
        <v>202108034920</v>
      </c>
      <c r="F748" t="str">
        <f>"Mis"</f>
        <v>Mis</v>
      </c>
      <c r="G748" s="3">
        <v>6</v>
      </c>
      <c r="H748" t="str">
        <f>"NICHOLAS JOHN STEINBRING"</f>
        <v>NICHOLAS JOHN STEINBRING</v>
      </c>
    </row>
    <row r="749" spans="1:8" x14ac:dyDescent="0.25">
      <c r="A749" t="s">
        <v>237</v>
      </c>
      <c r="B749">
        <v>136515</v>
      </c>
      <c r="C749" s="3">
        <v>6</v>
      </c>
      <c r="D749" s="6">
        <v>44411</v>
      </c>
      <c r="E749" t="str">
        <f>"202108034921"</f>
        <v>202108034921</v>
      </c>
      <c r="F749" t="str">
        <f>"Miscel"</f>
        <v>Miscel</v>
      </c>
      <c r="G749" s="3">
        <v>6</v>
      </c>
      <c r="H749" t="str">
        <f>"TORRILYN GRACE GANNON"</f>
        <v>TORRILYN GRACE GANNON</v>
      </c>
    </row>
    <row r="750" spans="1:8" x14ac:dyDescent="0.25">
      <c r="A750" t="s">
        <v>238</v>
      </c>
      <c r="B750">
        <v>136516</v>
      </c>
      <c r="C750" s="3">
        <v>6</v>
      </c>
      <c r="D750" s="6">
        <v>44411</v>
      </c>
      <c r="E750" t="str">
        <f>"202108034922"</f>
        <v>202108034922</v>
      </c>
      <c r="F750" t="str">
        <f>"Miscel"</f>
        <v>Miscel</v>
      </c>
      <c r="G750" s="3">
        <v>6</v>
      </c>
      <c r="H750" t="str">
        <f>"COURTNEY BLAKE GAINES"</f>
        <v>COURTNEY BLAKE GAINES</v>
      </c>
    </row>
    <row r="751" spans="1:8" x14ac:dyDescent="0.25">
      <c r="A751" t="s">
        <v>239</v>
      </c>
      <c r="B751">
        <v>136517</v>
      </c>
      <c r="C751" s="3">
        <v>46</v>
      </c>
      <c r="D751" s="6">
        <v>44411</v>
      </c>
      <c r="E751" t="str">
        <f>"202108034923"</f>
        <v>202108034923</v>
      </c>
      <c r="F751" t="str">
        <f>"Misce"</f>
        <v>Misce</v>
      </c>
      <c r="G751" s="3">
        <v>46</v>
      </c>
      <c r="H751" t="str">
        <f>"RICHARD TERRELL FRENCH"</f>
        <v>RICHARD TERRELL FRENCH</v>
      </c>
    </row>
    <row r="752" spans="1:8" x14ac:dyDescent="0.25">
      <c r="A752" t="s">
        <v>240</v>
      </c>
      <c r="B752">
        <v>136518</v>
      </c>
      <c r="C752" s="3">
        <v>6</v>
      </c>
      <c r="D752" s="6">
        <v>44411</v>
      </c>
      <c r="E752" t="str">
        <f>"202108034924"</f>
        <v>202108034924</v>
      </c>
      <c r="F752" t="str">
        <f>"Misce"</f>
        <v>Misce</v>
      </c>
      <c r="G752" s="3">
        <v>6</v>
      </c>
      <c r="H752" t="str">
        <f>"CLIFFTON JOEL CRUTCHER"</f>
        <v>CLIFFTON JOEL CRUTCHER</v>
      </c>
    </row>
    <row r="753" spans="1:8" x14ac:dyDescent="0.25">
      <c r="A753" t="s">
        <v>241</v>
      </c>
      <c r="B753">
        <v>136519</v>
      </c>
      <c r="C753" s="3">
        <v>6</v>
      </c>
      <c r="D753" s="6">
        <v>44411</v>
      </c>
      <c r="E753" t="str">
        <f>"202108034925"</f>
        <v>202108034925</v>
      </c>
      <c r="F753" t="str">
        <f>"Miscellane"</f>
        <v>Miscellane</v>
      </c>
      <c r="G753" s="3">
        <v>6</v>
      </c>
      <c r="H753" t="str">
        <f>"BRIAN M CRIMINGER"</f>
        <v>BRIAN M CRIMINGER</v>
      </c>
    </row>
    <row r="754" spans="1:8" x14ac:dyDescent="0.25">
      <c r="A754" t="s">
        <v>242</v>
      </c>
      <c r="B754">
        <v>136520</v>
      </c>
      <c r="C754" s="3">
        <v>6</v>
      </c>
      <c r="D754" s="6">
        <v>44411</v>
      </c>
      <c r="E754" t="str">
        <f>"202108034926"</f>
        <v>202108034926</v>
      </c>
      <c r="F754" t="str">
        <f>"Miscellane"</f>
        <v>Miscellane</v>
      </c>
      <c r="G754" s="3">
        <v>6</v>
      </c>
      <c r="H754" t="str">
        <f>"JIMMIE LEE CARTER"</f>
        <v>JIMMIE LEE CARTER</v>
      </c>
    </row>
    <row r="755" spans="1:8" x14ac:dyDescent="0.25">
      <c r="A755" t="s">
        <v>243</v>
      </c>
      <c r="B755">
        <v>136521</v>
      </c>
      <c r="C755" s="3">
        <v>6</v>
      </c>
      <c r="D755" s="6">
        <v>44411</v>
      </c>
      <c r="E755" t="str">
        <f>"202108034927"</f>
        <v>202108034927</v>
      </c>
      <c r="F755" t="str">
        <f>"Miscellaneous"</f>
        <v>Miscellaneous</v>
      </c>
      <c r="G755" s="3">
        <v>6</v>
      </c>
      <c r="H755" t="str">
        <f>"HECTOR CARDONA"</f>
        <v>HECTOR CARDONA</v>
      </c>
    </row>
    <row r="756" spans="1:8" x14ac:dyDescent="0.25">
      <c r="A756" t="s">
        <v>244</v>
      </c>
      <c r="B756">
        <v>136522</v>
      </c>
      <c r="C756" s="3">
        <v>46</v>
      </c>
      <c r="D756" s="6">
        <v>44411</v>
      </c>
      <c r="E756" t="str">
        <f>"202108034928"</f>
        <v>202108034928</v>
      </c>
      <c r="F756" t="str">
        <f>"Miscell"</f>
        <v>Miscell</v>
      </c>
      <c r="G756" s="3">
        <v>46</v>
      </c>
      <c r="H756" t="str">
        <f>"TRAVIS PAUL BURKLUND"</f>
        <v>TRAVIS PAUL BURKLUND</v>
      </c>
    </row>
    <row r="757" spans="1:8" x14ac:dyDescent="0.25">
      <c r="A757" t="s">
        <v>245</v>
      </c>
      <c r="B757">
        <v>136523</v>
      </c>
      <c r="C757" s="3">
        <v>6</v>
      </c>
      <c r="D757" s="6">
        <v>44411</v>
      </c>
      <c r="E757" t="str">
        <f>"202108034929"</f>
        <v>202108034929</v>
      </c>
      <c r="F757" t="str">
        <f>"Misc"</f>
        <v>Misc</v>
      </c>
      <c r="G757" s="3">
        <v>6</v>
      </c>
      <c r="H757" t="str">
        <f>"KAYLA NICHOLE BOATRIGHT"</f>
        <v>KAYLA NICHOLE BOATRIGHT</v>
      </c>
    </row>
    <row r="758" spans="1:8" x14ac:dyDescent="0.25">
      <c r="A758" t="s">
        <v>246</v>
      </c>
      <c r="B758">
        <v>136524</v>
      </c>
      <c r="C758" s="3">
        <v>46</v>
      </c>
      <c r="D758" s="6">
        <v>44411</v>
      </c>
      <c r="E758" t="str">
        <f>"202108034930"</f>
        <v>202108034930</v>
      </c>
      <c r="F758" t="str">
        <f>"Miscellan"</f>
        <v>Miscellan</v>
      </c>
      <c r="G758" s="3">
        <v>46</v>
      </c>
      <c r="H758" t="str">
        <f>"ROBERTO COY BARRON"</f>
        <v>ROBERTO COY BARRON</v>
      </c>
    </row>
    <row r="759" spans="1:8" x14ac:dyDescent="0.25">
      <c r="A759" t="s">
        <v>247</v>
      </c>
      <c r="B759">
        <v>136525</v>
      </c>
      <c r="C759" s="3">
        <v>6</v>
      </c>
      <c r="D759" s="6">
        <v>44411</v>
      </c>
      <c r="E759" t="str">
        <f>"202108034931"</f>
        <v>202108034931</v>
      </c>
      <c r="F759" t="str">
        <f>""</f>
        <v/>
      </c>
      <c r="G759" s="3">
        <v>6</v>
      </c>
      <c r="H759" t="str">
        <f>"ALEXIS RAYANNA NICOLE BARRETT"</f>
        <v>ALEXIS RAYANNA NICOLE BARRETT</v>
      </c>
    </row>
    <row r="760" spans="1:8" x14ac:dyDescent="0.25">
      <c r="A760" t="s">
        <v>248</v>
      </c>
      <c r="B760">
        <v>136526</v>
      </c>
      <c r="C760" s="3">
        <v>6</v>
      </c>
      <c r="D760" s="6">
        <v>44411</v>
      </c>
      <c r="E760" t="str">
        <f>"202108034932"</f>
        <v>202108034932</v>
      </c>
      <c r="F760" t="str">
        <f>"Misc"</f>
        <v>Misc</v>
      </c>
      <c r="G760" s="3">
        <v>6</v>
      </c>
      <c r="H760" t="str">
        <f>"PERTHRESSIA KAY BARNETT"</f>
        <v>PERTHRESSIA KAY BARNETT</v>
      </c>
    </row>
    <row r="761" spans="1:8" x14ac:dyDescent="0.25">
      <c r="A761" t="s">
        <v>249</v>
      </c>
      <c r="B761">
        <v>136527</v>
      </c>
      <c r="C761" s="3">
        <v>6</v>
      </c>
      <c r="D761" s="6">
        <v>44411</v>
      </c>
      <c r="E761" t="str">
        <f>"202108034933"</f>
        <v>202108034933</v>
      </c>
      <c r="F761" t="str">
        <f>"Miscellaneous"</f>
        <v>Miscellaneous</v>
      </c>
      <c r="G761" s="3">
        <v>6</v>
      </c>
      <c r="H761" t="str">
        <f>"BRENDA GARCIA"</f>
        <v>BRENDA GARCIA</v>
      </c>
    </row>
    <row r="762" spans="1:8" x14ac:dyDescent="0.25">
      <c r="A762" t="s">
        <v>250</v>
      </c>
      <c r="B762">
        <v>136528</v>
      </c>
      <c r="C762" s="3">
        <v>46</v>
      </c>
      <c r="D762" s="6">
        <v>44411</v>
      </c>
      <c r="E762" t="str">
        <f>"202108034934"</f>
        <v>202108034934</v>
      </c>
      <c r="F762" t="str">
        <f>"Miscella"</f>
        <v>Miscella</v>
      </c>
      <c r="G762" s="3">
        <v>46</v>
      </c>
      <c r="H762" t="str">
        <f>"TERESA CARLOS TOBAR"</f>
        <v>TERESA CARLOS TOBAR</v>
      </c>
    </row>
    <row r="763" spans="1:8" x14ac:dyDescent="0.25">
      <c r="A763" t="s">
        <v>251</v>
      </c>
      <c r="B763">
        <v>136529</v>
      </c>
      <c r="C763" s="3">
        <v>40</v>
      </c>
      <c r="D763" s="6">
        <v>44412</v>
      </c>
      <c r="E763" t="str">
        <f>"202108045031"</f>
        <v>202108045031</v>
      </c>
      <c r="F763" t="str">
        <f>"Misc"</f>
        <v>Misc</v>
      </c>
      <c r="G763" s="3">
        <v>40</v>
      </c>
      <c r="H763" t="str">
        <f>"FRANCES ELIZABETH DRUCK"</f>
        <v>FRANCES ELIZABETH DRUCK</v>
      </c>
    </row>
    <row r="764" spans="1:8" x14ac:dyDescent="0.25">
      <c r="A764" t="s">
        <v>252</v>
      </c>
      <c r="B764">
        <v>136530</v>
      </c>
      <c r="C764" s="3">
        <v>40</v>
      </c>
      <c r="D764" s="6">
        <v>44412</v>
      </c>
      <c r="E764" t="str">
        <f>"202108045032"</f>
        <v>202108045032</v>
      </c>
      <c r="F764" t="str">
        <f>"Miscel"</f>
        <v>Miscel</v>
      </c>
      <c r="G764" s="3">
        <v>40</v>
      </c>
      <c r="H764" t="str">
        <f>"KIRSTEN GILLIAM GLENN"</f>
        <v>KIRSTEN GILLIAM GLENN</v>
      </c>
    </row>
    <row r="765" spans="1:8" x14ac:dyDescent="0.25">
      <c r="A765" t="s">
        <v>253</v>
      </c>
      <c r="B765">
        <v>136531</v>
      </c>
      <c r="C765" s="3">
        <v>40</v>
      </c>
      <c r="D765" s="6">
        <v>44412</v>
      </c>
      <c r="E765" t="str">
        <f>"202108045033"</f>
        <v>202108045033</v>
      </c>
      <c r="F765" t="str">
        <f>"Miscellaneou"</f>
        <v>Miscellaneou</v>
      </c>
      <c r="G765" s="3">
        <v>40</v>
      </c>
      <c r="H765" t="str">
        <f>"ELIZABETH VALLE"</f>
        <v>ELIZABETH VALLE</v>
      </c>
    </row>
    <row r="766" spans="1:8" x14ac:dyDescent="0.25">
      <c r="A766" t="s">
        <v>254</v>
      </c>
      <c r="B766">
        <v>136532</v>
      </c>
      <c r="C766" s="3">
        <v>40</v>
      </c>
      <c r="D766" s="6">
        <v>44412</v>
      </c>
      <c r="E766" t="str">
        <f>"202108045034"</f>
        <v>202108045034</v>
      </c>
      <c r="F766" t="str">
        <f>"Miscellan"</f>
        <v>Miscellan</v>
      </c>
      <c r="G766" s="3">
        <v>40</v>
      </c>
      <c r="H766" t="str">
        <f>"STARBUCK LYNN GAUL"</f>
        <v>STARBUCK LYNN GAUL</v>
      </c>
    </row>
    <row r="767" spans="1:8" x14ac:dyDescent="0.25">
      <c r="A767" t="s">
        <v>255</v>
      </c>
      <c r="B767">
        <v>136533</v>
      </c>
      <c r="C767" s="3">
        <v>40</v>
      </c>
      <c r="D767" s="6">
        <v>44412</v>
      </c>
      <c r="E767" t="str">
        <f>"202108045035"</f>
        <v>202108045035</v>
      </c>
      <c r="F767" t="str">
        <f>"Miscel"</f>
        <v>Miscel</v>
      </c>
      <c r="G767" s="3">
        <v>40</v>
      </c>
      <c r="H767" t="str">
        <f>"CLARK RONALD BERNHARD"</f>
        <v>CLARK RONALD BERNHARD</v>
      </c>
    </row>
    <row r="768" spans="1:8" x14ac:dyDescent="0.25">
      <c r="A768" t="s">
        <v>256</v>
      </c>
      <c r="B768">
        <v>136534</v>
      </c>
      <c r="C768" s="3">
        <v>40</v>
      </c>
      <c r="D768" s="6">
        <v>44412</v>
      </c>
      <c r="E768" t="str">
        <f>"202108045036"</f>
        <v>202108045036</v>
      </c>
      <c r="F768" t="str">
        <f>"Miscell"</f>
        <v>Miscell</v>
      </c>
      <c r="G768" s="3">
        <v>40</v>
      </c>
      <c r="H768" t="str">
        <f>"HEATH EDWARD FREPPON"</f>
        <v>HEATH EDWARD FREPPON</v>
      </c>
    </row>
    <row r="769" spans="1:8" x14ac:dyDescent="0.25">
      <c r="A769" t="s">
        <v>257</v>
      </c>
      <c r="B769">
        <v>136535</v>
      </c>
      <c r="C769" s="3">
        <v>40</v>
      </c>
      <c r="D769" s="6">
        <v>44412</v>
      </c>
      <c r="E769" t="str">
        <f>"202108045037"</f>
        <v>202108045037</v>
      </c>
      <c r="F769" t="str">
        <f>"Miscella"</f>
        <v>Miscella</v>
      </c>
      <c r="G769" s="3">
        <v>40</v>
      </c>
      <c r="H769" t="str">
        <f>"GLENIS JANELL MCBEE"</f>
        <v>GLENIS JANELL MCBEE</v>
      </c>
    </row>
    <row r="770" spans="1:8" x14ac:dyDescent="0.25">
      <c r="A770" t="s">
        <v>258</v>
      </c>
      <c r="B770">
        <v>136536</v>
      </c>
      <c r="C770" s="3">
        <v>40</v>
      </c>
      <c r="D770" s="6">
        <v>44412</v>
      </c>
      <c r="E770" t="str">
        <f>"202108045038"</f>
        <v>202108045038</v>
      </c>
      <c r="F770" t="str">
        <f>"Miscella"</f>
        <v>Miscella</v>
      </c>
      <c r="G770" s="3">
        <v>40</v>
      </c>
      <c r="H770" t="str">
        <f>"JEFF BELL MILLER JR"</f>
        <v>JEFF BELL MILLER JR</v>
      </c>
    </row>
    <row r="771" spans="1:8" x14ac:dyDescent="0.25">
      <c r="A771" t="s">
        <v>259</v>
      </c>
      <c r="B771">
        <v>136537</v>
      </c>
      <c r="C771" s="3">
        <v>40</v>
      </c>
      <c r="D771" s="6">
        <v>44412</v>
      </c>
      <c r="E771" t="str">
        <f>"202108045039"</f>
        <v>202108045039</v>
      </c>
      <c r="F771" t="str">
        <f>"Miscellane"</f>
        <v>Miscellane</v>
      </c>
      <c r="G771" s="3">
        <v>40</v>
      </c>
      <c r="H771" t="str">
        <f>"ROBIN LYNN LILLEY"</f>
        <v>ROBIN LYNN LILLEY</v>
      </c>
    </row>
    <row r="772" spans="1:8" x14ac:dyDescent="0.25">
      <c r="A772" t="s">
        <v>260</v>
      </c>
      <c r="B772">
        <v>136538</v>
      </c>
      <c r="C772" s="3">
        <v>40</v>
      </c>
      <c r="D772" s="6">
        <v>44412</v>
      </c>
      <c r="E772" t="str">
        <f>"202108045040"</f>
        <v>202108045040</v>
      </c>
      <c r="F772" t="str">
        <f>"Miscell"</f>
        <v>Miscell</v>
      </c>
      <c r="G772" s="3">
        <v>40</v>
      </c>
      <c r="H772" t="str">
        <f>"RICHARD GERARD AMAYA"</f>
        <v>RICHARD GERARD AMAYA</v>
      </c>
    </row>
    <row r="773" spans="1:8" x14ac:dyDescent="0.25">
      <c r="A773" t="s">
        <v>261</v>
      </c>
      <c r="B773">
        <v>136539</v>
      </c>
      <c r="C773" s="3">
        <v>40</v>
      </c>
      <c r="D773" s="6">
        <v>44412</v>
      </c>
      <c r="E773" t="str">
        <f>"202108045041"</f>
        <v>202108045041</v>
      </c>
      <c r="F773" t="str">
        <f>"Miscella"</f>
        <v>Miscella</v>
      </c>
      <c r="G773" s="3">
        <v>40</v>
      </c>
      <c r="H773" t="str">
        <f>"AMY MICHELLE COLTER"</f>
        <v>AMY MICHELLE COLTER</v>
      </c>
    </row>
    <row r="774" spans="1:8" x14ac:dyDescent="0.25">
      <c r="A774" t="s">
        <v>262</v>
      </c>
      <c r="B774">
        <v>136758</v>
      </c>
      <c r="C774" s="3">
        <v>75</v>
      </c>
      <c r="D774" s="6">
        <v>44431</v>
      </c>
      <c r="E774" t="str">
        <f>"13094"</f>
        <v>13094</v>
      </c>
      <c r="F774" t="str">
        <f>"SERVICE"</f>
        <v>SERVICE</v>
      </c>
      <c r="G774" s="3">
        <v>75</v>
      </c>
      <c r="H774" t="str">
        <f>"SERVICE"</f>
        <v>SERVICE</v>
      </c>
    </row>
    <row r="775" spans="1:8" x14ac:dyDescent="0.25">
      <c r="A775" t="s">
        <v>263</v>
      </c>
      <c r="B775">
        <v>4878</v>
      </c>
      <c r="C775" s="3">
        <v>183.97</v>
      </c>
      <c r="D775" s="6">
        <v>44418</v>
      </c>
      <c r="E775" t="str">
        <f>"PART5631422"</f>
        <v>PART5631422</v>
      </c>
      <c r="F775" t="str">
        <f>"CUST#1006635/OEM"</f>
        <v>CUST#1006635/OEM</v>
      </c>
      <c r="G775" s="3">
        <v>22.85</v>
      </c>
      <c r="H775" t="str">
        <f>"CUST#1006635/OEM"</f>
        <v>CUST#1006635/OEM</v>
      </c>
    </row>
    <row r="776" spans="1:8" x14ac:dyDescent="0.25">
      <c r="E776" t="str">
        <f>"PART5632741"</f>
        <v>PART5632741</v>
      </c>
      <c r="F776" t="str">
        <f>"CUST#1006635/OEM"</f>
        <v>CUST#1006635/OEM</v>
      </c>
      <c r="G776" s="3">
        <v>4.34</v>
      </c>
      <c r="H776" t="str">
        <f>"CUST#1006635/OEM"</f>
        <v>CUST#1006635/OEM</v>
      </c>
    </row>
    <row r="777" spans="1:8" x14ac:dyDescent="0.25">
      <c r="E777" t="str">
        <f>"PART5649869/OEM"</f>
        <v>PART5649869/OEM</v>
      </c>
      <c r="F777" t="str">
        <f>"CUST#1006635/OEM"</f>
        <v>CUST#1006635/OEM</v>
      </c>
      <c r="G777" s="3">
        <v>156.78</v>
      </c>
      <c r="H777" t="str">
        <f>"CUST#1006635/OEM"</f>
        <v>CUST#1006635/OEM</v>
      </c>
    </row>
    <row r="778" spans="1:8" x14ac:dyDescent="0.25">
      <c r="A778" t="s">
        <v>264</v>
      </c>
      <c r="B778">
        <v>136759</v>
      </c>
      <c r="C778" s="3">
        <v>1014.55</v>
      </c>
      <c r="D778" s="6">
        <v>44431</v>
      </c>
      <c r="E778" t="str">
        <f>"6670116498"</f>
        <v>6670116498</v>
      </c>
      <c r="F778" t="str">
        <f>"ACCT#500095240"</f>
        <v>ACCT#500095240</v>
      </c>
      <c r="G778" s="3">
        <v>1014.55</v>
      </c>
      <c r="H778" t="str">
        <f>"ACCT#500095240"</f>
        <v>ACCT#500095240</v>
      </c>
    </row>
    <row r="779" spans="1:8" x14ac:dyDescent="0.25">
      <c r="A779" t="s">
        <v>265</v>
      </c>
      <c r="B779">
        <v>4861</v>
      </c>
      <c r="C779" s="3">
        <v>1296</v>
      </c>
      <c r="D779" s="6">
        <v>44418</v>
      </c>
      <c r="E779" t="str">
        <f>"IN0862896"</f>
        <v>IN0862896</v>
      </c>
      <c r="F779" t="str">
        <f>"INV IN0862896"</f>
        <v>INV IN0862896</v>
      </c>
      <c r="G779" s="3">
        <v>1296</v>
      </c>
      <c r="H779" t="str">
        <f>"INV IN0862896"</f>
        <v>INV IN0862896</v>
      </c>
    </row>
    <row r="780" spans="1:8" x14ac:dyDescent="0.25">
      <c r="A780" t="s">
        <v>265</v>
      </c>
      <c r="B780">
        <v>4930</v>
      </c>
      <c r="C780" s="3">
        <v>12956.55</v>
      </c>
      <c r="D780" s="6">
        <v>44432</v>
      </c>
      <c r="E780" t="str">
        <f>"IN086231"</f>
        <v>IN086231</v>
      </c>
      <c r="F780" t="str">
        <f>"INV IN0862931"</f>
        <v>INV IN0862931</v>
      </c>
      <c r="G780" s="3">
        <v>7572.6</v>
      </c>
      <c r="H780" t="str">
        <f>"INV IN0862931"</f>
        <v>INV IN0862931</v>
      </c>
    </row>
    <row r="781" spans="1:8" x14ac:dyDescent="0.25">
      <c r="E781" t="str">
        <f>"IN0862769"</f>
        <v>IN0862769</v>
      </c>
      <c r="F781" t="str">
        <f>"INV IN0862769"</f>
        <v>INV IN0862769</v>
      </c>
      <c r="G781" s="3">
        <v>3763.95</v>
      </c>
      <c r="H781" t="str">
        <f>"INV IN0862769"</f>
        <v>INV IN0862769</v>
      </c>
    </row>
    <row r="782" spans="1:8" x14ac:dyDescent="0.25">
      <c r="E782" t="str">
        <f>"IN0862864"</f>
        <v>IN0862864</v>
      </c>
      <c r="F782" t="str">
        <f>"INV IN0862864"</f>
        <v>INV IN0862864</v>
      </c>
      <c r="G782" s="3">
        <v>1620</v>
      </c>
      <c r="H782" t="str">
        <f>"INV IN0862864"</f>
        <v>INV IN0862864</v>
      </c>
    </row>
    <row r="783" spans="1:8" x14ac:dyDescent="0.25">
      <c r="A783" t="s">
        <v>266</v>
      </c>
      <c r="B783">
        <v>136624</v>
      </c>
      <c r="C783" s="3">
        <v>75</v>
      </c>
      <c r="D783" s="6">
        <v>44417</v>
      </c>
      <c r="E783" t="str">
        <f>"12543"</f>
        <v>12543</v>
      </c>
      <c r="F783" t="str">
        <f>"SERVICE"</f>
        <v>SERVICE</v>
      </c>
      <c r="G783" s="3">
        <v>75</v>
      </c>
      <c r="H783" t="str">
        <f>"SERVICE"</f>
        <v>SERVICE</v>
      </c>
    </row>
    <row r="784" spans="1:8" x14ac:dyDescent="0.25">
      <c r="A784" t="s">
        <v>267</v>
      </c>
      <c r="B784">
        <v>136625</v>
      </c>
      <c r="C784" s="3">
        <v>2726.5</v>
      </c>
      <c r="D784" s="6">
        <v>44417</v>
      </c>
      <c r="E784" t="str">
        <f>"25238"</f>
        <v>25238</v>
      </c>
      <c r="F784" t="str">
        <f>"CISSPTraining JasonParker"</f>
        <v>CISSPTraining JasonParker</v>
      </c>
      <c r="G784" s="3">
        <v>3895</v>
      </c>
      <c r="H784" t="str">
        <f>"CISSPTraining JasonParker"</f>
        <v>CISSPTraining JasonParker</v>
      </c>
    </row>
    <row r="785" spans="1:8" x14ac:dyDescent="0.25">
      <c r="E785" t="str">
        <f>""</f>
        <v/>
      </c>
      <c r="F785" t="str">
        <f>""</f>
        <v/>
      </c>
      <c r="G785" s="3">
        <v>-1168.5</v>
      </c>
      <c r="H785" t="str">
        <f>"Discount"</f>
        <v>Discount</v>
      </c>
    </row>
    <row r="786" spans="1:8" x14ac:dyDescent="0.25">
      <c r="A786" t="s">
        <v>268</v>
      </c>
      <c r="B786">
        <v>136626</v>
      </c>
      <c r="C786" s="3">
        <v>900</v>
      </c>
      <c r="D786" s="6">
        <v>44417</v>
      </c>
      <c r="E786" t="str">
        <f>"JULY 25"</f>
        <v>JULY 25</v>
      </c>
      <c r="F786" t="str">
        <f>"INV JULY 25  2021"</f>
        <v>INV JULY 25  2021</v>
      </c>
      <c r="G786" s="3">
        <v>900</v>
      </c>
      <c r="H786" t="str">
        <f>"INV JULY 25  2021"</f>
        <v>INV JULY 25  2021</v>
      </c>
    </row>
    <row r="787" spans="1:8" x14ac:dyDescent="0.25">
      <c r="A787" t="s">
        <v>269</v>
      </c>
      <c r="B787">
        <v>4921</v>
      </c>
      <c r="C787" s="3">
        <v>208.84</v>
      </c>
      <c r="D787" s="6">
        <v>44418</v>
      </c>
      <c r="E787" t="str">
        <f>"0581-310006"</f>
        <v>0581-310006</v>
      </c>
      <c r="F787" t="str">
        <f>"INV 0581-310006"</f>
        <v>INV 0581-310006</v>
      </c>
      <c r="G787" s="3">
        <v>124.21</v>
      </c>
      <c r="H787" t="str">
        <f>"INV 0581-310006"</f>
        <v>INV 0581-310006</v>
      </c>
    </row>
    <row r="788" spans="1:8" x14ac:dyDescent="0.25">
      <c r="E788" t="str">
        <f>"202108034950"</f>
        <v>202108034950</v>
      </c>
      <c r="F788" t="str">
        <f>"CUST#99088/PCT#4"</f>
        <v>CUST#99088/PCT#4</v>
      </c>
      <c r="G788" s="3">
        <v>84.63</v>
      </c>
      <c r="H788" t="str">
        <f>"CUST#99088/PCT#4"</f>
        <v>CUST#99088/PCT#4</v>
      </c>
    </row>
    <row r="789" spans="1:8" x14ac:dyDescent="0.25">
      <c r="A789" t="s">
        <v>269</v>
      </c>
      <c r="B789">
        <v>4988</v>
      </c>
      <c r="C789" s="3">
        <v>224.29</v>
      </c>
      <c r="D789" s="6">
        <v>44432</v>
      </c>
      <c r="E789" t="str">
        <f>"0581-315699"</f>
        <v>0581-315699</v>
      </c>
      <c r="F789" t="str">
        <f>"INV 0581-315699"</f>
        <v>INV 0581-315699</v>
      </c>
      <c r="G789" s="3">
        <v>68.38</v>
      </c>
      <c r="H789" t="str">
        <f>"INV 0581-315699"</f>
        <v>INV 0581-315699</v>
      </c>
    </row>
    <row r="790" spans="1:8" x14ac:dyDescent="0.25">
      <c r="E790" t="str">
        <f>"0605-442046"</f>
        <v>0605-442046</v>
      </c>
      <c r="F790" t="str">
        <f>"INV 0605-442046"</f>
        <v>INV 0605-442046</v>
      </c>
      <c r="G790" s="3">
        <v>155.91</v>
      </c>
      <c r="H790" t="str">
        <f>"INV 0605-442046"</f>
        <v>INV 0605-442046</v>
      </c>
    </row>
    <row r="791" spans="1:8" x14ac:dyDescent="0.25">
      <c r="A791" t="s">
        <v>270</v>
      </c>
      <c r="B791">
        <v>136667</v>
      </c>
      <c r="C791" s="3">
        <v>8919.82</v>
      </c>
      <c r="D791" s="6">
        <v>44421</v>
      </c>
      <c r="E791" t="str">
        <f>"202108135213"</f>
        <v>202108135213</v>
      </c>
      <c r="F791" t="str">
        <f>"REISSUE - OFFICE DEPOT"</f>
        <v>REISSUE - OFFICE DEPOT</v>
      </c>
      <c r="G791" s="3">
        <v>279.99</v>
      </c>
      <c r="H791" t="str">
        <f t="shared" ref="H791:H804" si="9">"REISSUE - OFFICE DEPOT"</f>
        <v>REISSUE - OFFICE DEPOT</v>
      </c>
    </row>
    <row r="792" spans="1:8" x14ac:dyDescent="0.25">
      <c r="E792" t="str">
        <f>""</f>
        <v/>
      </c>
      <c r="F792" t="str">
        <f>""</f>
        <v/>
      </c>
      <c r="G792" s="3">
        <v>601.02</v>
      </c>
      <c r="H792" t="str">
        <f t="shared" si="9"/>
        <v>REISSUE - OFFICE DEPOT</v>
      </c>
    </row>
    <row r="793" spans="1:8" x14ac:dyDescent="0.25">
      <c r="E793" t="str">
        <f>""</f>
        <v/>
      </c>
      <c r="F793" t="str">
        <f>""</f>
        <v/>
      </c>
      <c r="G793" s="3">
        <v>251.4</v>
      </c>
      <c r="H793" t="str">
        <f t="shared" si="9"/>
        <v>REISSUE - OFFICE DEPOT</v>
      </c>
    </row>
    <row r="794" spans="1:8" x14ac:dyDescent="0.25">
      <c r="E794" t="str">
        <f>""</f>
        <v/>
      </c>
      <c r="F794" t="str">
        <f>""</f>
        <v/>
      </c>
      <c r="G794" s="3">
        <v>242.13</v>
      </c>
      <c r="H794" t="str">
        <f t="shared" si="9"/>
        <v>REISSUE - OFFICE DEPOT</v>
      </c>
    </row>
    <row r="795" spans="1:8" x14ac:dyDescent="0.25">
      <c r="E795" t="str">
        <f>""</f>
        <v/>
      </c>
      <c r="F795" t="str">
        <f>""</f>
        <v/>
      </c>
      <c r="G795" s="3">
        <v>1316.82</v>
      </c>
      <c r="H795" t="str">
        <f t="shared" si="9"/>
        <v>REISSUE - OFFICE DEPOT</v>
      </c>
    </row>
    <row r="796" spans="1:8" x14ac:dyDescent="0.25">
      <c r="E796" t="str">
        <f>""</f>
        <v/>
      </c>
      <c r="F796" t="str">
        <f>""</f>
        <v/>
      </c>
      <c r="G796" s="3">
        <v>65.39</v>
      </c>
      <c r="H796" t="str">
        <f t="shared" si="9"/>
        <v>REISSUE - OFFICE DEPOT</v>
      </c>
    </row>
    <row r="797" spans="1:8" x14ac:dyDescent="0.25">
      <c r="E797" t="str">
        <f>""</f>
        <v/>
      </c>
      <c r="F797" t="str">
        <f>""</f>
        <v/>
      </c>
      <c r="G797" s="3">
        <v>59.07</v>
      </c>
      <c r="H797" t="str">
        <f t="shared" si="9"/>
        <v>REISSUE - OFFICE DEPOT</v>
      </c>
    </row>
    <row r="798" spans="1:8" x14ac:dyDescent="0.25">
      <c r="E798" t="str">
        <f>""</f>
        <v/>
      </c>
      <c r="F798" t="str">
        <f>""</f>
        <v/>
      </c>
      <c r="G798" s="3">
        <v>51.1</v>
      </c>
      <c r="H798" t="str">
        <f t="shared" si="9"/>
        <v>REISSUE - OFFICE DEPOT</v>
      </c>
    </row>
    <row r="799" spans="1:8" x14ac:dyDescent="0.25">
      <c r="E799" t="str">
        <f>""</f>
        <v/>
      </c>
      <c r="F799" t="str">
        <f>""</f>
        <v/>
      </c>
      <c r="G799" s="3">
        <v>1505.95</v>
      </c>
      <c r="H799" t="str">
        <f t="shared" si="9"/>
        <v>REISSUE - OFFICE DEPOT</v>
      </c>
    </row>
    <row r="800" spans="1:8" x14ac:dyDescent="0.25">
      <c r="E800" t="str">
        <f>""</f>
        <v/>
      </c>
      <c r="F800" t="str">
        <f>""</f>
        <v/>
      </c>
      <c r="G800" s="3">
        <v>356.36</v>
      </c>
      <c r="H800" t="str">
        <f t="shared" si="9"/>
        <v>REISSUE - OFFICE DEPOT</v>
      </c>
    </row>
    <row r="801" spans="1:8" x14ac:dyDescent="0.25">
      <c r="E801" t="str">
        <f>""</f>
        <v/>
      </c>
      <c r="F801" t="str">
        <f>""</f>
        <v/>
      </c>
      <c r="G801" s="3">
        <v>151.18</v>
      </c>
      <c r="H801" t="str">
        <f t="shared" si="9"/>
        <v>REISSUE - OFFICE DEPOT</v>
      </c>
    </row>
    <row r="802" spans="1:8" x14ac:dyDescent="0.25">
      <c r="E802" t="str">
        <f>""</f>
        <v/>
      </c>
      <c r="F802" t="str">
        <f>""</f>
        <v/>
      </c>
      <c r="G802" s="3">
        <v>3597.93</v>
      </c>
      <c r="H802" t="str">
        <f t="shared" si="9"/>
        <v>REISSUE - OFFICE DEPOT</v>
      </c>
    </row>
    <row r="803" spans="1:8" x14ac:dyDescent="0.25">
      <c r="E803" t="str">
        <f>""</f>
        <v/>
      </c>
      <c r="F803" t="str">
        <f>""</f>
        <v/>
      </c>
      <c r="G803" s="3">
        <v>56.89</v>
      </c>
      <c r="H803" t="str">
        <f t="shared" si="9"/>
        <v>REISSUE - OFFICE DEPOT</v>
      </c>
    </row>
    <row r="804" spans="1:8" x14ac:dyDescent="0.25">
      <c r="E804" t="str">
        <f>""</f>
        <v/>
      </c>
      <c r="F804" t="str">
        <f>""</f>
        <v/>
      </c>
      <c r="G804" s="3">
        <v>384.59</v>
      </c>
      <c r="H804" t="str">
        <f t="shared" si="9"/>
        <v>REISSUE - OFFICE DEPOT</v>
      </c>
    </row>
    <row r="805" spans="1:8" x14ac:dyDescent="0.25">
      <c r="A805" t="s">
        <v>270</v>
      </c>
      <c r="B805">
        <v>136760</v>
      </c>
      <c r="C805" s="3">
        <v>1650.53</v>
      </c>
      <c r="D805" s="6">
        <v>44431</v>
      </c>
      <c r="E805" t="str">
        <f>"202108175271"</f>
        <v>202108175271</v>
      </c>
      <c r="F805" t="str">
        <f>"OFFICE DEPOT"</f>
        <v>OFFICE DEPOT</v>
      </c>
      <c r="G805" s="3">
        <v>27.92</v>
      </c>
      <c r="H805" t="str">
        <f>"181587494001"</f>
        <v>181587494001</v>
      </c>
    </row>
    <row r="806" spans="1:8" x14ac:dyDescent="0.25">
      <c r="E806" t="str">
        <f>""</f>
        <v/>
      </c>
      <c r="F806" t="str">
        <f>""</f>
        <v/>
      </c>
      <c r="G806" s="3">
        <v>41.97</v>
      </c>
      <c r="H806" t="str">
        <f>"181731908003"</f>
        <v>181731908003</v>
      </c>
    </row>
    <row r="807" spans="1:8" x14ac:dyDescent="0.25">
      <c r="E807" t="str">
        <f>""</f>
        <v/>
      </c>
      <c r="F807" t="str">
        <f>""</f>
        <v/>
      </c>
      <c r="G807" s="3">
        <v>237.77</v>
      </c>
      <c r="H807" t="str">
        <f>"185524253001"</f>
        <v>185524253001</v>
      </c>
    </row>
    <row r="808" spans="1:8" x14ac:dyDescent="0.25">
      <c r="E808" t="str">
        <f>""</f>
        <v/>
      </c>
      <c r="F808" t="str">
        <f>""</f>
        <v/>
      </c>
      <c r="G808" s="3">
        <v>-7.79</v>
      </c>
      <c r="H808" t="str">
        <f>"186402807001"</f>
        <v>186402807001</v>
      </c>
    </row>
    <row r="809" spans="1:8" x14ac:dyDescent="0.25">
      <c r="E809" t="str">
        <f>""</f>
        <v/>
      </c>
      <c r="F809" t="str">
        <f>""</f>
        <v/>
      </c>
      <c r="G809" s="3">
        <v>65.67</v>
      </c>
      <c r="H809" t="str">
        <f>"185237472001"</f>
        <v>185237472001</v>
      </c>
    </row>
    <row r="810" spans="1:8" x14ac:dyDescent="0.25">
      <c r="E810" t="str">
        <f>""</f>
        <v/>
      </c>
      <c r="F810" t="str">
        <f>""</f>
        <v/>
      </c>
      <c r="G810" s="3">
        <v>191.99</v>
      </c>
      <c r="H810" t="str">
        <f>"185376985001"</f>
        <v>185376985001</v>
      </c>
    </row>
    <row r="811" spans="1:8" x14ac:dyDescent="0.25">
      <c r="E811" t="str">
        <f>""</f>
        <v/>
      </c>
      <c r="F811" t="str">
        <f>""</f>
        <v/>
      </c>
      <c r="G811" s="3">
        <v>69.98</v>
      </c>
      <c r="H811" t="str">
        <f>"183026263001"</f>
        <v>183026263001</v>
      </c>
    </row>
    <row r="812" spans="1:8" x14ac:dyDescent="0.25">
      <c r="E812" t="str">
        <f>""</f>
        <v/>
      </c>
      <c r="F812" t="str">
        <f>""</f>
        <v/>
      </c>
      <c r="G812" s="3">
        <v>193.57</v>
      </c>
      <c r="H812" t="str">
        <f>"185772941001"</f>
        <v>185772941001</v>
      </c>
    </row>
    <row r="813" spans="1:8" x14ac:dyDescent="0.25">
      <c r="E813" t="str">
        <f>""</f>
        <v/>
      </c>
      <c r="F813" t="str">
        <f>""</f>
        <v/>
      </c>
      <c r="G813" s="3">
        <v>23.25</v>
      </c>
      <c r="H813" t="str">
        <f>"185772941002"</f>
        <v>185772941002</v>
      </c>
    </row>
    <row r="814" spans="1:8" x14ac:dyDescent="0.25">
      <c r="E814" t="str">
        <f>""</f>
        <v/>
      </c>
      <c r="F814" t="str">
        <f>""</f>
        <v/>
      </c>
      <c r="G814" s="3">
        <v>69.63</v>
      </c>
      <c r="H814" t="str">
        <f>"185775503001"</f>
        <v>185775503001</v>
      </c>
    </row>
    <row r="815" spans="1:8" x14ac:dyDescent="0.25">
      <c r="E815" t="str">
        <f>""</f>
        <v/>
      </c>
      <c r="F815" t="str">
        <f>""</f>
        <v/>
      </c>
      <c r="G815" s="3">
        <v>32.590000000000003</v>
      </c>
      <c r="H815" t="str">
        <f>"179375459002"</f>
        <v>179375459002</v>
      </c>
    </row>
    <row r="816" spans="1:8" x14ac:dyDescent="0.25">
      <c r="E816" t="str">
        <f>""</f>
        <v/>
      </c>
      <c r="F816" t="str">
        <f>""</f>
        <v/>
      </c>
      <c r="G816" s="3">
        <v>411.8</v>
      </c>
      <c r="H816" t="str">
        <f>"183478169001"</f>
        <v>183478169001</v>
      </c>
    </row>
    <row r="817" spans="1:8" x14ac:dyDescent="0.25">
      <c r="E817" t="str">
        <f>""</f>
        <v/>
      </c>
      <c r="F817" t="str">
        <f>""</f>
        <v/>
      </c>
      <c r="G817" s="3">
        <v>8.82</v>
      </c>
      <c r="H817" t="str">
        <f>"183675347001"</f>
        <v>183675347001</v>
      </c>
    </row>
    <row r="818" spans="1:8" x14ac:dyDescent="0.25">
      <c r="E818" t="str">
        <f>""</f>
        <v/>
      </c>
      <c r="F818" t="str">
        <f>""</f>
        <v/>
      </c>
      <c r="G818" s="3">
        <v>96.65</v>
      </c>
      <c r="H818" t="str">
        <f>"183679944001"</f>
        <v>183679944001</v>
      </c>
    </row>
    <row r="819" spans="1:8" x14ac:dyDescent="0.25">
      <c r="E819" t="str">
        <f>""</f>
        <v/>
      </c>
      <c r="F819" t="str">
        <f>""</f>
        <v/>
      </c>
      <c r="G819" s="3">
        <v>17.489999999999998</v>
      </c>
      <c r="H819" t="str">
        <f>"183679946001"</f>
        <v>183679946001</v>
      </c>
    </row>
    <row r="820" spans="1:8" x14ac:dyDescent="0.25">
      <c r="E820" t="str">
        <f>""</f>
        <v/>
      </c>
      <c r="F820" t="str">
        <f>""</f>
        <v/>
      </c>
      <c r="G820" s="3">
        <v>-94.86</v>
      </c>
      <c r="H820" t="str">
        <f>"185828857001"</f>
        <v>185828857001</v>
      </c>
    </row>
    <row r="821" spans="1:8" x14ac:dyDescent="0.25">
      <c r="E821" t="str">
        <f>""</f>
        <v/>
      </c>
      <c r="F821" t="str">
        <f>""</f>
        <v/>
      </c>
      <c r="G821" s="3">
        <v>211.85</v>
      </c>
      <c r="H821" t="str">
        <f>"183020074001"</f>
        <v>183020074001</v>
      </c>
    </row>
    <row r="822" spans="1:8" x14ac:dyDescent="0.25">
      <c r="E822" t="str">
        <f>""</f>
        <v/>
      </c>
      <c r="F822" t="str">
        <f>""</f>
        <v/>
      </c>
      <c r="G822" s="3">
        <v>52.23</v>
      </c>
      <c r="H822" t="str">
        <f>"184556262001"</f>
        <v>184556262001</v>
      </c>
    </row>
    <row r="823" spans="1:8" x14ac:dyDescent="0.25">
      <c r="A823" t="s">
        <v>271</v>
      </c>
      <c r="B823">
        <v>136627</v>
      </c>
      <c r="C823" s="3">
        <v>479.28</v>
      </c>
      <c r="D823" s="6">
        <v>44417</v>
      </c>
      <c r="E823" t="str">
        <f>"N1067061"</f>
        <v>N1067061</v>
      </c>
      <c r="F823" t="str">
        <f>"ORDER N1067061"</f>
        <v>ORDER N1067061</v>
      </c>
      <c r="G823" s="3">
        <v>479.28</v>
      </c>
      <c r="H823" t="str">
        <f>"ORDER N1067061"</f>
        <v>ORDER N1067061</v>
      </c>
    </row>
    <row r="824" spans="1:8" x14ac:dyDescent="0.25">
      <c r="A824" t="s">
        <v>272</v>
      </c>
      <c r="B824">
        <v>136761</v>
      </c>
      <c r="C824" s="3">
        <v>264</v>
      </c>
      <c r="D824" s="6">
        <v>44431</v>
      </c>
      <c r="E824" t="str">
        <f>"24342"</f>
        <v>24342</v>
      </c>
      <c r="F824" t="str">
        <f>"OSBURN ASSOCIATES INC."</f>
        <v>OSBURN ASSOCIATES INC.</v>
      </c>
      <c r="G824" s="3">
        <v>264</v>
      </c>
      <c r="H824" t="str">
        <f>"Roll Vinyl 24 x50 Ya"</f>
        <v>Roll Vinyl 24 x50 Ya</v>
      </c>
    </row>
    <row r="825" spans="1:8" x14ac:dyDescent="0.25">
      <c r="A825" t="s">
        <v>273</v>
      </c>
      <c r="B825">
        <v>136628</v>
      </c>
      <c r="C825" s="3">
        <v>3934.07</v>
      </c>
      <c r="D825" s="6">
        <v>44417</v>
      </c>
      <c r="E825" t="str">
        <f>"202108034985"</f>
        <v>202108034985</v>
      </c>
      <c r="F825" t="str">
        <f>"CAUSE#1SC-0034-20/BRANDON WASH"</f>
        <v>CAUSE#1SC-0034-20/BRANDON WASH</v>
      </c>
      <c r="G825" s="3">
        <v>3934.07</v>
      </c>
      <c r="H825" t="str">
        <f>"CAUSE#1SC-0034-20/BRANDON WASH"</f>
        <v>CAUSE#1SC-0034-20/BRANDON WASH</v>
      </c>
    </row>
    <row r="826" spans="1:8" x14ac:dyDescent="0.25">
      <c r="A826" t="s">
        <v>274</v>
      </c>
      <c r="B826">
        <v>4863</v>
      </c>
      <c r="C826" s="3">
        <v>70066.87</v>
      </c>
      <c r="D826" s="6">
        <v>44418</v>
      </c>
      <c r="E826" t="str">
        <f>"21291"</f>
        <v>21291</v>
      </c>
      <c r="F826" t="str">
        <f>"CHIP SEAL ASPHALT/PCT#2"</f>
        <v>CHIP SEAL ASPHALT/PCT#2</v>
      </c>
      <c r="G826" s="3">
        <v>17742.68</v>
      </c>
      <c r="H826" t="str">
        <f>"CHIP SEAL ASPHALT/PCT#2"</f>
        <v>CHIP SEAL ASPHALT/PCT#2</v>
      </c>
    </row>
    <row r="827" spans="1:8" x14ac:dyDescent="0.25">
      <c r="E827" t="str">
        <f>"21300"</f>
        <v>21300</v>
      </c>
      <c r="F827" t="str">
        <f>"CHIP SEAL ASPHALT/PCT#2"</f>
        <v>CHIP SEAL ASPHALT/PCT#2</v>
      </c>
      <c r="G827" s="3">
        <v>17297.830000000002</v>
      </c>
      <c r="H827" t="str">
        <f>"CHIP SEAL ASPHALT/PCT#2"</f>
        <v>CHIP SEAL ASPHALT/PCT#2</v>
      </c>
    </row>
    <row r="828" spans="1:8" x14ac:dyDescent="0.25">
      <c r="E828" t="str">
        <f>"21328"</f>
        <v>21328</v>
      </c>
      <c r="F828" t="str">
        <f>"CHIP SEAL ASPHALT/PCT#2"</f>
        <v>CHIP SEAL ASPHALT/PCT#2</v>
      </c>
      <c r="G828" s="3">
        <v>35026.36</v>
      </c>
      <c r="H828" t="str">
        <f>"CHIP SEAL ASPHALT/PCT#2"</f>
        <v>CHIP SEAL ASPHALT/PCT#2</v>
      </c>
    </row>
    <row r="829" spans="1:8" x14ac:dyDescent="0.25">
      <c r="A829" t="s">
        <v>274</v>
      </c>
      <c r="B829">
        <v>4932</v>
      </c>
      <c r="C829" s="3">
        <v>33757.449999999997</v>
      </c>
      <c r="D829" s="6">
        <v>44432</v>
      </c>
      <c r="E829" t="str">
        <f>"21349"</f>
        <v>21349</v>
      </c>
      <c r="F829" t="str">
        <f>"#222 KC ESTATES/PCT#2"</f>
        <v>#222 KC ESTATES/PCT#2</v>
      </c>
      <c r="G829" s="3">
        <v>33757.449999999997</v>
      </c>
      <c r="H829" t="str">
        <f>"#222 KC ESTATES/PCT#2"</f>
        <v>#222 KC ESTATES/PCT#2</v>
      </c>
    </row>
    <row r="830" spans="1:8" x14ac:dyDescent="0.25">
      <c r="A830" t="s">
        <v>275</v>
      </c>
      <c r="B830">
        <v>136629</v>
      </c>
      <c r="C830" s="3">
        <v>769.8</v>
      </c>
      <c r="D830" s="6">
        <v>44417</v>
      </c>
      <c r="E830" t="str">
        <f>"84239"</f>
        <v>84239</v>
      </c>
      <c r="F830" t="str">
        <f>"BLADE/PCT#2"</f>
        <v>BLADE/PCT#2</v>
      </c>
      <c r="G830" s="3">
        <v>769.8</v>
      </c>
      <c r="H830" t="str">
        <f>"BLADE/PCT#2"</f>
        <v>BLADE/PCT#2</v>
      </c>
    </row>
    <row r="831" spans="1:8" x14ac:dyDescent="0.25">
      <c r="A831" t="s">
        <v>275</v>
      </c>
      <c r="B831">
        <v>136762</v>
      </c>
      <c r="C831" s="3">
        <v>422.17</v>
      </c>
      <c r="D831" s="6">
        <v>44431</v>
      </c>
      <c r="E831" t="str">
        <f>"84473"</f>
        <v>84473</v>
      </c>
      <c r="F831" t="str">
        <f>"SUPPLIES/PCT#2"</f>
        <v>SUPPLIES/PCT#2</v>
      </c>
      <c r="G831" s="3">
        <v>422.17</v>
      </c>
      <c r="H831" t="str">
        <f>"SUPPLIES/PCT#2"</f>
        <v>SUPPLIES/PCT#2</v>
      </c>
    </row>
    <row r="832" spans="1:8" x14ac:dyDescent="0.25">
      <c r="A832" t="s">
        <v>276</v>
      </c>
      <c r="B832">
        <v>4966</v>
      </c>
      <c r="C832" s="3">
        <v>145</v>
      </c>
      <c r="D832" s="6">
        <v>44432</v>
      </c>
      <c r="E832" t="str">
        <f>"0000058956"</f>
        <v>0000058956</v>
      </c>
      <c r="F832" t="str">
        <f>"INV 0000058956"</f>
        <v>INV 0000058956</v>
      </c>
      <c r="G832" s="3">
        <v>145</v>
      </c>
      <c r="H832" t="str">
        <f>"INV 0000058956"</f>
        <v>INV 0000058956</v>
      </c>
    </row>
    <row r="833" spans="1:8" x14ac:dyDescent="0.25">
      <c r="A833" t="s">
        <v>277</v>
      </c>
      <c r="B833">
        <v>136763</v>
      </c>
      <c r="C833" s="3">
        <v>91.47</v>
      </c>
      <c r="D833" s="6">
        <v>44431</v>
      </c>
      <c r="E833" t="str">
        <f>"202108115195"</f>
        <v>202108115195</v>
      </c>
      <c r="F833" t="str">
        <f>"CUST#PK001137/PCT#4"</f>
        <v>CUST#PK001137/PCT#4</v>
      </c>
      <c r="G833" s="3">
        <v>91.47</v>
      </c>
      <c r="H833" t="str">
        <f>"CUST#PK001137/PCT#4"</f>
        <v>CUST#PK001137/PCT#4</v>
      </c>
    </row>
    <row r="834" spans="1:8" x14ac:dyDescent="0.25">
      <c r="A834" t="s">
        <v>278</v>
      </c>
      <c r="B834">
        <v>4871</v>
      </c>
      <c r="C834" s="3">
        <v>9489.6</v>
      </c>
      <c r="D834" s="6">
        <v>44418</v>
      </c>
      <c r="E834" t="str">
        <f>"2008478"</f>
        <v>2008478</v>
      </c>
      <c r="F834" t="str">
        <f>"ACCT#BA-CNTY-01"</f>
        <v>ACCT#BA-CNTY-01</v>
      </c>
      <c r="G834" s="3">
        <v>210</v>
      </c>
      <c r="H834" t="str">
        <f>"ACCT#BA-CNTY-01"</f>
        <v>ACCT#BA-CNTY-01</v>
      </c>
    </row>
    <row r="835" spans="1:8" x14ac:dyDescent="0.25">
      <c r="E835" t="str">
        <f>"2008479"</f>
        <v>2008479</v>
      </c>
      <c r="F835" t="str">
        <f>"ACCT#BA-CNTY-01"</f>
        <v>ACCT#BA-CNTY-01</v>
      </c>
      <c r="G835" s="3">
        <v>1653.1</v>
      </c>
      <c r="H835" t="str">
        <f>"ACCT#BA-CNTY-01"</f>
        <v>ACCT#BA-CNTY-01</v>
      </c>
    </row>
    <row r="836" spans="1:8" x14ac:dyDescent="0.25">
      <c r="E836" t="str">
        <f>"2008480"</f>
        <v>2008480</v>
      </c>
      <c r="F836" t="str">
        <f>"ACCT#BA-CNTY-01"</f>
        <v>ACCT#BA-CNTY-01</v>
      </c>
      <c r="G836" s="3">
        <v>2686.4</v>
      </c>
      <c r="H836" t="str">
        <f>"ACCT#BA-CNTY-01"</f>
        <v>ACCT#BA-CNTY-01</v>
      </c>
    </row>
    <row r="837" spans="1:8" x14ac:dyDescent="0.25">
      <c r="E837" t="str">
        <f>"2008481"</f>
        <v>2008481</v>
      </c>
      <c r="F837" t="str">
        <f>"ACCT#BA-CNTY-01"</f>
        <v>ACCT#BA-CNTY-01</v>
      </c>
      <c r="G837" s="3">
        <v>4940.1000000000004</v>
      </c>
      <c r="H837" t="str">
        <f>"ACCT#BA-CNTY-01"</f>
        <v>ACCT#BA-CNTY-01</v>
      </c>
    </row>
    <row r="838" spans="1:8" x14ac:dyDescent="0.25">
      <c r="A838" t="s">
        <v>279</v>
      </c>
      <c r="B838">
        <v>136764</v>
      </c>
      <c r="C838" s="3">
        <v>2349.64</v>
      </c>
      <c r="D838" s="6">
        <v>44431</v>
      </c>
      <c r="E838" t="str">
        <f>"202108175265"</f>
        <v>202108175265</v>
      </c>
      <c r="F838" t="str">
        <f>"ACCT#0200140783/ANIMAL SHELTER"</f>
        <v>ACCT#0200140783/ANIMAL SHELTER</v>
      </c>
      <c r="G838" s="3">
        <v>342.35</v>
      </c>
      <c r="H838" t="str">
        <f>"ACCT#0200140783/ANIMAL SHELTER"</f>
        <v>ACCT#0200140783/ANIMAL SHELTER</v>
      </c>
    </row>
    <row r="839" spans="1:8" x14ac:dyDescent="0.25">
      <c r="E839" t="str">
        <f>""</f>
        <v/>
      </c>
      <c r="F839" t="str">
        <f>""</f>
        <v/>
      </c>
      <c r="G839" s="3">
        <v>1438.75</v>
      </c>
      <c r="H839" t="str">
        <f>"ACCT#0200140783/ANIMAL SHELTER"</f>
        <v>ACCT#0200140783/ANIMAL SHELTER</v>
      </c>
    </row>
    <row r="840" spans="1:8" x14ac:dyDescent="0.25">
      <c r="E840" t="str">
        <f>""</f>
        <v/>
      </c>
      <c r="F840" t="str">
        <f>""</f>
        <v/>
      </c>
      <c r="G840" s="3">
        <v>568.54</v>
      </c>
      <c r="H840" t="str">
        <f>"ACCT#0200140783/ANIMAL SHELTER"</f>
        <v>ACCT#0200140783/ANIMAL SHELTER</v>
      </c>
    </row>
    <row r="841" spans="1:8" x14ac:dyDescent="0.25">
      <c r="A841" t="s">
        <v>280</v>
      </c>
      <c r="B841">
        <v>4868</v>
      </c>
      <c r="C841" s="3">
        <v>617.5</v>
      </c>
      <c r="D841" s="6">
        <v>44418</v>
      </c>
      <c r="E841" t="str">
        <f>"202108034987"</f>
        <v>202108034987</v>
      </c>
      <c r="F841" t="str">
        <f>"TRAHS REMOVAL/PAUL GRANADO"</f>
        <v>TRAHS REMOVAL/PAUL GRANADO</v>
      </c>
      <c r="G841" s="3">
        <v>305.5</v>
      </c>
      <c r="H841" t="str">
        <f>"TRAHS REMOVAL/PAUL GRANADO"</f>
        <v>TRAHS REMOVAL/PAUL GRANADO</v>
      </c>
    </row>
    <row r="842" spans="1:8" x14ac:dyDescent="0.25">
      <c r="E842" t="str">
        <f>"202108034988"</f>
        <v>202108034988</v>
      </c>
      <c r="F842" t="str">
        <f>"TRASH REMOVAL/PAUL GRANADO"</f>
        <v>TRASH REMOVAL/PAUL GRANADO</v>
      </c>
      <c r="G842" s="3">
        <v>312</v>
      </c>
      <c r="H842" t="str">
        <f>"TRASH REMOVAL/PAUL GRANADO"</f>
        <v>TRASH REMOVAL/PAUL GRANADO</v>
      </c>
    </row>
    <row r="843" spans="1:8" x14ac:dyDescent="0.25">
      <c r="A843" t="s">
        <v>281</v>
      </c>
      <c r="B843">
        <v>136765</v>
      </c>
      <c r="C843" s="3">
        <v>185</v>
      </c>
      <c r="D843" s="6">
        <v>44431</v>
      </c>
      <c r="E843" t="str">
        <f>"202108115194"</f>
        <v>202108115194</v>
      </c>
      <c r="F843" t="str">
        <f>"PER DIEM"</f>
        <v>PER DIEM</v>
      </c>
      <c r="G843" s="3">
        <v>185</v>
      </c>
      <c r="H843" t="str">
        <f>"PER DIEM"</f>
        <v>PER DIEM</v>
      </c>
    </row>
    <row r="844" spans="1:8" x14ac:dyDescent="0.25">
      <c r="A844" t="s">
        <v>282</v>
      </c>
      <c r="B844">
        <v>4909</v>
      </c>
      <c r="C844" s="3">
        <v>897.5</v>
      </c>
      <c r="D844" s="6">
        <v>44418</v>
      </c>
      <c r="E844" t="str">
        <f>"202108034957"</f>
        <v>202108034957</v>
      </c>
      <c r="F844" t="str">
        <f>"20-20259"</f>
        <v>20-20259</v>
      </c>
      <c r="G844" s="3">
        <v>587.5</v>
      </c>
      <c r="H844" t="str">
        <f>"20-20259"</f>
        <v>20-20259</v>
      </c>
    </row>
    <row r="845" spans="1:8" x14ac:dyDescent="0.25">
      <c r="E845" t="str">
        <f>"202108034958"</f>
        <v>202108034958</v>
      </c>
      <c r="F845" t="str">
        <f>"21-20596"</f>
        <v>21-20596</v>
      </c>
      <c r="G845" s="3">
        <v>310</v>
      </c>
      <c r="H845" t="str">
        <f>"21-20596"</f>
        <v>21-20596</v>
      </c>
    </row>
    <row r="846" spans="1:8" x14ac:dyDescent="0.25">
      <c r="A846" t="s">
        <v>282</v>
      </c>
      <c r="B846">
        <v>4978</v>
      </c>
      <c r="C846" s="3">
        <v>735</v>
      </c>
      <c r="D846" s="6">
        <v>44432</v>
      </c>
      <c r="E846" t="str">
        <f>"202108115127"</f>
        <v>202108115127</v>
      </c>
      <c r="F846" t="str">
        <f>"20-20527"</f>
        <v>20-20527</v>
      </c>
      <c r="G846" s="3">
        <v>197.5</v>
      </c>
      <c r="H846" t="str">
        <f>"20-20527"</f>
        <v>20-20527</v>
      </c>
    </row>
    <row r="847" spans="1:8" x14ac:dyDescent="0.25">
      <c r="E847" t="str">
        <f>"202108115128"</f>
        <v>202108115128</v>
      </c>
      <c r="F847" t="str">
        <f>"20-20527"</f>
        <v>20-20527</v>
      </c>
      <c r="G847" s="3">
        <v>197.5</v>
      </c>
      <c r="H847" t="str">
        <f>"20-20527"</f>
        <v>20-20527</v>
      </c>
    </row>
    <row r="848" spans="1:8" x14ac:dyDescent="0.25">
      <c r="E848" t="str">
        <f>"202108115129"</f>
        <v>202108115129</v>
      </c>
      <c r="F848" t="str">
        <f>"21-20840"</f>
        <v>21-20840</v>
      </c>
      <c r="G848" s="3">
        <v>340</v>
      </c>
      <c r="H848" t="str">
        <f>"21-20840"</f>
        <v>21-20840</v>
      </c>
    </row>
    <row r="849" spans="1:8" x14ac:dyDescent="0.25">
      <c r="A849" t="s">
        <v>283</v>
      </c>
      <c r="B849">
        <v>4960</v>
      </c>
      <c r="C849" s="3">
        <v>351.73</v>
      </c>
      <c r="D849" s="6">
        <v>44432</v>
      </c>
      <c r="E849" t="str">
        <f>"202108125206"</f>
        <v>202108125206</v>
      </c>
      <c r="F849" t="str">
        <f>"SUPPLIES/PCT#4"</f>
        <v>SUPPLIES/PCT#4</v>
      </c>
      <c r="G849" s="3">
        <v>351.55</v>
      </c>
      <c r="H849" t="str">
        <f>"SUPPLIES/PCT#4"</f>
        <v>SUPPLIES/PCT#4</v>
      </c>
    </row>
    <row r="850" spans="1:8" x14ac:dyDescent="0.25">
      <c r="E850" t="str">
        <f>""</f>
        <v/>
      </c>
      <c r="F850" t="str">
        <f>""</f>
        <v/>
      </c>
      <c r="G850" s="3">
        <v>0.18</v>
      </c>
      <c r="H850" t="str">
        <f>"SUPPLIES/PCT#4"</f>
        <v>SUPPLIES/PCT#4</v>
      </c>
    </row>
    <row r="851" spans="1:8" x14ac:dyDescent="0.25">
      <c r="A851" t="s">
        <v>284</v>
      </c>
      <c r="B851">
        <v>136630</v>
      </c>
      <c r="C851" s="3">
        <v>6660.37</v>
      </c>
      <c r="D851" s="6">
        <v>44417</v>
      </c>
      <c r="E851" t="str">
        <f>"202108034954"</f>
        <v>202108034954</v>
      </c>
      <c r="F851" t="str">
        <f>"ACCT#8850283308/PCT#2"</f>
        <v>ACCT#8850283308/PCT#2</v>
      </c>
      <c r="G851" s="3">
        <v>3858.47</v>
      </c>
      <c r="H851" t="str">
        <f>"ACCT#8850283308/PCT#2"</f>
        <v>ACCT#8850283308/PCT#2</v>
      </c>
    </row>
    <row r="852" spans="1:8" x14ac:dyDescent="0.25">
      <c r="E852" t="str">
        <f>"202108034956"</f>
        <v>202108034956</v>
      </c>
      <c r="F852" t="str">
        <f>"ACCT#8850283308/PCT#1"</f>
        <v>ACCT#8850283308/PCT#1</v>
      </c>
      <c r="G852" s="3">
        <v>2801.9</v>
      </c>
      <c r="H852" t="str">
        <f>"ACCT#8850283308/PCT#1"</f>
        <v>ACCT#8850283308/PCT#1</v>
      </c>
    </row>
    <row r="853" spans="1:8" x14ac:dyDescent="0.25">
      <c r="A853" t="s">
        <v>285</v>
      </c>
      <c r="B853">
        <v>136766</v>
      </c>
      <c r="C853" s="3">
        <v>200</v>
      </c>
      <c r="D853" s="6">
        <v>44431</v>
      </c>
      <c r="E853" t="str">
        <f>"202108115187"</f>
        <v>202108115187</v>
      </c>
      <c r="F853" t="str">
        <f>"INV#I119495/PCT#1"</f>
        <v>INV#I119495/PCT#1</v>
      </c>
      <c r="G853" s="3">
        <v>200</v>
      </c>
      <c r="H853" t="str">
        <f>"INV#I119495/PCT#1"</f>
        <v>INV#I119495/PCT#1</v>
      </c>
    </row>
    <row r="854" spans="1:8" x14ac:dyDescent="0.25">
      <c r="A854" t="s">
        <v>286</v>
      </c>
      <c r="B854">
        <v>136767</v>
      </c>
      <c r="C854" s="3">
        <v>100</v>
      </c>
      <c r="D854" s="6">
        <v>44431</v>
      </c>
      <c r="E854" t="str">
        <f>"16-181 7-1-21"</f>
        <v>16-181 7-1-21</v>
      </c>
      <c r="F854" t="str">
        <f>"RESTITUTION-COY FERRIS"</f>
        <v>RESTITUTION-COY FERRIS</v>
      </c>
      <c r="G854" s="3">
        <v>100</v>
      </c>
      <c r="H854" t="str">
        <f>"RESTITUTION-COY FERRIS"</f>
        <v>RESTITUTION-COY FERRIS</v>
      </c>
    </row>
    <row r="855" spans="1:8" x14ac:dyDescent="0.25">
      <c r="A855" t="s">
        <v>287</v>
      </c>
      <c r="B855">
        <v>136631</v>
      </c>
      <c r="C855" s="3">
        <v>790</v>
      </c>
      <c r="D855" s="6">
        <v>44417</v>
      </c>
      <c r="E855" t="str">
        <f>"2021056"</f>
        <v>2021056</v>
      </c>
      <c r="F855" t="str">
        <f>"TRANSPORT/RAFAEL FLORES"</f>
        <v>TRANSPORT/RAFAEL FLORES</v>
      </c>
      <c r="G855" s="3">
        <v>495</v>
      </c>
      <c r="H855" t="str">
        <f>"TRANSPORT/RAFAEL FLORES"</f>
        <v>TRANSPORT/RAFAEL FLORES</v>
      </c>
    </row>
    <row r="856" spans="1:8" x14ac:dyDescent="0.25">
      <c r="E856" t="str">
        <f>"2021077"</f>
        <v>2021077</v>
      </c>
      <c r="F856" t="str">
        <f>"TRANSPORT/DONALD JENSEN"</f>
        <v>TRANSPORT/DONALD JENSEN</v>
      </c>
      <c r="G856" s="3">
        <v>295</v>
      </c>
      <c r="H856" t="str">
        <f>"TRANSPORT/DONALD JENSEN"</f>
        <v>TRANSPORT/DONALD JENSEN</v>
      </c>
    </row>
    <row r="857" spans="1:8" x14ac:dyDescent="0.25">
      <c r="A857" t="s">
        <v>288</v>
      </c>
      <c r="B857">
        <v>136768</v>
      </c>
      <c r="C857" s="3">
        <v>45</v>
      </c>
      <c r="D857" s="6">
        <v>44431</v>
      </c>
      <c r="E857" t="str">
        <f>"134169"</f>
        <v>134169</v>
      </c>
      <c r="F857" t="str">
        <f>"SUPPLIES/PCT#1"</f>
        <v>SUPPLIES/PCT#1</v>
      </c>
      <c r="G857" s="3">
        <v>45</v>
      </c>
      <c r="H857" t="str">
        <f>"SUPPLIES/PCT#1"</f>
        <v>SUPPLIES/PCT#1</v>
      </c>
    </row>
    <row r="858" spans="1:8" x14ac:dyDescent="0.25">
      <c r="A858" t="s">
        <v>289</v>
      </c>
      <c r="B858">
        <v>4931</v>
      </c>
      <c r="C858" s="3">
        <v>133.87</v>
      </c>
      <c r="D858" s="6">
        <v>44432</v>
      </c>
      <c r="E858" t="str">
        <f>"11H0121587851"</f>
        <v>11H0121587851</v>
      </c>
      <c r="F858" t="str">
        <f>"ACCT#0121587851/PCT#4"</f>
        <v>ACCT#0121587851/PCT#4</v>
      </c>
      <c r="G858" s="3">
        <v>133.87</v>
      </c>
      <c r="H858" t="str">
        <f>"ACCT#0121587851/PCT#4"</f>
        <v>ACCT#0121587851/PCT#4</v>
      </c>
    </row>
    <row r="859" spans="1:8" x14ac:dyDescent="0.25">
      <c r="A859" t="s">
        <v>290</v>
      </c>
      <c r="B859">
        <v>4886</v>
      </c>
      <c r="C859" s="3">
        <v>2000</v>
      </c>
      <c r="D859" s="6">
        <v>44418</v>
      </c>
      <c r="E859" t="str">
        <f>"72"</f>
        <v>72</v>
      </c>
      <c r="F859" t="str">
        <f>"SPAY/NEUTER SERVICES"</f>
        <v>SPAY/NEUTER SERVICES</v>
      </c>
      <c r="G859" s="3">
        <v>2000</v>
      </c>
      <c r="H859" t="str">
        <f>"SPAY/NEUTER SERVICES"</f>
        <v>SPAY/NEUTER SERVICES</v>
      </c>
    </row>
    <row r="860" spans="1:8" x14ac:dyDescent="0.25">
      <c r="A860" t="s">
        <v>290</v>
      </c>
      <c r="B860">
        <v>4961</v>
      </c>
      <c r="C860" s="3">
        <v>2000</v>
      </c>
      <c r="D860" s="6">
        <v>44432</v>
      </c>
      <c r="E860" t="str">
        <f>"75"</f>
        <v>75</v>
      </c>
      <c r="F860" t="str">
        <f>"SPAY/NEUTER"</f>
        <v>SPAY/NEUTER</v>
      </c>
      <c r="G860" s="3">
        <v>2000</v>
      </c>
      <c r="H860" t="str">
        <f>"SPAY/NEUTER"</f>
        <v>SPAY/NEUTER</v>
      </c>
    </row>
    <row r="861" spans="1:8" x14ac:dyDescent="0.25">
      <c r="A861" t="s">
        <v>291</v>
      </c>
      <c r="B861">
        <v>136541</v>
      </c>
      <c r="C861" s="3">
        <v>1737.31</v>
      </c>
      <c r="D861" s="6">
        <v>44412</v>
      </c>
      <c r="E861" t="str">
        <f>"111 033 902 143 4"</f>
        <v>111 033 902 143 4</v>
      </c>
      <c r="F861" t="str">
        <f>"ACCT#15 070 712-3 - 08022021"</f>
        <v>ACCT#15 070 712-3 - 08022021</v>
      </c>
      <c r="G861" s="3">
        <v>18.100000000000001</v>
      </c>
      <c r="H861" t="str">
        <f>"ACCT#15 070 712-3 - 08022021"</f>
        <v>ACCT#15 070 712-3 - 08022021</v>
      </c>
    </row>
    <row r="862" spans="1:8" x14ac:dyDescent="0.25">
      <c r="E862" t="str">
        <f>"111 033 902 144 2"</f>
        <v>111 033 902 144 2</v>
      </c>
      <c r="F862" t="str">
        <f>"ACCT#15 070 713-1 / 08022021"</f>
        <v>ACCT#15 070 713-1 / 08022021</v>
      </c>
      <c r="G862" s="3">
        <v>21.75</v>
      </c>
      <c r="H862" t="str">
        <f>"ACCT#15 070 713-1 / 08022021"</f>
        <v>ACCT#15 070 713-1 / 08022021</v>
      </c>
    </row>
    <row r="863" spans="1:8" x14ac:dyDescent="0.25">
      <c r="E863" t="str">
        <f>"304 001 025 600 9"</f>
        <v>304 001 025 600 9</v>
      </c>
      <c r="F863" t="str">
        <f>"ACCT#15 072 199-1 / 08022021"</f>
        <v>ACCT#15 072 199-1 / 08022021</v>
      </c>
      <c r="G863" s="3">
        <v>46.44</v>
      </c>
      <c r="H863" t="str">
        <f>"ACCT#15 072 199-1 / 08022021"</f>
        <v>ACCT#15 072 199-1 / 08022021</v>
      </c>
    </row>
    <row r="864" spans="1:8" x14ac:dyDescent="0.25">
      <c r="E864" t="str">
        <f>"304 001 025 601 7"</f>
        <v>304 001 025 601 7</v>
      </c>
      <c r="F864" t="str">
        <f>"ACCT#15 072 200-7 / 08022021"</f>
        <v>ACCT#15 072 200-7 / 08022021</v>
      </c>
      <c r="G864" s="3">
        <v>273.19</v>
      </c>
      <c r="H864" t="str">
        <f>"ACCT#15 072 200-7 / 08022021"</f>
        <v>ACCT#15 072 200-7 / 08022021</v>
      </c>
    </row>
    <row r="865" spans="1:8" x14ac:dyDescent="0.25">
      <c r="E865" t="str">
        <f>"304 001 025 602 5"</f>
        <v>304 001 025 602 5</v>
      </c>
      <c r="F865" t="str">
        <f>"ACCT#15 072 201-5 / 08022021"</f>
        <v>ACCT#15 072 201-5 / 08022021</v>
      </c>
      <c r="G865" s="3">
        <v>507.14</v>
      </c>
      <c r="H865" t="str">
        <f>"ACCT#15 072 201-5 / 08022021"</f>
        <v>ACCT#15 072 201-5 / 08022021</v>
      </c>
    </row>
    <row r="866" spans="1:8" x14ac:dyDescent="0.25">
      <c r="E866" t="str">
        <f>"304 001 025 603 3"</f>
        <v>304 001 025 603 3</v>
      </c>
      <c r="F866" t="str">
        <f>"ACCT#15 072 202-3 / 08022021"</f>
        <v>ACCT#15 072 202-3 / 08022021</v>
      </c>
      <c r="G866" s="3">
        <v>26.34</v>
      </c>
      <c r="H866" t="str">
        <f>"ACCT#15 072 202-3 / 08022021"</f>
        <v>ACCT#15 072 202-3 / 08022021</v>
      </c>
    </row>
    <row r="867" spans="1:8" x14ac:dyDescent="0.25">
      <c r="E867" t="str">
        <f>"304 001 025 604 1"</f>
        <v>304 001 025 604 1</v>
      </c>
      <c r="F867" t="str">
        <f>"ACCT#15 072 203-1 / 08022021"</f>
        <v>ACCT#15 072 203-1 / 08022021</v>
      </c>
      <c r="G867" s="3">
        <v>15.97</v>
      </c>
      <c r="H867" t="str">
        <f>"ACCT#15 072 203-1 / 08022021"</f>
        <v>ACCT#15 072 203-1 / 08022021</v>
      </c>
    </row>
    <row r="868" spans="1:8" x14ac:dyDescent="0.25">
      <c r="E868" t="str">
        <f>"304 001 025 605 8"</f>
        <v>304 001 025 605 8</v>
      </c>
      <c r="F868" t="str">
        <f>"ACCT#15 072 204-9 / 08022021"</f>
        <v>ACCT#15 072 204-9 / 08022021</v>
      </c>
      <c r="G868" s="3">
        <v>375.15</v>
      </c>
      <c r="H868" t="str">
        <f>"ACCT#15 072 204-9 / 08022021"</f>
        <v>ACCT#15 072 204-9 / 08022021</v>
      </c>
    </row>
    <row r="869" spans="1:8" x14ac:dyDescent="0.25">
      <c r="E869" t="str">
        <f>"305 000 909 191 1"</f>
        <v>305 000 909 191 1</v>
      </c>
      <c r="F869" t="str">
        <f>"ACCT#15 069 451-1 / 08022021"</f>
        <v>ACCT#15 069 451-1 / 08022021</v>
      </c>
      <c r="G869" s="3">
        <v>453.23</v>
      </c>
      <c r="H869" t="str">
        <f>"ACCT#15 069 451-1 / 08022021"</f>
        <v>ACCT#15 069 451-1 / 08022021</v>
      </c>
    </row>
    <row r="870" spans="1:8" x14ac:dyDescent="0.25">
      <c r="A870" t="s">
        <v>292</v>
      </c>
      <c r="B870">
        <v>136769</v>
      </c>
      <c r="C870" s="3">
        <v>9000</v>
      </c>
      <c r="D870" s="6">
        <v>44431</v>
      </c>
      <c r="E870" t="str">
        <f>"202108165220"</f>
        <v>202108165220</v>
      </c>
      <c r="F870" t="str">
        <f>"ACCT#34549337"</f>
        <v>ACCT#34549337</v>
      </c>
      <c r="G870" s="3">
        <v>9000</v>
      </c>
      <c r="H870" t="str">
        <f>"ACCT#34549337"</f>
        <v>ACCT#34549337</v>
      </c>
    </row>
    <row r="871" spans="1:8" x14ac:dyDescent="0.25">
      <c r="A871" t="s">
        <v>293</v>
      </c>
      <c r="B871">
        <v>4934</v>
      </c>
      <c r="C871" s="3">
        <v>7541.65</v>
      </c>
      <c r="D871" s="6">
        <v>44432</v>
      </c>
      <c r="E871" t="str">
        <f>"202108175241"</f>
        <v>202108175241</v>
      </c>
      <c r="F871" t="str">
        <f>"CUST#12847097"</f>
        <v>CUST#12847097</v>
      </c>
      <c r="G871" s="3">
        <v>258.39</v>
      </c>
      <c r="H871" t="str">
        <f t="shared" ref="H871:H901" si="10">"CUST#12847097"</f>
        <v>CUST#12847097</v>
      </c>
    </row>
    <row r="872" spans="1:8" x14ac:dyDescent="0.25">
      <c r="E872" t="str">
        <f>""</f>
        <v/>
      </c>
      <c r="F872" t="str">
        <f>""</f>
        <v/>
      </c>
      <c r="G872" s="3">
        <v>96.06</v>
      </c>
      <c r="H872" t="str">
        <f t="shared" si="10"/>
        <v>CUST#12847097</v>
      </c>
    </row>
    <row r="873" spans="1:8" x14ac:dyDescent="0.25">
      <c r="E873" t="str">
        <f>""</f>
        <v/>
      </c>
      <c r="F873" t="str">
        <f>""</f>
        <v/>
      </c>
      <c r="G873" s="3">
        <v>21.13</v>
      </c>
      <c r="H873" t="str">
        <f t="shared" si="10"/>
        <v>CUST#12847097</v>
      </c>
    </row>
    <row r="874" spans="1:8" x14ac:dyDescent="0.25">
      <c r="E874" t="str">
        <f>""</f>
        <v/>
      </c>
      <c r="F874" t="str">
        <f>""</f>
        <v/>
      </c>
      <c r="G874" s="3">
        <v>352.84</v>
      </c>
      <c r="H874" t="str">
        <f t="shared" si="10"/>
        <v>CUST#12847097</v>
      </c>
    </row>
    <row r="875" spans="1:8" x14ac:dyDescent="0.25">
      <c r="E875" t="str">
        <f>""</f>
        <v/>
      </c>
      <c r="F875" t="str">
        <f>""</f>
        <v/>
      </c>
      <c r="G875" s="3">
        <v>176.94</v>
      </c>
      <c r="H875" t="str">
        <f t="shared" si="10"/>
        <v>CUST#12847097</v>
      </c>
    </row>
    <row r="876" spans="1:8" x14ac:dyDescent="0.25">
      <c r="E876" t="str">
        <f>""</f>
        <v/>
      </c>
      <c r="F876" t="str">
        <f>""</f>
        <v/>
      </c>
      <c r="G876" s="3">
        <v>36.75</v>
      </c>
      <c r="H876" t="str">
        <f t="shared" si="10"/>
        <v>CUST#12847097</v>
      </c>
    </row>
    <row r="877" spans="1:8" x14ac:dyDescent="0.25">
      <c r="E877" t="str">
        <f>""</f>
        <v/>
      </c>
      <c r="F877" t="str">
        <f>""</f>
        <v/>
      </c>
      <c r="G877" s="3">
        <v>67.53</v>
      </c>
      <c r="H877" t="str">
        <f t="shared" si="10"/>
        <v>CUST#12847097</v>
      </c>
    </row>
    <row r="878" spans="1:8" x14ac:dyDescent="0.25">
      <c r="E878" t="str">
        <f>""</f>
        <v/>
      </c>
      <c r="F878" t="str">
        <f>""</f>
        <v/>
      </c>
      <c r="G878" s="3">
        <v>475.14</v>
      </c>
      <c r="H878" t="str">
        <f t="shared" si="10"/>
        <v>CUST#12847097</v>
      </c>
    </row>
    <row r="879" spans="1:8" x14ac:dyDescent="0.25">
      <c r="E879" t="str">
        <f>""</f>
        <v/>
      </c>
      <c r="F879" t="str">
        <f>""</f>
        <v/>
      </c>
      <c r="G879" s="3">
        <v>261.22000000000003</v>
      </c>
      <c r="H879" t="str">
        <f t="shared" si="10"/>
        <v>CUST#12847097</v>
      </c>
    </row>
    <row r="880" spans="1:8" x14ac:dyDescent="0.25">
      <c r="E880" t="str">
        <f>""</f>
        <v/>
      </c>
      <c r="F880" t="str">
        <f>""</f>
        <v/>
      </c>
      <c r="G880" s="3">
        <v>176.72</v>
      </c>
      <c r="H880" t="str">
        <f t="shared" si="10"/>
        <v>CUST#12847097</v>
      </c>
    </row>
    <row r="881" spans="5:8" x14ac:dyDescent="0.25">
      <c r="E881" t="str">
        <f>""</f>
        <v/>
      </c>
      <c r="F881" t="str">
        <f>""</f>
        <v/>
      </c>
      <c r="G881" s="3">
        <v>105.92</v>
      </c>
      <c r="H881" t="str">
        <f t="shared" si="10"/>
        <v>CUST#12847097</v>
      </c>
    </row>
    <row r="882" spans="5:8" x14ac:dyDescent="0.25">
      <c r="E882" t="str">
        <f>""</f>
        <v/>
      </c>
      <c r="F882" t="str">
        <f>""</f>
        <v/>
      </c>
      <c r="G882" s="3">
        <v>55.49</v>
      </c>
      <c r="H882" t="str">
        <f t="shared" si="10"/>
        <v>CUST#12847097</v>
      </c>
    </row>
    <row r="883" spans="5:8" x14ac:dyDescent="0.25">
      <c r="E883" t="str">
        <f>""</f>
        <v/>
      </c>
      <c r="F883" t="str">
        <f>""</f>
        <v/>
      </c>
      <c r="G883" s="3">
        <v>263.79000000000002</v>
      </c>
      <c r="H883" t="str">
        <f t="shared" si="10"/>
        <v>CUST#12847097</v>
      </c>
    </row>
    <row r="884" spans="5:8" x14ac:dyDescent="0.25">
      <c r="E884" t="str">
        <f>""</f>
        <v/>
      </c>
      <c r="F884" t="str">
        <f>""</f>
        <v/>
      </c>
      <c r="G884" s="3">
        <v>88.9</v>
      </c>
      <c r="H884" t="str">
        <f t="shared" si="10"/>
        <v>CUST#12847097</v>
      </c>
    </row>
    <row r="885" spans="5:8" x14ac:dyDescent="0.25">
      <c r="E885" t="str">
        <f>""</f>
        <v/>
      </c>
      <c r="F885" t="str">
        <f>""</f>
        <v/>
      </c>
      <c r="G885" s="3">
        <v>167</v>
      </c>
      <c r="H885" t="str">
        <f t="shared" si="10"/>
        <v>CUST#12847097</v>
      </c>
    </row>
    <row r="886" spans="5:8" x14ac:dyDescent="0.25">
      <c r="E886" t="str">
        <f>""</f>
        <v/>
      </c>
      <c r="F886" t="str">
        <f>""</f>
        <v/>
      </c>
      <c r="G886" s="3">
        <v>277.43</v>
      </c>
      <c r="H886" t="str">
        <f t="shared" si="10"/>
        <v>CUST#12847097</v>
      </c>
    </row>
    <row r="887" spans="5:8" x14ac:dyDescent="0.25">
      <c r="E887" t="str">
        <f>""</f>
        <v/>
      </c>
      <c r="F887" t="str">
        <f>""</f>
        <v/>
      </c>
      <c r="G887" s="3">
        <v>257.88</v>
      </c>
      <c r="H887" t="str">
        <f t="shared" si="10"/>
        <v>CUST#12847097</v>
      </c>
    </row>
    <row r="888" spans="5:8" x14ac:dyDescent="0.25">
      <c r="E888" t="str">
        <f>""</f>
        <v/>
      </c>
      <c r="F888" t="str">
        <f>""</f>
        <v/>
      </c>
      <c r="G888" s="3">
        <v>149.19</v>
      </c>
      <c r="H888" t="str">
        <f t="shared" si="10"/>
        <v>CUST#12847097</v>
      </c>
    </row>
    <row r="889" spans="5:8" x14ac:dyDescent="0.25">
      <c r="E889" t="str">
        <f>""</f>
        <v/>
      </c>
      <c r="F889" t="str">
        <f>""</f>
        <v/>
      </c>
      <c r="G889" s="3">
        <v>24.79</v>
      </c>
      <c r="H889" t="str">
        <f t="shared" si="10"/>
        <v>CUST#12847097</v>
      </c>
    </row>
    <row r="890" spans="5:8" x14ac:dyDescent="0.25">
      <c r="E890" t="str">
        <f>""</f>
        <v/>
      </c>
      <c r="F890" t="str">
        <f>""</f>
        <v/>
      </c>
      <c r="G890" s="3">
        <v>310.73</v>
      </c>
      <c r="H890" t="str">
        <f t="shared" si="10"/>
        <v>CUST#12847097</v>
      </c>
    </row>
    <row r="891" spans="5:8" x14ac:dyDescent="0.25">
      <c r="E891" t="str">
        <f>""</f>
        <v/>
      </c>
      <c r="F891" t="str">
        <f>""</f>
        <v/>
      </c>
      <c r="G891" s="3">
        <v>745.27</v>
      </c>
      <c r="H891" t="str">
        <f t="shared" si="10"/>
        <v>CUST#12847097</v>
      </c>
    </row>
    <row r="892" spans="5:8" x14ac:dyDescent="0.25">
      <c r="E892" t="str">
        <f>""</f>
        <v/>
      </c>
      <c r="F892" t="str">
        <f>""</f>
        <v/>
      </c>
      <c r="G892" s="3">
        <v>977.55</v>
      </c>
      <c r="H892" t="str">
        <f t="shared" si="10"/>
        <v>CUST#12847097</v>
      </c>
    </row>
    <row r="893" spans="5:8" x14ac:dyDescent="0.25">
      <c r="E893" t="str">
        <f>""</f>
        <v/>
      </c>
      <c r="F893" t="str">
        <f>""</f>
        <v/>
      </c>
      <c r="G893" s="3">
        <v>998.24</v>
      </c>
      <c r="H893" t="str">
        <f t="shared" si="10"/>
        <v>CUST#12847097</v>
      </c>
    </row>
    <row r="894" spans="5:8" x14ac:dyDescent="0.25">
      <c r="E894" t="str">
        <f>""</f>
        <v/>
      </c>
      <c r="F894" t="str">
        <f>""</f>
        <v/>
      </c>
      <c r="G894" s="3">
        <v>35.549999999999997</v>
      </c>
      <c r="H894" t="str">
        <f t="shared" si="10"/>
        <v>CUST#12847097</v>
      </c>
    </row>
    <row r="895" spans="5:8" x14ac:dyDescent="0.25">
      <c r="E895" t="str">
        <f>""</f>
        <v/>
      </c>
      <c r="F895" t="str">
        <f>""</f>
        <v/>
      </c>
      <c r="G895" s="3">
        <v>372.64</v>
      </c>
      <c r="H895" t="str">
        <f t="shared" si="10"/>
        <v>CUST#12847097</v>
      </c>
    </row>
    <row r="896" spans="5:8" x14ac:dyDescent="0.25">
      <c r="E896" t="str">
        <f>""</f>
        <v/>
      </c>
      <c r="F896" t="str">
        <f>""</f>
        <v/>
      </c>
      <c r="G896" s="3">
        <v>21.14</v>
      </c>
      <c r="H896" t="str">
        <f t="shared" si="10"/>
        <v>CUST#12847097</v>
      </c>
    </row>
    <row r="897" spans="1:8" x14ac:dyDescent="0.25">
      <c r="E897" t="str">
        <f>""</f>
        <v/>
      </c>
      <c r="F897" t="str">
        <f>""</f>
        <v/>
      </c>
      <c r="G897" s="3">
        <v>324.49</v>
      </c>
      <c r="H897" t="str">
        <f t="shared" si="10"/>
        <v>CUST#12847097</v>
      </c>
    </row>
    <row r="898" spans="1:8" x14ac:dyDescent="0.25">
      <c r="E898" t="str">
        <f>""</f>
        <v/>
      </c>
      <c r="F898" t="str">
        <f>""</f>
        <v/>
      </c>
      <c r="G898" s="3">
        <v>62.97</v>
      </c>
      <c r="H898" t="str">
        <f t="shared" si="10"/>
        <v>CUST#12847097</v>
      </c>
    </row>
    <row r="899" spans="1:8" x14ac:dyDescent="0.25">
      <c r="E899" t="str">
        <f>""</f>
        <v/>
      </c>
      <c r="F899" t="str">
        <f>""</f>
        <v/>
      </c>
      <c r="G899" s="3">
        <v>62.97</v>
      </c>
      <c r="H899" t="str">
        <f t="shared" si="10"/>
        <v>CUST#12847097</v>
      </c>
    </row>
    <row r="900" spans="1:8" x14ac:dyDescent="0.25">
      <c r="E900" t="str">
        <f>""</f>
        <v/>
      </c>
      <c r="F900" t="str">
        <f>""</f>
        <v/>
      </c>
      <c r="G900" s="3">
        <v>62.97</v>
      </c>
      <c r="H900" t="str">
        <f t="shared" si="10"/>
        <v>CUST#12847097</v>
      </c>
    </row>
    <row r="901" spans="1:8" x14ac:dyDescent="0.25">
      <c r="E901" t="str">
        <f>""</f>
        <v/>
      </c>
      <c r="F901" t="str">
        <f>""</f>
        <v/>
      </c>
      <c r="G901" s="3">
        <v>254.02</v>
      </c>
      <c r="H901" t="str">
        <f t="shared" si="10"/>
        <v>CUST#12847097</v>
      </c>
    </row>
    <row r="902" spans="1:8" x14ac:dyDescent="0.25">
      <c r="A902" t="s">
        <v>294</v>
      </c>
      <c r="B902">
        <v>136770</v>
      </c>
      <c r="C902" s="3">
        <v>9315.17</v>
      </c>
      <c r="D902" s="6">
        <v>44431</v>
      </c>
      <c r="E902" t="str">
        <f>"38220705"</f>
        <v>38220705</v>
      </c>
      <c r="F902" t="str">
        <f>"CUST#2000172616"</f>
        <v>CUST#2000172616</v>
      </c>
      <c r="G902" s="3">
        <v>249.26</v>
      </c>
      <c r="H902" t="str">
        <f t="shared" ref="H902:H933" si="11">"CUST#2000172616"</f>
        <v>CUST#2000172616</v>
      </c>
    </row>
    <row r="903" spans="1:8" x14ac:dyDescent="0.25">
      <c r="E903" t="str">
        <f>""</f>
        <v/>
      </c>
      <c r="F903" t="str">
        <f>""</f>
        <v/>
      </c>
      <c r="G903" s="3">
        <v>174.17</v>
      </c>
      <c r="H903" t="str">
        <f t="shared" si="11"/>
        <v>CUST#2000172616</v>
      </c>
    </row>
    <row r="904" spans="1:8" x14ac:dyDescent="0.25">
      <c r="E904" t="str">
        <f>""</f>
        <v/>
      </c>
      <c r="F904" t="str">
        <f>""</f>
        <v/>
      </c>
      <c r="G904" s="3">
        <v>95.11</v>
      </c>
      <c r="H904" t="str">
        <f t="shared" si="11"/>
        <v>CUST#2000172616</v>
      </c>
    </row>
    <row r="905" spans="1:8" x14ac:dyDescent="0.25">
      <c r="E905" t="str">
        <f>""</f>
        <v/>
      </c>
      <c r="F905" t="str">
        <f>""</f>
        <v/>
      </c>
      <c r="G905" s="3">
        <v>101.5</v>
      </c>
      <c r="H905" t="str">
        <f t="shared" si="11"/>
        <v>CUST#2000172616</v>
      </c>
    </row>
    <row r="906" spans="1:8" x14ac:dyDescent="0.25">
      <c r="E906" t="str">
        <f>""</f>
        <v/>
      </c>
      <c r="F906" t="str">
        <f>""</f>
        <v/>
      </c>
      <c r="G906" s="3">
        <v>249.26</v>
      </c>
      <c r="H906" t="str">
        <f t="shared" si="11"/>
        <v>CUST#2000172616</v>
      </c>
    </row>
    <row r="907" spans="1:8" x14ac:dyDescent="0.25">
      <c r="E907" t="str">
        <f>""</f>
        <v/>
      </c>
      <c r="F907" t="str">
        <f>""</f>
        <v/>
      </c>
      <c r="G907" s="3">
        <v>428.42</v>
      </c>
      <c r="H907" t="str">
        <f t="shared" si="11"/>
        <v>CUST#2000172616</v>
      </c>
    </row>
    <row r="908" spans="1:8" x14ac:dyDescent="0.25">
      <c r="E908" t="str">
        <f>""</f>
        <v/>
      </c>
      <c r="F908" t="str">
        <f>""</f>
        <v/>
      </c>
      <c r="G908" s="3">
        <v>95.1</v>
      </c>
      <c r="H908" t="str">
        <f t="shared" si="11"/>
        <v>CUST#2000172616</v>
      </c>
    </row>
    <row r="909" spans="1:8" x14ac:dyDescent="0.25">
      <c r="E909" t="str">
        <f>""</f>
        <v/>
      </c>
      <c r="F909" t="str">
        <f>""</f>
        <v/>
      </c>
      <c r="G909" s="3">
        <v>303.86</v>
      </c>
      <c r="H909" t="str">
        <f t="shared" si="11"/>
        <v>CUST#2000172616</v>
      </c>
    </row>
    <row r="910" spans="1:8" x14ac:dyDescent="0.25">
      <c r="E910" t="str">
        <f>""</f>
        <v/>
      </c>
      <c r="F910" t="str">
        <f>""</f>
        <v/>
      </c>
      <c r="G910" s="3">
        <v>543.30999999999995</v>
      </c>
      <c r="H910" t="str">
        <f t="shared" si="11"/>
        <v>CUST#2000172616</v>
      </c>
    </row>
    <row r="911" spans="1:8" x14ac:dyDescent="0.25">
      <c r="E911" t="str">
        <f>""</f>
        <v/>
      </c>
      <c r="F911" t="str">
        <f>""</f>
        <v/>
      </c>
      <c r="G911" s="3">
        <v>249.26</v>
      </c>
      <c r="H911" t="str">
        <f t="shared" si="11"/>
        <v>CUST#2000172616</v>
      </c>
    </row>
    <row r="912" spans="1:8" x14ac:dyDescent="0.25">
      <c r="E912" t="str">
        <f>""</f>
        <v/>
      </c>
      <c r="F912" t="str">
        <f>""</f>
        <v/>
      </c>
      <c r="G912" s="3">
        <v>201</v>
      </c>
      <c r="H912" t="str">
        <f t="shared" si="11"/>
        <v>CUST#2000172616</v>
      </c>
    </row>
    <row r="913" spans="5:8" x14ac:dyDescent="0.25">
      <c r="E913" t="str">
        <f>""</f>
        <v/>
      </c>
      <c r="F913" t="str">
        <f>""</f>
        <v/>
      </c>
      <c r="G913" s="3">
        <v>80.28</v>
      </c>
      <c r="H913" t="str">
        <f t="shared" si="11"/>
        <v>CUST#2000172616</v>
      </c>
    </row>
    <row r="914" spans="5:8" x14ac:dyDescent="0.25">
      <c r="E914" t="str">
        <f>""</f>
        <v/>
      </c>
      <c r="F914" t="str">
        <f>""</f>
        <v/>
      </c>
      <c r="G914" s="3">
        <v>220.09</v>
      </c>
      <c r="H914" t="str">
        <f t="shared" si="11"/>
        <v>CUST#2000172616</v>
      </c>
    </row>
    <row r="915" spans="5:8" x14ac:dyDescent="0.25">
      <c r="E915" t="str">
        <f>""</f>
        <v/>
      </c>
      <c r="F915" t="str">
        <f>""</f>
        <v/>
      </c>
      <c r="G915" s="3">
        <v>525.66</v>
      </c>
      <c r="H915" t="str">
        <f t="shared" si="11"/>
        <v>CUST#2000172616</v>
      </c>
    </row>
    <row r="916" spans="5:8" x14ac:dyDescent="0.25">
      <c r="E916" t="str">
        <f>""</f>
        <v/>
      </c>
      <c r="F916" t="str">
        <f>""</f>
        <v/>
      </c>
      <c r="G916" s="3">
        <v>249.26</v>
      </c>
      <c r="H916" t="str">
        <f t="shared" si="11"/>
        <v>CUST#2000172616</v>
      </c>
    </row>
    <row r="917" spans="5:8" x14ac:dyDescent="0.25">
      <c r="E917" t="str">
        <f>""</f>
        <v/>
      </c>
      <c r="F917" t="str">
        <f>""</f>
        <v/>
      </c>
      <c r="G917" s="3">
        <v>249.26</v>
      </c>
      <c r="H917" t="str">
        <f t="shared" si="11"/>
        <v>CUST#2000172616</v>
      </c>
    </row>
    <row r="918" spans="5:8" x14ac:dyDescent="0.25">
      <c r="E918" t="str">
        <f>""</f>
        <v/>
      </c>
      <c r="F918" t="str">
        <f>""</f>
        <v/>
      </c>
      <c r="G918" s="3">
        <v>119.57</v>
      </c>
      <c r="H918" t="str">
        <f t="shared" si="11"/>
        <v>CUST#2000172616</v>
      </c>
    </row>
    <row r="919" spans="5:8" x14ac:dyDescent="0.25">
      <c r="E919" t="str">
        <f>""</f>
        <v/>
      </c>
      <c r="F919" t="str">
        <f>""</f>
        <v/>
      </c>
      <c r="G919" s="3">
        <v>338.84</v>
      </c>
      <c r="H919" t="str">
        <f t="shared" si="11"/>
        <v>CUST#2000172616</v>
      </c>
    </row>
    <row r="920" spans="5:8" x14ac:dyDescent="0.25">
      <c r="E920" t="str">
        <f>""</f>
        <v/>
      </c>
      <c r="F920" t="str">
        <f>""</f>
        <v/>
      </c>
      <c r="G920" s="3">
        <v>78.540000000000006</v>
      </c>
      <c r="H920" t="str">
        <f t="shared" si="11"/>
        <v>CUST#2000172616</v>
      </c>
    </row>
    <row r="921" spans="5:8" x14ac:dyDescent="0.25">
      <c r="E921" t="str">
        <f>""</f>
        <v/>
      </c>
      <c r="F921" t="str">
        <f>""</f>
        <v/>
      </c>
      <c r="G921" s="3">
        <v>249.26</v>
      </c>
      <c r="H921" t="str">
        <f t="shared" si="11"/>
        <v>CUST#2000172616</v>
      </c>
    </row>
    <row r="922" spans="5:8" x14ac:dyDescent="0.25">
      <c r="E922" t="str">
        <f>""</f>
        <v/>
      </c>
      <c r="F922" t="str">
        <f>""</f>
        <v/>
      </c>
      <c r="G922" s="3">
        <v>139.51</v>
      </c>
      <c r="H922" t="str">
        <f t="shared" si="11"/>
        <v>CUST#2000172616</v>
      </c>
    </row>
    <row r="923" spans="5:8" x14ac:dyDescent="0.25">
      <c r="E923" t="str">
        <f>""</f>
        <v/>
      </c>
      <c r="F923" t="str">
        <f>""</f>
        <v/>
      </c>
      <c r="G923" s="3">
        <v>303.86</v>
      </c>
      <c r="H923" t="str">
        <f t="shared" si="11"/>
        <v>CUST#2000172616</v>
      </c>
    </row>
    <row r="924" spans="5:8" x14ac:dyDescent="0.25">
      <c r="E924" t="str">
        <f>""</f>
        <v/>
      </c>
      <c r="F924" t="str">
        <f>""</f>
        <v/>
      </c>
      <c r="G924" s="3">
        <v>1267.82</v>
      </c>
      <c r="H924" t="str">
        <f t="shared" si="11"/>
        <v>CUST#2000172616</v>
      </c>
    </row>
    <row r="925" spans="5:8" x14ac:dyDescent="0.25">
      <c r="E925" t="str">
        <f>""</f>
        <v/>
      </c>
      <c r="F925" t="str">
        <f>""</f>
        <v/>
      </c>
      <c r="G925" s="3">
        <v>1244.07</v>
      </c>
      <c r="H925" t="str">
        <f t="shared" si="11"/>
        <v>CUST#2000172616</v>
      </c>
    </row>
    <row r="926" spans="5:8" x14ac:dyDescent="0.25">
      <c r="E926" t="str">
        <f>""</f>
        <v/>
      </c>
      <c r="F926" t="str">
        <f>""</f>
        <v/>
      </c>
      <c r="G926" s="3">
        <v>334.08</v>
      </c>
      <c r="H926" t="str">
        <f t="shared" si="11"/>
        <v>CUST#2000172616</v>
      </c>
    </row>
    <row r="927" spans="5:8" x14ac:dyDescent="0.25">
      <c r="E927" t="str">
        <f>""</f>
        <v/>
      </c>
      <c r="F927" t="str">
        <f>""</f>
        <v/>
      </c>
      <c r="G927" s="3">
        <v>303.86</v>
      </c>
      <c r="H927" t="str">
        <f t="shared" si="11"/>
        <v>CUST#2000172616</v>
      </c>
    </row>
    <row r="928" spans="5:8" x14ac:dyDescent="0.25">
      <c r="E928" t="str">
        <f>""</f>
        <v/>
      </c>
      <c r="F928" t="str">
        <f>""</f>
        <v/>
      </c>
      <c r="G928" s="3">
        <v>303.86</v>
      </c>
      <c r="H928" t="str">
        <f t="shared" si="11"/>
        <v>CUST#2000172616</v>
      </c>
    </row>
    <row r="929" spans="1:8" x14ac:dyDescent="0.25">
      <c r="E929" t="str">
        <f>""</f>
        <v/>
      </c>
      <c r="F929" t="str">
        <f>""</f>
        <v/>
      </c>
      <c r="G929" s="3">
        <v>101.5</v>
      </c>
      <c r="H929" t="str">
        <f t="shared" si="11"/>
        <v>CUST#2000172616</v>
      </c>
    </row>
    <row r="930" spans="1:8" x14ac:dyDescent="0.25">
      <c r="E930" t="str">
        <f>""</f>
        <v/>
      </c>
      <c r="F930" t="str">
        <f>""</f>
        <v/>
      </c>
      <c r="G930" s="3">
        <v>303.86</v>
      </c>
      <c r="H930" t="str">
        <f t="shared" si="11"/>
        <v>CUST#2000172616</v>
      </c>
    </row>
    <row r="931" spans="1:8" x14ac:dyDescent="0.25">
      <c r="E931" t="str">
        <f>""</f>
        <v/>
      </c>
      <c r="F931" t="str">
        <f>""</f>
        <v/>
      </c>
      <c r="G931" s="3">
        <v>70.58</v>
      </c>
      <c r="H931" t="str">
        <f t="shared" si="11"/>
        <v>CUST#2000172616</v>
      </c>
    </row>
    <row r="932" spans="1:8" x14ac:dyDescent="0.25">
      <c r="E932" t="str">
        <f>""</f>
        <v/>
      </c>
      <c r="F932" t="str">
        <f>""</f>
        <v/>
      </c>
      <c r="G932" s="3">
        <v>70.58</v>
      </c>
      <c r="H932" t="str">
        <f t="shared" si="11"/>
        <v>CUST#2000172616</v>
      </c>
    </row>
    <row r="933" spans="1:8" x14ac:dyDescent="0.25">
      <c r="E933" t="str">
        <f>""</f>
        <v/>
      </c>
      <c r="F933" t="str">
        <f>""</f>
        <v/>
      </c>
      <c r="G933" s="3">
        <v>70.58</v>
      </c>
      <c r="H933" t="str">
        <f t="shared" si="11"/>
        <v>CUST#2000172616</v>
      </c>
    </row>
    <row r="934" spans="1:8" x14ac:dyDescent="0.25">
      <c r="A934" t="s">
        <v>295</v>
      </c>
      <c r="B934">
        <v>136771</v>
      </c>
      <c r="C934" s="3">
        <v>22</v>
      </c>
      <c r="D934" s="6">
        <v>44431</v>
      </c>
      <c r="E934" t="str">
        <f>"12903"</f>
        <v>12903</v>
      </c>
      <c r="F934" t="str">
        <f>"TIRES/MIKE DAVIS"</f>
        <v>TIRES/MIKE DAVIS</v>
      </c>
      <c r="G934" s="3">
        <v>22</v>
      </c>
      <c r="H934" t="str">
        <f>"TIRES/MIKE DAVIS"</f>
        <v>TIRES/MIKE DAVIS</v>
      </c>
    </row>
    <row r="935" spans="1:8" x14ac:dyDescent="0.25">
      <c r="A935" t="s">
        <v>296</v>
      </c>
      <c r="B935">
        <v>4860</v>
      </c>
      <c r="C935" s="3">
        <v>60</v>
      </c>
      <c r="D935" s="6">
        <v>44418</v>
      </c>
      <c r="E935" t="str">
        <f>"W016380"</f>
        <v>W016380</v>
      </c>
      <c r="F935" t="str">
        <f>"INV W016380"</f>
        <v>INV W016380</v>
      </c>
      <c r="G935" s="3">
        <v>60</v>
      </c>
      <c r="H935" t="str">
        <f>"INV W016380"</f>
        <v>INV W016380</v>
      </c>
    </row>
    <row r="936" spans="1:8" x14ac:dyDescent="0.25">
      <c r="A936" t="s">
        <v>296</v>
      </c>
      <c r="B936">
        <v>4929</v>
      </c>
      <c r="C936" s="3">
        <v>485.99</v>
      </c>
      <c r="D936" s="6">
        <v>44432</v>
      </c>
      <c r="E936" t="str">
        <f>"I015703"</f>
        <v>I015703</v>
      </c>
      <c r="F936" t="str">
        <f>"INV I015703"</f>
        <v>INV I015703</v>
      </c>
      <c r="G936" s="3">
        <v>485.99</v>
      </c>
      <c r="H936" t="str">
        <f>"INV I015703"</f>
        <v>INV I015703</v>
      </c>
    </row>
    <row r="937" spans="1:8" x14ac:dyDescent="0.25">
      <c r="A937" t="s">
        <v>297</v>
      </c>
      <c r="B937">
        <v>4953</v>
      </c>
      <c r="C937" s="3">
        <v>400</v>
      </c>
      <c r="D937" s="6">
        <v>44432</v>
      </c>
      <c r="E937" t="str">
        <f>"BCSOJUL21"</f>
        <v>BCSOJUL21</v>
      </c>
      <c r="F937" t="str">
        <f>"INV BCSOJUL21"</f>
        <v>INV BCSOJUL21</v>
      </c>
      <c r="G937" s="3">
        <v>400</v>
      </c>
      <c r="H937" t="str">
        <f>"INV BCSOJUL21"</f>
        <v>INV BCSOJUL21</v>
      </c>
    </row>
    <row r="938" spans="1:8" x14ac:dyDescent="0.25">
      <c r="A938" t="s">
        <v>298</v>
      </c>
      <c r="B938">
        <v>136772</v>
      </c>
      <c r="C938" s="3">
        <v>390.7</v>
      </c>
      <c r="D938" s="6">
        <v>44431</v>
      </c>
      <c r="E938" t="str">
        <f>"202108165222"</f>
        <v>202108165222</v>
      </c>
      <c r="F938" t="str">
        <f>"CUST#90564/GENERAL SVCS"</f>
        <v>CUST#90564/GENERAL SVCS</v>
      </c>
      <c r="G938" s="3">
        <v>390.7</v>
      </c>
      <c r="H938" t="str">
        <f>"CUST#90564/GENERAL SVCS"</f>
        <v>CUST#90564/GENERAL SVCS</v>
      </c>
    </row>
    <row r="939" spans="1:8" x14ac:dyDescent="0.25">
      <c r="A939" t="s">
        <v>299</v>
      </c>
      <c r="B939">
        <v>136773</v>
      </c>
      <c r="C939" s="3">
        <v>255</v>
      </c>
      <c r="D939" s="6">
        <v>44431</v>
      </c>
      <c r="E939" t="str">
        <f>"J21-0682"</f>
        <v>J21-0682</v>
      </c>
      <c r="F939" t="str">
        <f>"INV J21-0682"</f>
        <v>INV J21-0682</v>
      </c>
      <c r="G939" s="3">
        <v>255</v>
      </c>
      <c r="H939" t="str">
        <f>"INV J21-0682"</f>
        <v>INV J21-0682</v>
      </c>
    </row>
    <row r="940" spans="1:8" x14ac:dyDescent="0.25">
      <c r="A940" t="s">
        <v>300</v>
      </c>
      <c r="B940">
        <v>136632</v>
      </c>
      <c r="C940" s="3">
        <v>120</v>
      </c>
      <c r="D940" s="6">
        <v>44417</v>
      </c>
      <c r="E940" t="str">
        <f>"202108034961"</f>
        <v>202108034961</v>
      </c>
      <c r="F940" t="str">
        <f>"LPHCP RECORDING FEES"</f>
        <v>LPHCP RECORDING FEES</v>
      </c>
      <c r="G940" s="3">
        <v>120</v>
      </c>
      <c r="H940" t="str">
        <f>"LPHCP RECORDING FEES"</f>
        <v>LPHCP RECORDING FEES</v>
      </c>
    </row>
    <row r="941" spans="1:8" x14ac:dyDescent="0.25">
      <c r="A941" t="s">
        <v>300</v>
      </c>
      <c r="B941">
        <v>136633</v>
      </c>
      <c r="C941" s="3">
        <v>671</v>
      </c>
      <c r="D941" s="6">
        <v>44417</v>
      </c>
      <c r="E941" t="str">
        <f>"202108035016"</f>
        <v>202108035016</v>
      </c>
      <c r="F941" t="str">
        <f>"DEVELOPMENT SVCS RECORDING FEE"</f>
        <v>DEVELOPMENT SVCS RECORDING FEE</v>
      </c>
      <c r="G941" s="3">
        <v>671</v>
      </c>
      <c r="H941" t="str">
        <f>"DEVELOPMENT SVCS RECORDING FEE"</f>
        <v>DEVELOPMENT SVCS RECORDING FEE</v>
      </c>
    </row>
    <row r="942" spans="1:8" x14ac:dyDescent="0.25">
      <c r="A942" t="s">
        <v>300</v>
      </c>
      <c r="B942">
        <v>136774</v>
      </c>
      <c r="C942" s="3">
        <v>183</v>
      </c>
      <c r="D942" s="6">
        <v>44431</v>
      </c>
      <c r="E942" t="str">
        <f>"202108185296"</f>
        <v>202108185296</v>
      </c>
      <c r="F942" t="str">
        <f>"DEVELOPMENT SVCS/RECORDING FEE"</f>
        <v>DEVELOPMENT SVCS/RECORDING FEE</v>
      </c>
      <c r="G942" s="3">
        <v>183</v>
      </c>
      <c r="H942" t="str">
        <f>"DEVELOPMENT SVCS/RECORDING FEE"</f>
        <v>DEVELOPMENT SVCS/RECORDING FEE</v>
      </c>
    </row>
    <row r="943" spans="1:8" x14ac:dyDescent="0.25">
      <c r="A943" t="s">
        <v>301</v>
      </c>
      <c r="B943">
        <v>136634</v>
      </c>
      <c r="C943" s="3">
        <v>145.1</v>
      </c>
      <c r="D943" s="6">
        <v>44417</v>
      </c>
      <c r="E943" t="str">
        <f>"202107284812"</f>
        <v>202107284812</v>
      </c>
      <c r="F943" t="str">
        <f>"CUST#9486/PCT#4"</f>
        <v>CUST#9486/PCT#4</v>
      </c>
      <c r="G943" s="3">
        <v>61.45</v>
      </c>
      <c r="H943" t="str">
        <f>"CUST#9486/PCT#4"</f>
        <v>CUST#9486/PCT#4</v>
      </c>
    </row>
    <row r="944" spans="1:8" x14ac:dyDescent="0.25">
      <c r="E944" t="str">
        <f>"8180"</f>
        <v>8180</v>
      </c>
      <c r="F944" t="str">
        <f>"CUST#9486/PCT#4"</f>
        <v>CUST#9486/PCT#4</v>
      </c>
      <c r="G944" s="3">
        <v>83.65</v>
      </c>
      <c r="H944" t="str">
        <f>"CUST#9486/PCT#4"</f>
        <v>CUST#9486/PCT#4</v>
      </c>
    </row>
    <row r="945" spans="1:8" x14ac:dyDescent="0.25">
      <c r="A945" t="s">
        <v>302</v>
      </c>
      <c r="B945">
        <v>136775</v>
      </c>
      <c r="C945" s="3">
        <v>130</v>
      </c>
      <c r="D945" s="6">
        <v>44431</v>
      </c>
      <c r="E945" t="str">
        <f>"202108185295"</f>
        <v>202108185295</v>
      </c>
      <c r="F945" t="str">
        <f>"REIMBURSEMENT/RUTH PORTER"</f>
        <v>REIMBURSEMENT/RUTH PORTER</v>
      </c>
      <c r="G945" s="3">
        <v>130</v>
      </c>
      <c r="H945" t="str">
        <f>"REIMBURSEMENT/RUTH PORTER"</f>
        <v>REIMBURSEMENT/RUTH PORTER</v>
      </c>
    </row>
    <row r="946" spans="1:8" x14ac:dyDescent="0.25">
      <c r="A946" t="s">
        <v>303</v>
      </c>
      <c r="B946">
        <v>4913</v>
      </c>
      <c r="C946" s="3">
        <v>490</v>
      </c>
      <c r="D946" s="6">
        <v>44418</v>
      </c>
      <c r="E946" t="str">
        <f>"067707"</f>
        <v>067707</v>
      </c>
      <c r="F946" t="str">
        <f>"SUPPLIES/DISTRICT CLERK"</f>
        <v>SUPPLIES/DISTRICT CLERK</v>
      </c>
      <c r="G946" s="3">
        <v>490</v>
      </c>
      <c r="H946" t="str">
        <f>"SUPPLIES/DISTRICT CLERK"</f>
        <v>SUPPLIES/DISTRICT CLERK</v>
      </c>
    </row>
    <row r="947" spans="1:8" x14ac:dyDescent="0.25">
      <c r="A947" t="s">
        <v>303</v>
      </c>
      <c r="B947">
        <v>4982</v>
      </c>
      <c r="C947" s="3">
        <v>2542.81</v>
      </c>
      <c r="D947" s="6">
        <v>44432</v>
      </c>
      <c r="E947" t="str">
        <f>"067565"</f>
        <v>067565</v>
      </c>
      <c r="F947" t="str">
        <f>"SUPPLIES/COUNTY CLERK"</f>
        <v>SUPPLIES/COUNTY CLERK</v>
      </c>
      <c r="G947" s="3">
        <v>1784.81</v>
      </c>
      <c r="H947" t="str">
        <f>"SUPPLIES/COUNTY CLERK"</f>
        <v>SUPPLIES/COUNTY CLERK</v>
      </c>
    </row>
    <row r="948" spans="1:8" x14ac:dyDescent="0.25">
      <c r="E948" t="str">
        <f>"202108175273"</f>
        <v>202108175273</v>
      </c>
      <c r="F948" t="str">
        <f>"Docket Book"</f>
        <v>Docket Book</v>
      </c>
      <c r="G948" s="3">
        <v>719</v>
      </c>
      <c r="H948" t="str">
        <f>"1 Vol."</f>
        <v>1 Vol.</v>
      </c>
    </row>
    <row r="949" spans="1:8" x14ac:dyDescent="0.25">
      <c r="E949" t="str">
        <f>""</f>
        <v/>
      </c>
      <c r="F949" t="str">
        <f>""</f>
        <v/>
      </c>
      <c r="G949" s="3">
        <v>39</v>
      </c>
      <c r="H949" t="str">
        <f>"Shipping"</f>
        <v>Shipping</v>
      </c>
    </row>
    <row r="950" spans="1:8" x14ac:dyDescent="0.25">
      <c r="A950" t="s">
        <v>304</v>
      </c>
      <c r="B950">
        <v>4911</v>
      </c>
      <c r="C950" s="3">
        <v>385</v>
      </c>
      <c r="D950" s="6">
        <v>44418</v>
      </c>
      <c r="E950" t="str">
        <f>"25246"</f>
        <v>25246</v>
      </c>
      <c r="F950" t="str">
        <f>"Panic Buttons Elections"</f>
        <v>Panic Buttons Elections</v>
      </c>
      <c r="G950" s="3">
        <v>375</v>
      </c>
      <c r="H950" t="str">
        <f>"Single Duress Alarm"</f>
        <v>Single Duress Alarm</v>
      </c>
    </row>
    <row r="951" spans="1:8" x14ac:dyDescent="0.25">
      <c r="E951" t="str">
        <f>""</f>
        <v/>
      </c>
      <c r="F951" t="str">
        <f>""</f>
        <v/>
      </c>
      <c r="G951" s="3">
        <v>10</v>
      </c>
      <c r="H951" t="str">
        <f>"Shipping"</f>
        <v>Shipping</v>
      </c>
    </row>
    <row r="952" spans="1:8" x14ac:dyDescent="0.25">
      <c r="A952" t="s">
        <v>305</v>
      </c>
      <c r="B952">
        <v>136776</v>
      </c>
      <c r="C952" s="3">
        <v>4016.2</v>
      </c>
      <c r="D952" s="6">
        <v>44431</v>
      </c>
      <c r="E952" t="str">
        <f>"202108175245"</f>
        <v>202108175245</v>
      </c>
      <c r="F952" t="str">
        <f>"INDIGENT HEALTH"</f>
        <v>INDIGENT HEALTH</v>
      </c>
      <c r="G952" s="3">
        <v>616.20000000000005</v>
      </c>
      <c r="H952" t="str">
        <f>"INDIGENT HEALTH"</f>
        <v>INDIGENT HEALTH</v>
      </c>
    </row>
    <row r="953" spans="1:8" x14ac:dyDescent="0.25">
      <c r="E953" t="str">
        <f>"81721"</f>
        <v>81721</v>
      </c>
      <c r="F953" t="str">
        <f>"INDIGENT HEALTH"</f>
        <v>INDIGENT HEALTH</v>
      </c>
      <c r="G953" s="3">
        <v>3400</v>
      </c>
      <c r="H953" t="str">
        <f>"INDIGENT HEALTH"</f>
        <v>INDIGENT HEALTH</v>
      </c>
    </row>
    <row r="954" spans="1:8" x14ac:dyDescent="0.25">
      <c r="A954" t="s">
        <v>306</v>
      </c>
      <c r="B954">
        <v>136777</v>
      </c>
      <c r="C954" s="3">
        <v>50</v>
      </c>
      <c r="D954" s="6">
        <v>44431</v>
      </c>
      <c r="E954" t="str">
        <f>"14-962 7-23-21"</f>
        <v>14-962 7-23-21</v>
      </c>
      <c r="F954" t="str">
        <f>"RESTITUTION - DEBRA MCCOMB"</f>
        <v>RESTITUTION - DEBRA MCCOMB</v>
      </c>
      <c r="G954" s="3">
        <v>50</v>
      </c>
      <c r="H954" t="str">
        <f>"RESTITUTION - DEBRA MCCOMB"</f>
        <v>RESTITUTION - DEBRA MCCOMB</v>
      </c>
    </row>
    <row r="955" spans="1:8" x14ac:dyDescent="0.25">
      <c r="A955" t="s">
        <v>307</v>
      </c>
      <c r="B955">
        <v>136635</v>
      </c>
      <c r="C955" s="3">
        <v>157.25</v>
      </c>
      <c r="D955" s="6">
        <v>44417</v>
      </c>
      <c r="E955" t="str">
        <f>"7776-3"</f>
        <v>7776-3</v>
      </c>
      <c r="F955" t="str">
        <f>"ACCT#4220-2556-9/ELECTIONS"</f>
        <v>ACCT#4220-2556-9/ELECTIONS</v>
      </c>
      <c r="G955" s="3">
        <v>157.25</v>
      </c>
      <c r="H955" t="str">
        <f>"ACCT#4220-2556-9/ELECTIONS"</f>
        <v>ACCT#4220-2556-9/ELECTIONS</v>
      </c>
    </row>
    <row r="956" spans="1:8" x14ac:dyDescent="0.25">
      <c r="A956" t="s">
        <v>308</v>
      </c>
      <c r="B956">
        <v>136636</v>
      </c>
      <c r="C956" s="3">
        <v>1421</v>
      </c>
      <c r="D956" s="6">
        <v>44417</v>
      </c>
      <c r="E956" t="str">
        <f>"202108035014"</f>
        <v>202108035014</v>
      </c>
      <c r="F956" t="str">
        <f>"ESET Training Hours"</f>
        <v>ESET Training Hours</v>
      </c>
      <c r="G956" s="3">
        <v>1421</v>
      </c>
      <c r="H956" t="str">
        <f>"Part#EPS-REPORT"</f>
        <v>Part#EPS-REPORT</v>
      </c>
    </row>
    <row r="957" spans="1:8" x14ac:dyDescent="0.25">
      <c r="A957" t="s">
        <v>308</v>
      </c>
      <c r="B957">
        <v>136778</v>
      </c>
      <c r="C957" s="3">
        <v>3073.44</v>
      </c>
      <c r="D957" s="6">
        <v>44431</v>
      </c>
      <c r="E957" t="str">
        <f>"202108115188"</f>
        <v>202108115188</v>
      </c>
      <c r="F957" t="str">
        <f>"SHI GOVERNMENT SOLUTIONS INC."</f>
        <v>SHI GOVERNMENT SOLUTIONS INC.</v>
      </c>
      <c r="G957" s="3">
        <v>256.12</v>
      </c>
      <c r="H957" t="str">
        <f>"Office Phone"</f>
        <v>Office Phone</v>
      </c>
    </row>
    <row r="958" spans="1:8" x14ac:dyDescent="0.25">
      <c r="E958" t="str">
        <f>"25430"</f>
        <v>25430</v>
      </c>
      <c r="F958" t="str">
        <f>"Cisco IP Phones"</f>
        <v>Cisco IP Phones</v>
      </c>
      <c r="G958" s="3">
        <v>2561.1999999999998</v>
      </c>
      <c r="H958" t="str">
        <f>"Cisco IP Phones"</f>
        <v>Cisco IP Phones</v>
      </c>
    </row>
    <row r="959" spans="1:8" x14ac:dyDescent="0.25">
      <c r="E959" t="str">
        <f>"25569"</f>
        <v>25569</v>
      </c>
      <c r="F959" t="str">
        <f>"Cisco IP Phone 8811"</f>
        <v>Cisco IP Phone 8811</v>
      </c>
      <c r="G959" s="3">
        <v>256.12</v>
      </c>
      <c r="H959" t="str">
        <f>"Cisco IP Phone 8811"</f>
        <v>Cisco IP Phone 8811</v>
      </c>
    </row>
    <row r="960" spans="1:8" x14ac:dyDescent="0.25">
      <c r="A960" t="s">
        <v>309</v>
      </c>
      <c r="B960">
        <v>136637</v>
      </c>
      <c r="C960" s="3">
        <v>216.36</v>
      </c>
      <c r="D960" s="6">
        <v>44417</v>
      </c>
      <c r="E960" t="str">
        <f>"1324969"</f>
        <v>1324969</v>
      </c>
      <c r="F960" t="str">
        <f>"ACCT#564591/PCT#4"</f>
        <v>ACCT#564591/PCT#4</v>
      </c>
      <c r="G960" s="3">
        <v>216.36</v>
      </c>
      <c r="H960" t="str">
        <f>"ACCT#564591/PCT#4"</f>
        <v>ACCT#564591/PCT#4</v>
      </c>
    </row>
    <row r="961" spans="1:8" x14ac:dyDescent="0.25">
      <c r="A961" t="s">
        <v>309</v>
      </c>
      <c r="B961">
        <v>136779</v>
      </c>
      <c r="C961" s="3">
        <v>2911.58</v>
      </c>
      <c r="D961" s="6">
        <v>44431</v>
      </c>
      <c r="E961" t="str">
        <f>"1325026"</f>
        <v>1325026</v>
      </c>
      <c r="F961" t="str">
        <f>"ACCT#550615/SERVICE CALL/P4"</f>
        <v>ACCT#550615/SERVICE CALL/P4</v>
      </c>
      <c r="G961" s="3">
        <v>2911.58</v>
      </c>
      <c r="H961" t="str">
        <f>"ACCT#550615/SERVICE CALL/P4"</f>
        <v>ACCT#550615/SERVICE CALL/P4</v>
      </c>
    </row>
    <row r="962" spans="1:8" x14ac:dyDescent="0.25">
      <c r="A962" t="s">
        <v>310</v>
      </c>
      <c r="B962">
        <v>136638</v>
      </c>
      <c r="C962" s="3">
        <v>685.07</v>
      </c>
      <c r="D962" s="6">
        <v>44417</v>
      </c>
      <c r="E962" t="str">
        <f>"8182590031"</f>
        <v>8182590031</v>
      </c>
      <c r="F962" t="str">
        <f>"INV 8182590031"</f>
        <v>INV 8182590031</v>
      </c>
      <c r="G962" s="3">
        <v>88.92</v>
      </c>
      <c r="H962" t="str">
        <f>"INV 8182590031 - LE"</f>
        <v>INV 8182590031 - LE</v>
      </c>
    </row>
    <row r="963" spans="1:8" x14ac:dyDescent="0.25">
      <c r="E963" t="str">
        <f>""</f>
        <v/>
      </c>
      <c r="F963" t="str">
        <f>""</f>
        <v/>
      </c>
      <c r="G963" s="3">
        <v>88.92</v>
      </c>
      <c r="H963" t="str">
        <f>"INV 8182590031 - JAI"</f>
        <v>INV 8182590031 - JAI</v>
      </c>
    </row>
    <row r="964" spans="1:8" x14ac:dyDescent="0.25">
      <c r="E964" t="str">
        <f>"8182590382"</f>
        <v>8182590382</v>
      </c>
      <c r="F964" t="str">
        <f>"CUST#16151857"</f>
        <v>CUST#16151857</v>
      </c>
      <c r="G964" s="3">
        <v>38.619999999999997</v>
      </c>
      <c r="H964" t="str">
        <f>"CUST#16151857"</f>
        <v>CUST#16151857</v>
      </c>
    </row>
    <row r="965" spans="1:8" x14ac:dyDescent="0.25">
      <c r="E965" t="str">
        <f>""</f>
        <v/>
      </c>
      <c r="F965" t="str">
        <f>""</f>
        <v/>
      </c>
      <c r="G965" s="3">
        <v>38.619999999999997</v>
      </c>
      <c r="H965" t="str">
        <f>"CUST#16151857"</f>
        <v>CUST#16151857</v>
      </c>
    </row>
    <row r="966" spans="1:8" x14ac:dyDescent="0.25">
      <c r="E966" t="str">
        <f>""</f>
        <v/>
      </c>
      <c r="F966" t="str">
        <f>""</f>
        <v/>
      </c>
      <c r="G966" s="3">
        <v>53.83</v>
      </c>
      <c r="H966" t="str">
        <f>"CUST#16151857"</f>
        <v>CUST#16151857</v>
      </c>
    </row>
    <row r="967" spans="1:8" x14ac:dyDescent="0.25">
      <c r="E967" t="str">
        <f>"8182590488"</f>
        <v>8182590488</v>
      </c>
      <c r="F967" t="str">
        <f>"CUST#16155373"</f>
        <v>CUST#16155373</v>
      </c>
      <c r="G967" s="3">
        <v>45.16</v>
      </c>
      <c r="H967" t="str">
        <f t="shared" ref="H967:H972" si="12">"CUST#16155373"</f>
        <v>CUST#16155373</v>
      </c>
    </row>
    <row r="968" spans="1:8" x14ac:dyDescent="0.25">
      <c r="E968" t="str">
        <f>""</f>
        <v/>
      </c>
      <c r="F968" t="str">
        <f>""</f>
        <v/>
      </c>
      <c r="G968" s="3">
        <v>45.16</v>
      </c>
      <c r="H968" t="str">
        <f t="shared" si="12"/>
        <v>CUST#16155373</v>
      </c>
    </row>
    <row r="969" spans="1:8" x14ac:dyDescent="0.25">
      <c r="E969" t="str">
        <f>""</f>
        <v/>
      </c>
      <c r="F969" t="str">
        <f>""</f>
        <v/>
      </c>
      <c r="G969" s="3">
        <v>45.16</v>
      </c>
      <c r="H969" t="str">
        <f t="shared" si="12"/>
        <v>CUST#16155373</v>
      </c>
    </row>
    <row r="970" spans="1:8" x14ac:dyDescent="0.25">
      <c r="E970" t="str">
        <f>""</f>
        <v/>
      </c>
      <c r="F970" t="str">
        <f>""</f>
        <v/>
      </c>
      <c r="G970" s="3">
        <v>75.28</v>
      </c>
      <c r="H970" t="str">
        <f t="shared" si="12"/>
        <v>CUST#16155373</v>
      </c>
    </row>
    <row r="971" spans="1:8" x14ac:dyDescent="0.25">
      <c r="E971" t="str">
        <f>""</f>
        <v/>
      </c>
      <c r="F971" t="str">
        <f>""</f>
        <v/>
      </c>
      <c r="G971" s="3">
        <v>45.16</v>
      </c>
      <c r="H971" t="str">
        <f t="shared" si="12"/>
        <v>CUST#16155373</v>
      </c>
    </row>
    <row r="972" spans="1:8" x14ac:dyDescent="0.25">
      <c r="E972" t="str">
        <f>""</f>
        <v/>
      </c>
      <c r="F972" t="str">
        <f>""</f>
        <v/>
      </c>
      <c r="G972" s="3">
        <v>45.16</v>
      </c>
      <c r="H972" t="str">
        <f t="shared" si="12"/>
        <v>CUST#16155373</v>
      </c>
    </row>
    <row r="973" spans="1:8" x14ac:dyDescent="0.25">
      <c r="E973" t="str">
        <f>"8182590594"</f>
        <v>8182590594</v>
      </c>
      <c r="F973" t="str">
        <f>"CUST#16158670"</f>
        <v>CUST#16158670</v>
      </c>
      <c r="G973" s="3">
        <v>75.08</v>
      </c>
      <c r="H973" t="str">
        <f>"CUST#16158670"</f>
        <v>CUST#16158670</v>
      </c>
    </row>
    <row r="974" spans="1:8" x14ac:dyDescent="0.25">
      <c r="A974" t="s">
        <v>310</v>
      </c>
      <c r="B974">
        <v>136780</v>
      </c>
      <c r="C974" s="3">
        <v>93.3</v>
      </c>
      <c r="D974" s="6">
        <v>44431</v>
      </c>
      <c r="E974" t="str">
        <f>"8182590525"</f>
        <v>8182590525</v>
      </c>
      <c r="F974" t="str">
        <f>"CUST#16156071"</f>
        <v>CUST#16156071</v>
      </c>
      <c r="G974" s="3">
        <v>93.3</v>
      </c>
      <c r="H974" t="str">
        <f>"CUST#16156071"</f>
        <v>CUST#16156071</v>
      </c>
    </row>
    <row r="975" spans="1:8" x14ac:dyDescent="0.25">
      <c r="A975" t="s">
        <v>311</v>
      </c>
      <c r="B975">
        <v>136781</v>
      </c>
      <c r="C975" s="3">
        <v>715.41</v>
      </c>
      <c r="D975" s="6">
        <v>44431</v>
      </c>
      <c r="E975" t="str">
        <f>"202108175253"</f>
        <v>202108175253</v>
      </c>
      <c r="F975" t="str">
        <f>"INDIGENT HEALTH"</f>
        <v>INDIGENT HEALTH</v>
      </c>
      <c r="G975" s="3">
        <v>715.41</v>
      </c>
      <c r="H975" t="str">
        <f>"INDIGENT HEALTH"</f>
        <v>INDIGENT HEALTH</v>
      </c>
    </row>
    <row r="976" spans="1:8" x14ac:dyDescent="0.25">
      <c r="A976" t="s">
        <v>312</v>
      </c>
      <c r="B976">
        <v>4945</v>
      </c>
      <c r="C976" s="3">
        <v>25930.45</v>
      </c>
      <c r="D976" s="6">
        <v>44432</v>
      </c>
      <c r="E976" t="str">
        <f>"202108115189"</f>
        <v>202108115189</v>
      </c>
      <c r="F976" t="str">
        <f>"SILSBEE FORD"</f>
        <v>SILSBEE FORD</v>
      </c>
      <c r="G976" s="3">
        <v>25630.45</v>
      </c>
      <c r="H976" t="str">
        <f>"Silverado"</f>
        <v>Silverado</v>
      </c>
    </row>
    <row r="977" spans="1:8" x14ac:dyDescent="0.25">
      <c r="E977" t="str">
        <f>""</f>
        <v/>
      </c>
      <c r="F977" t="str">
        <f>""</f>
        <v/>
      </c>
      <c r="G977" s="3">
        <v>300</v>
      </c>
      <c r="H977" t="str">
        <f>"Goodbuy Fee"</f>
        <v>Goodbuy Fee</v>
      </c>
    </row>
    <row r="978" spans="1:8" x14ac:dyDescent="0.25">
      <c r="A978" t="s">
        <v>313</v>
      </c>
      <c r="B978">
        <v>136782</v>
      </c>
      <c r="C978" s="3">
        <v>180.7</v>
      </c>
      <c r="D978" s="6">
        <v>44431</v>
      </c>
      <c r="E978" t="str">
        <f>"202108175254"</f>
        <v>202108175254</v>
      </c>
      <c r="F978" t="str">
        <f>"INDIGENT HEALTH"</f>
        <v>INDIGENT HEALTH</v>
      </c>
      <c r="G978" s="3">
        <v>180.7</v>
      </c>
      <c r="H978" t="str">
        <f>"INDIGENT HEALTH"</f>
        <v>INDIGENT HEALTH</v>
      </c>
    </row>
    <row r="979" spans="1:8" x14ac:dyDescent="0.25">
      <c r="A979" t="s">
        <v>313</v>
      </c>
      <c r="B979">
        <v>136831</v>
      </c>
      <c r="C979" s="3">
        <v>45.71</v>
      </c>
      <c r="D979" s="6">
        <v>44434</v>
      </c>
      <c r="E979" t="str">
        <f>"4813*146*1 / 2"</f>
        <v>4813*146*1 / 2</v>
      </c>
      <c r="F979" t="str">
        <f>"JAIL LAB/XRAY"</f>
        <v>JAIL LAB/XRAY</v>
      </c>
      <c r="G979" s="3">
        <v>45.71</v>
      </c>
      <c r="H979" t="str">
        <f>"SINGLETON ASSOCIATES  PA"</f>
        <v>SINGLETON ASSOCIATES  PA</v>
      </c>
    </row>
    <row r="980" spans="1:8" x14ac:dyDescent="0.25">
      <c r="A980" t="s">
        <v>314</v>
      </c>
      <c r="B980">
        <v>4894</v>
      </c>
      <c r="C980" s="3">
        <v>428.27</v>
      </c>
      <c r="D980" s="6">
        <v>44418</v>
      </c>
      <c r="E980" t="str">
        <f>"PSMI001139"</f>
        <v>PSMI001139</v>
      </c>
      <c r="F980" t="str">
        <f>"INV PSMI001139"</f>
        <v>INV PSMI001139</v>
      </c>
      <c r="G980" s="3">
        <v>428.27</v>
      </c>
      <c r="H980" t="str">
        <f>"INV PSMI001139"</f>
        <v>INV PSMI001139</v>
      </c>
    </row>
    <row r="981" spans="1:8" x14ac:dyDescent="0.25">
      <c r="A981" t="s">
        <v>314</v>
      </c>
      <c r="B981">
        <v>4967</v>
      </c>
      <c r="C981" s="3">
        <v>378.95</v>
      </c>
      <c r="D981" s="6">
        <v>44432</v>
      </c>
      <c r="E981" t="str">
        <f>"PSMI001220"</f>
        <v>PSMI001220</v>
      </c>
      <c r="F981" t="str">
        <f>"INV PSMI001220"</f>
        <v>INV PSMI001220</v>
      </c>
      <c r="G981" s="3">
        <v>378.95</v>
      </c>
      <c r="H981" t="str">
        <f>"INV PSMI001220"</f>
        <v>INV PSMI001220</v>
      </c>
    </row>
    <row r="982" spans="1:8" x14ac:dyDescent="0.25">
      <c r="A982" t="s">
        <v>315</v>
      </c>
      <c r="B982">
        <v>136783</v>
      </c>
      <c r="C982" s="3">
        <v>6178.1</v>
      </c>
      <c r="D982" s="6">
        <v>44431</v>
      </c>
      <c r="E982" t="str">
        <f>"37051"</f>
        <v>37051</v>
      </c>
      <c r="F982" t="str">
        <f>"SUPPLIES/PCT#1"</f>
        <v>SUPPLIES/PCT#1</v>
      </c>
      <c r="G982" s="3">
        <v>6079.5</v>
      </c>
      <c r="H982" t="str">
        <f>"SUPPLIES/PCT#1"</f>
        <v>SUPPLIES/PCT#1</v>
      </c>
    </row>
    <row r="983" spans="1:8" x14ac:dyDescent="0.25">
      <c r="E983" t="str">
        <f>"37052"</f>
        <v>37052</v>
      </c>
      <c r="F983" t="str">
        <f>"SUPPLIES/PCT#2"</f>
        <v>SUPPLIES/PCT#2</v>
      </c>
      <c r="G983" s="3">
        <v>98.6</v>
      </c>
      <c r="H983" t="str">
        <f>"SUPPLIES/PCT#2"</f>
        <v>SUPPLIES/PCT#2</v>
      </c>
    </row>
    <row r="984" spans="1:8" x14ac:dyDescent="0.25">
      <c r="A984" t="s">
        <v>316</v>
      </c>
      <c r="B984">
        <v>136784</v>
      </c>
      <c r="C984" s="3">
        <v>626.55999999999995</v>
      </c>
      <c r="D984" s="6">
        <v>44431</v>
      </c>
      <c r="E984" t="str">
        <f>"202108175235"</f>
        <v>202108175235</v>
      </c>
      <c r="F984" t="str">
        <f>"ACCT#260/PCT#2"</f>
        <v>ACCT#260/PCT#2</v>
      </c>
      <c r="G984" s="3">
        <v>626.55999999999995</v>
      </c>
      <c r="H984" t="str">
        <f>"ACCT#260/PCT#2"</f>
        <v>ACCT#260/PCT#2</v>
      </c>
    </row>
    <row r="985" spans="1:8" x14ac:dyDescent="0.25">
      <c r="A985" t="s">
        <v>317</v>
      </c>
      <c r="B985">
        <v>136639</v>
      </c>
      <c r="C985" s="3">
        <v>2500</v>
      </c>
      <c r="D985" s="6">
        <v>44417</v>
      </c>
      <c r="E985" t="str">
        <f>"202108034942"</f>
        <v>202108034942</v>
      </c>
      <c r="F985" t="str">
        <f>"FY 2020-2021 FUNDS"</f>
        <v>FY 2020-2021 FUNDS</v>
      </c>
      <c r="G985" s="3">
        <v>2500</v>
      </c>
      <c r="H985" t="str">
        <f>"FY 2020-2021 FUNDS"</f>
        <v>FY 2020-2021 FUNDS</v>
      </c>
    </row>
    <row r="986" spans="1:8" x14ac:dyDescent="0.25">
      <c r="A986" t="s">
        <v>318</v>
      </c>
      <c r="B986">
        <v>136785</v>
      </c>
      <c r="C986" s="3">
        <v>8.0500000000000007</v>
      </c>
      <c r="D986" s="6">
        <v>44431</v>
      </c>
      <c r="E986" t="str">
        <f>"202108125200"</f>
        <v>202108125200</v>
      </c>
      <c r="F986" t="str">
        <f>"ARREST FEES 4/1/21-6/30/21"</f>
        <v>ARREST FEES 4/1/21-6/30/21</v>
      </c>
      <c r="G986" s="3">
        <v>8.0500000000000007</v>
      </c>
      <c r="H986" t="str">
        <f>"ARREST FEES 4/1/21-6/30/21"</f>
        <v>ARREST FEES 4/1/21-6/30/21</v>
      </c>
    </row>
    <row r="987" spans="1:8" x14ac:dyDescent="0.25">
      <c r="A987" t="s">
        <v>319</v>
      </c>
      <c r="B987">
        <v>136786</v>
      </c>
      <c r="C987" s="3">
        <v>490.42</v>
      </c>
      <c r="D987" s="6">
        <v>44431</v>
      </c>
      <c r="E987" t="str">
        <f>"22T-068"</f>
        <v>22T-068</v>
      </c>
      <c r="F987" t="str">
        <f>"PERMIT NOW/DEVELOPMENT SVCS"</f>
        <v>PERMIT NOW/DEVELOPMENT SVCS</v>
      </c>
      <c r="G987" s="3">
        <v>490.42</v>
      </c>
      <c r="H987" t="str">
        <f>"PERMIT NOW/DEVELOPMENT SVCS"</f>
        <v>PERMIT NOW/DEVELOPMENT SVCS</v>
      </c>
    </row>
    <row r="988" spans="1:8" x14ac:dyDescent="0.25">
      <c r="A988" t="s">
        <v>320</v>
      </c>
      <c r="B988">
        <v>136787</v>
      </c>
      <c r="C988" s="3">
        <v>1127.28</v>
      </c>
      <c r="D988" s="6">
        <v>44431</v>
      </c>
      <c r="E988" t="str">
        <f>"25548"</f>
        <v>25548</v>
      </c>
      <c r="F988" t="str">
        <f>"SOUTHERN COMPUTER WAREHOUSE IN"</f>
        <v>SOUTHERN COMPUTER WAREHOUSE IN</v>
      </c>
      <c r="G988" s="3">
        <v>230.52</v>
      </c>
      <c r="H988" t="str">
        <f>"HP LaserJet"</f>
        <v>HP LaserJet</v>
      </c>
    </row>
    <row r="989" spans="1:8" x14ac:dyDescent="0.25">
      <c r="E989" t="str">
        <f>"25601"</f>
        <v>25601</v>
      </c>
      <c r="F989" t="str">
        <f>"SOUTHERN COMPUTER WAREHOUSE IN"</f>
        <v>SOUTHERN COMPUTER WAREHOUSE IN</v>
      </c>
      <c r="G989" s="3">
        <v>896.76</v>
      </c>
      <c r="H989" t="str">
        <f>"Scanner"</f>
        <v>Scanner</v>
      </c>
    </row>
    <row r="990" spans="1:8" x14ac:dyDescent="0.25">
      <c r="A990" t="s">
        <v>321</v>
      </c>
      <c r="B990">
        <v>136640</v>
      </c>
      <c r="C990" s="3">
        <v>1469.18</v>
      </c>
      <c r="D990" s="6">
        <v>44417</v>
      </c>
      <c r="E990" t="str">
        <f>"202108034951"</f>
        <v>202108034951</v>
      </c>
      <c r="F990" t="str">
        <f>"ACCT#52157/PCT#4"</f>
        <v>ACCT#52157/PCT#4</v>
      </c>
      <c r="G990" s="3">
        <v>732.78</v>
      </c>
      <c r="H990" t="str">
        <f>"ACCT#52157/PCT#4"</f>
        <v>ACCT#52157/PCT#4</v>
      </c>
    </row>
    <row r="991" spans="1:8" x14ac:dyDescent="0.25">
      <c r="E991" t="str">
        <f>"4650083399"</f>
        <v>4650083399</v>
      </c>
      <c r="F991" t="str">
        <f>"CUST#0052158/PCT#4"</f>
        <v>CUST#0052158/PCT#4</v>
      </c>
      <c r="G991" s="3">
        <v>736.4</v>
      </c>
      <c r="H991" t="str">
        <f>"CUST#0052158/PCT#4"</f>
        <v>CUST#0052158/PCT#4</v>
      </c>
    </row>
    <row r="992" spans="1:8" x14ac:dyDescent="0.25">
      <c r="A992" t="s">
        <v>321</v>
      </c>
      <c r="B992">
        <v>136788</v>
      </c>
      <c r="C992" s="3">
        <v>2912.36</v>
      </c>
      <c r="D992" s="6">
        <v>44431</v>
      </c>
      <c r="E992" t="str">
        <f>"4240030674"</f>
        <v>4240030674</v>
      </c>
      <c r="F992" t="str">
        <f>"INV 4240030674"</f>
        <v>INV 4240030674</v>
      </c>
      <c r="G992" s="3">
        <v>1177.56</v>
      </c>
      <c r="H992" t="str">
        <f>"INV 4240030674"</f>
        <v>INV 4240030674</v>
      </c>
    </row>
    <row r="993" spans="1:8" x14ac:dyDescent="0.25">
      <c r="E993" t="str">
        <f>"4240030953"</f>
        <v>4240030953</v>
      </c>
      <c r="F993" t="str">
        <f>"INV 4240030953"</f>
        <v>INV 4240030953</v>
      </c>
      <c r="G993" s="3">
        <v>1492.8</v>
      </c>
      <c r="H993" t="str">
        <f>"INV 4240030953"</f>
        <v>INV 4240030953</v>
      </c>
    </row>
    <row r="994" spans="1:8" x14ac:dyDescent="0.25">
      <c r="E994" t="str">
        <f>"4660033124"</f>
        <v>4660033124</v>
      </c>
      <c r="F994" t="str">
        <f>"CUST#0052158/PCT#2"</f>
        <v>CUST#0052158/PCT#2</v>
      </c>
      <c r="G994" s="3">
        <v>242</v>
      </c>
      <c r="H994" t="str">
        <f>"CUST#0052158/PCT#2"</f>
        <v>CUST#0052158/PCT#2</v>
      </c>
    </row>
    <row r="995" spans="1:8" x14ac:dyDescent="0.25">
      <c r="A995" t="s">
        <v>322</v>
      </c>
      <c r="B995">
        <v>136641</v>
      </c>
      <c r="C995" s="3">
        <v>70.86</v>
      </c>
      <c r="D995" s="6">
        <v>44417</v>
      </c>
      <c r="E995" t="str">
        <f>"202107284791"</f>
        <v>202107284791</v>
      </c>
      <c r="F995" t="str">
        <f>"CUST#46668439604456/JP#2"</f>
        <v>CUST#46668439604456/JP#2</v>
      </c>
      <c r="G995" s="3">
        <v>70.86</v>
      </c>
      <c r="H995" t="str">
        <f>"CUST#46668439604456/JP#2"</f>
        <v>CUST#46668439604456/JP#2</v>
      </c>
    </row>
    <row r="996" spans="1:8" x14ac:dyDescent="0.25">
      <c r="A996" t="s">
        <v>323</v>
      </c>
      <c r="B996">
        <v>136789</v>
      </c>
      <c r="C996" s="3">
        <v>277.58999999999997</v>
      </c>
      <c r="D996" s="6">
        <v>44431</v>
      </c>
      <c r="E996" t="str">
        <f>"S1161980"</f>
        <v>S1161980</v>
      </c>
      <c r="F996" t="str">
        <f>"SUPPLIES/ANIMAL SHELTER"</f>
        <v>SUPPLIES/ANIMAL SHELTER</v>
      </c>
      <c r="G996" s="3">
        <v>54.15</v>
      </c>
      <c r="H996" t="str">
        <f>"SUPPLIES/ANIMAL SHELTER"</f>
        <v>SUPPLIES/ANIMAL SHELTER</v>
      </c>
    </row>
    <row r="997" spans="1:8" x14ac:dyDescent="0.25">
      <c r="E997" t="str">
        <f>"S1163757"</f>
        <v>S1163757</v>
      </c>
      <c r="F997" t="str">
        <f>"SUPPLIES/ANIMAL SHELTER"</f>
        <v>SUPPLIES/ANIMAL SHELTER</v>
      </c>
      <c r="G997" s="3">
        <v>223.44</v>
      </c>
      <c r="H997" t="str">
        <f>"SUPPLIES/ANIMAL SHELTER"</f>
        <v>SUPPLIES/ANIMAL SHELTER</v>
      </c>
    </row>
    <row r="998" spans="1:8" x14ac:dyDescent="0.25">
      <c r="A998" t="s">
        <v>324</v>
      </c>
      <c r="B998">
        <v>136832</v>
      </c>
      <c r="C998" s="3">
        <v>6.42</v>
      </c>
      <c r="D998" s="6">
        <v>44434</v>
      </c>
      <c r="E998" t="str">
        <f>"4601*00126*1"</f>
        <v>4601*00126*1</v>
      </c>
      <c r="F998" t="str">
        <f>"JAIL PHYSICIAN SERVICES"</f>
        <v>JAIL PHYSICIAN SERVICES</v>
      </c>
      <c r="G998" s="3">
        <v>6.42</v>
      </c>
      <c r="H998" t="str">
        <f>"ST. DAVIDS HEART &amp; VASCULAR  P"</f>
        <v>ST. DAVIDS HEART &amp; VASCULAR  P</v>
      </c>
    </row>
    <row r="999" spans="1:8" x14ac:dyDescent="0.25">
      <c r="A999" t="s">
        <v>325</v>
      </c>
      <c r="B999">
        <v>136790</v>
      </c>
      <c r="C999" s="3">
        <v>4373.25</v>
      </c>
      <c r="D999" s="6">
        <v>44431</v>
      </c>
      <c r="E999" t="str">
        <f>"202108175255"</f>
        <v>202108175255</v>
      </c>
      <c r="F999" t="str">
        <f>"INDIGENT HEALTH"</f>
        <v>INDIGENT HEALTH</v>
      </c>
      <c r="G999" s="3">
        <v>176.36</v>
      </c>
      <c r="H999" t="str">
        <f>"INDIGENT HEALTH"</f>
        <v>INDIGENT HEALTH</v>
      </c>
    </row>
    <row r="1000" spans="1:8" x14ac:dyDescent="0.25">
      <c r="E1000" t="str">
        <f>""</f>
        <v/>
      </c>
      <c r="F1000" t="str">
        <f>""</f>
        <v/>
      </c>
      <c r="G1000" s="3">
        <v>4196.8900000000003</v>
      </c>
      <c r="H1000" t="str">
        <f>"INDIGENT HEALTH"</f>
        <v>INDIGENT HEALTH</v>
      </c>
    </row>
    <row r="1001" spans="1:8" x14ac:dyDescent="0.25">
      <c r="A1001" t="s">
        <v>326</v>
      </c>
      <c r="B1001">
        <v>136791</v>
      </c>
      <c r="C1001" s="3">
        <v>7980.21</v>
      </c>
      <c r="D1001" s="6">
        <v>44431</v>
      </c>
      <c r="E1001" t="str">
        <f>"8063110235"</f>
        <v>8063110235</v>
      </c>
      <c r="F1001" t="str">
        <f>"Staples"</f>
        <v>Staples</v>
      </c>
      <c r="G1001" s="3">
        <v>103.37</v>
      </c>
      <c r="H1001" t="str">
        <f>"3483741923"</f>
        <v>3483741923</v>
      </c>
    </row>
    <row r="1002" spans="1:8" x14ac:dyDescent="0.25">
      <c r="E1002" t="str">
        <f>""</f>
        <v/>
      </c>
      <c r="F1002" t="str">
        <f>""</f>
        <v/>
      </c>
      <c r="G1002" s="3">
        <v>122.86</v>
      </c>
      <c r="H1002" t="str">
        <f>"3483741931"</f>
        <v>3483741931</v>
      </c>
    </row>
    <row r="1003" spans="1:8" x14ac:dyDescent="0.25">
      <c r="E1003" t="str">
        <f>""</f>
        <v/>
      </c>
      <c r="F1003" t="str">
        <f>""</f>
        <v/>
      </c>
      <c r="G1003" s="3">
        <v>120.04</v>
      </c>
      <c r="H1003" t="str">
        <f>"3483741916"</f>
        <v>3483741916</v>
      </c>
    </row>
    <row r="1004" spans="1:8" x14ac:dyDescent="0.25">
      <c r="E1004" t="str">
        <f>""</f>
        <v/>
      </c>
      <c r="F1004" t="str">
        <f>""</f>
        <v/>
      </c>
      <c r="G1004" s="3">
        <v>381.9</v>
      </c>
      <c r="H1004" t="str">
        <f>"3483741925"</f>
        <v>3483741925</v>
      </c>
    </row>
    <row r="1005" spans="1:8" x14ac:dyDescent="0.25">
      <c r="E1005" t="str">
        <f>""</f>
        <v/>
      </c>
      <c r="F1005" t="str">
        <f>""</f>
        <v/>
      </c>
      <c r="G1005" s="3">
        <v>404.24</v>
      </c>
      <c r="H1005" t="str">
        <f>"3483741922"</f>
        <v>3483741922</v>
      </c>
    </row>
    <row r="1006" spans="1:8" x14ac:dyDescent="0.25">
      <c r="E1006" t="str">
        <f>""</f>
        <v/>
      </c>
      <c r="F1006" t="str">
        <f>""</f>
        <v/>
      </c>
      <c r="G1006" s="3">
        <v>543.49</v>
      </c>
      <c r="H1006" t="str">
        <f>"3483741921"</f>
        <v>3483741921</v>
      </c>
    </row>
    <row r="1007" spans="1:8" x14ac:dyDescent="0.25">
      <c r="E1007" t="str">
        <f>""</f>
        <v/>
      </c>
      <c r="F1007" t="str">
        <f>""</f>
        <v/>
      </c>
      <c r="G1007" s="3">
        <v>374.84</v>
      </c>
      <c r="H1007" t="str">
        <f>"3483741917"</f>
        <v>3483741917</v>
      </c>
    </row>
    <row r="1008" spans="1:8" x14ac:dyDescent="0.25">
      <c r="E1008" t="str">
        <f>""</f>
        <v/>
      </c>
      <c r="F1008" t="str">
        <f>""</f>
        <v/>
      </c>
      <c r="G1008" s="3">
        <v>349.29</v>
      </c>
      <c r="H1008" t="str">
        <f>"3483741930"</f>
        <v>3483741930</v>
      </c>
    </row>
    <row r="1009" spans="5:8" x14ac:dyDescent="0.25">
      <c r="E1009" t="str">
        <f>""</f>
        <v/>
      </c>
      <c r="F1009" t="str">
        <f>""</f>
        <v/>
      </c>
      <c r="G1009" s="3">
        <v>1308</v>
      </c>
      <c r="H1009" t="str">
        <f>"0193260721"</f>
        <v>0193260721</v>
      </c>
    </row>
    <row r="1010" spans="5:8" x14ac:dyDescent="0.25">
      <c r="E1010" t="str">
        <f>""</f>
        <v/>
      </c>
      <c r="F1010" t="str">
        <f>""</f>
        <v/>
      </c>
      <c r="G1010" s="3">
        <v>-308.04000000000002</v>
      </c>
      <c r="H1010" t="str">
        <f>"0193260721"</f>
        <v>0193260721</v>
      </c>
    </row>
    <row r="1011" spans="5:8" x14ac:dyDescent="0.25">
      <c r="E1011" t="str">
        <f>""</f>
        <v/>
      </c>
      <c r="F1011" t="str">
        <f>""</f>
        <v/>
      </c>
      <c r="G1011" s="3">
        <v>129.19</v>
      </c>
      <c r="H1011" t="str">
        <f>"3483741929"</f>
        <v>3483741929</v>
      </c>
    </row>
    <row r="1012" spans="5:8" x14ac:dyDescent="0.25">
      <c r="E1012" t="str">
        <f>""</f>
        <v/>
      </c>
      <c r="F1012" t="str">
        <f>""</f>
        <v/>
      </c>
      <c r="G1012" s="3">
        <v>7.61</v>
      </c>
      <c r="H1012" t="str">
        <f>"3483741926"</f>
        <v>3483741926</v>
      </c>
    </row>
    <row r="1013" spans="5:8" x14ac:dyDescent="0.25">
      <c r="E1013" t="str">
        <f>""</f>
        <v/>
      </c>
      <c r="F1013" t="str">
        <f>""</f>
        <v/>
      </c>
      <c r="G1013" s="3">
        <v>61.2</v>
      </c>
      <c r="H1013" t="str">
        <f>"3483741918"</f>
        <v>3483741918</v>
      </c>
    </row>
    <row r="1014" spans="5:8" x14ac:dyDescent="0.25">
      <c r="E1014" t="str">
        <f>""</f>
        <v/>
      </c>
      <c r="F1014" t="str">
        <f>""</f>
        <v/>
      </c>
      <c r="G1014" s="3">
        <v>218.09</v>
      </c>
      <c r="H1014" t="str">
        <f>"3483741928"</f>
        <v>3483741928</v>
      </c>
    </row>
    <row r="1015" spans="5:8" x14ac:dyDescent="0.25">
      <c r="E1015" t="str">
        <f>""</f>
        <v/>
      </c>
      <c r="F1015" t="str">
        <f>""</f>
        <v/>
      </c>
      <c r="G1015" s="3">
        <v>52.14</v>
      </c>
      <c r="H1015" t="str">
        <f>"3483741927"</f>
        <v>3483741927</v>
      </c>
    </row>
    <row r="1016" spans="5:8" x14ac:dyDescent="0.25">
      <c r="E1016" t="str">
        <f>""</f>
        <v/>
      </c>
      <c r="F1016" t="str">
        <f>""</f>
        <v/>
      </c>
      <c r="G1016" s="3">
        <v>359.78</v>
      </c>
      <c r="H1016" t="str">
        <f>"3483741924"</f>
        <v>3483741924</v>
      </c>
    </row>
    <row r="1017" spans="5:8" x14ac:dyDescent="0.25">
      <c r="E1017" t="str">
        <f>""</f>
        <v/>
      </c>
      <c r="F1017" t="str">
        <f>""</f>
        <v/>
      </c>
      <c r="G1017" s="3">
        <v>132.82</v>
      </c>
      <c r="H1017" t="str">
        <f>"3483741914"</f>
        <v>3483741914</v>
      </c>
    </row>
    <row r="1018" spans="5:8" x14ac:dyDescent="0.25">
      <c r="E1018" t="str">
        <f>""</f>
        <v/>
      </c>
      <c r="F1018" t="str">
        <f>""</f>
        <v/>
      </c>
      <c r="G1018" s="3">
        <v>155.79</v>
      </c>
      <c r="H1018" t="str">
        <f>"3483741915"</f>
        <v>3483741915</v>
      </c>
    </row>
    <row r="1019" spans="5:8" x14ac:dyDescent="0.25">
      <c r="E1019" t="str">
        <f>"8063254689"</f>
        <v>8063254689</v>
      </c>
      <c r="F1019" t="str">
        <f>"Staples"</f>
        <v>Staples</v>
      </c>
      <c r="G1019" s="3">
        <v>2.68</v>
      </c>
      <c r="H1019" t="str">
        <f>"3484700560"</f>
        <v>3484700560</v>
      </c>
    </row>
    <row r="1020" spans="5:8" x14ac:dyDescent="0.25">
      <c r="E1020" t="str">
        <f>""</f>
        <v/>
      </c>
      <c r="F1020" t="str">
        <f>""</f>
        <v/>
      </c>
      <c r="G1020" s="3">
        <v>111.27</v>
      </c>
      <c r="H1020" t="str">
        <f>"3484700561"</f>
        <v>3484700561</v>
      </c>
    </row>
    <row r="1021" spans="5:8" x14ac:dyDescent="0.25">
      <c r="E1021" t="str">
        <f>""</f>
        <v/>
      </c>
      <c r="F1021" t="str">
        <f>""</f>
        <v/>
      </c>
      <c r="G1021" s="3">
        <v>-40.630000000000003</v>
      </c>
      <c r="H1021" t="str">
        <f>"3484700568"</f>
        <v>3484700568</v>
      </c>
    </row>
    <row r="1022" spans="5:8" x14ac:dyDescent="0.25">
      <c r="E1022" t="str">
        <f>""</f>
        <v/>
      </c>
      <c r="F1022" t="str">
        <f>""</f>
        <v/>
      </c>
      <c r="G1022" s="3">
        <v>40.630000000000003</v>
      </c>
      <c r="H1022" t="str">
        <f>"3484700569"</f>
        <v>3484700569</v>
      </c>
    </row>
    <row r="1023" spans="5:8" x14ac:dyDescent="0.25">
      <c r="E1023" t="str">
        <f>""</f>
        <v/>
      </c>
      <c r="F1023" t="str">
        <f>""</f>
        <v/>
      </c>
      <c r="G1023" s="3">
        <v>83.38</v>
      </c>
      <c r="H1023" t="str">
        <f>"3484700567"</f>
        <v>3484700567</v>
      </c>
    </row>
    <row r="1024" spans="5:8" x14ac:dyDescent="0.25">
      <c r="E1024" t="str">
        <f>""</f>
        <v/>
      </c>
      <c r="F1024" t="str">
        <f>""</f>
        <v/>
      </c>
      <c r="G1024" s="3">
        <v>388.09</v>
      </c>
      <c r="H1024" t="str">
        <f>"3484700570"</f>
        <v>3484700570</v>
      </c>
    </row>
    <row r="1025" spans="1:8" x14ac:dyDescent="0.25">
      <c r="E1025" t="str">
        <f>""</f>
        <v/>
      </c>
      <c r="F1025" t="str">
        <f>""</f>
        <v/>
      </c>
      <c r="G1025" s="3">
        <v>340.28</v>
      </c>
      <c r="H1025" t="str">
        <f>"3484700562"</f>
        <v>3484700562</v>
      </c>
    </row>
    <row r="1026" spans="1:8" x14ac:dyDescent="0.25">
      <c r="E1026" t="str">
        <f>""</f>
        <v/>
      </c>
      <c r="F1026" t="str">
        <f>""</f>
        <v/>
      </c>
      <c r="G1026" s="3">
        <v>99.98</v>
      </c>
      <c r="H1026" t="str">
        <f>"3484700563"</f>
        <v>3484700563</v>
      </c>
    </row>
    <row r="1027" spans="1:8" x14ac:dyDescent="0.25">
      <c r="E1027" t="str">
        <f>""</f>
        <v/>
      </c>
      <c r="F1027" t="str">
        <f>""</f>
        <v/>
      </c>
      <c r="G1027" s="3">
        <v>223.4</v>
      </c>
      <c r="H1027" t="str">
        <f>"3484700564"</f>
        <v>3484700564</v>
      </c>
    </row>
    <row r="1028" spans="1:8" x14ac:dyDescent="0.25">
      <c r="E1028" t="str">
        <f>""</f>
        <v/>
      </c>
      <c r="F1028" t="str">
        <f>""</f>
        <v/>
      </c>
      <c r="G1028" s="3">
        <v>109.98</v>
      </c>
      <c r="H1028" t="str">
        <f>"3484700565"</f>
        <v>3484700565</v>
      </c>
    </row>
    <row r="1029" spans="1:8" x14ac:dyDescent="0.25">
      <c r="E1029" t="str">
        <f>""</f>
        <v/>
      </c>
      <c r="F1029" t="str">
        <f>""</f>
        <v/>
      </c>
      <c r="G1029" s="3">
        <v>39.24</v>
      </c>
      <c r="H1029" t="str">
        <f>"3484700556"</f>
        <v>3484700556</v>
      </c>
    </row>
    <row r="1030" spans="1:8" x14ac:dyDescent="0.25">
      <c r="E1030" t="str">
        <f>""</f>
        <v/>
      </c>
      <c r="F1030" t="str">
        <f>""</f>
        <v/>
      </c>
      <c r="G1030" s="3">
        <v>122.4</v>
      </c>
      <c r="H1030" t="str">
        <f>"3484700558"</f>
        <v>3484700558</v>
      </c>
    </row>
    <row r="1031" spans="1:8" x14ac:dyDescent="0.25">
      <c r="E1031" t="str">
        <f>""</f>
        <v/>
      </c>
      <c r="F1031" t="str">
        <f>""</f>
        <v/>
      </c>
      <c r="G1031" s="3">
        <v>101.04</v>
      </c>
      <c r="H1031" t="str">
        <f>"3484700572"</f>
        <v>3484700572</v>
      </c>
    </row>
    <row r="1032" spans="1:8" x14ac:dyDescent="0.25">
      <c r="E1032" t="str">
        <f>""</f>
        <v/>
      </c>
      <c r="F1032" t="str">
        <f>""</f>
        <v/>
      </c>
      <c r="G1032" s="3">
        <v>6.72</v>
      </c>
      <c r="H1032" t="str">
        <f>"3484700573"</f>
        <v>3484700573</v>
      </c>
    </row>
    <row r="1033" spans="1:8" x14ac:dyDescent="0.25">
      <c r="E1033" t="str">
        <f>""</f>
        <v/>
      </c>
      <c r="F1033" t="str">
        <f>""</f>
        <v/>
      </c>
      <c r="G1033" s="3">
        <v>92.74</v>
      </c>
      <c r="H1033" t="str">
        <f>"3484700574"</f>
        <v>3484700574</v>
      </c>
    </row>
    <row r="1034" spans="1:8" x14ac:dyDescent="0.25">
      <c r="E1034" t="str">
        <f>""</f>
        <v/>
      </c>
      <c r="F1034" t="str">
        <f>""</f>
        <v/>
      </c>
      <c r="G1034" s="3">
        <v>17.8</v>
      </c>
      <c r="H1034" t="str">
        <f>"3484700559"</f>
        <v>3484700559</v>
      </c>
    </row>
    <row r="1035" spans="1:8" x14ac:dyDescent="0.25">
      <c r="E1035" t="str">
        <f>""</f>
        <v/>
      </c>
      <c r="F1035" t="str">
        <f>""</f>
        <v/>
      </c>
      <c r="G1035" s="3">
        <v>137.97</v>
      </c>
      <c r="H1035" t="str">
        <f>"3484700575"</f>
        <v>3484700575</v>
      </c>
    </row>
    <row r="1036" spans="1:8" x14ac:dyDescent="0.25">
      <c r="E1036" t="str">
        <f>""</f>
        <v/>
      </c>
      <c r="F1036" t="str">
        <f>""</f>
        <v/>
      </c>
      <c r="G1036" s="3">
        <v>121.89</v>
      </c>
      <c r="H1036" t="str">
        <f>"3484700571"</f>
        <v>3484700571</v>
      </c>
    </row>
    <row r="1037" spans="1:8" x14ac:dyDescent="0.25">
      <c r="E1037" t="str">
        <f>""</f>
        <v/>
      </c>
      <c r="F1037" t="str">
        <f>""</f>
        <v/>
      </c>
      <c r="G1037" s="3">
        <v>1342.34</v>
      </c>
      <c r="H1037" t="str">
        <f>"3484700566"</f>
        <v>3484700566</v>
      </c>
    </row>
    <row r="1038" spans="1:8" x14ac:dyDescent="0.25">
      <c r="E1038" t="str">
        <f>""</f>
        <v/>
      </c>
      <c r="F1038" t="str">
        <f>""</f>
        <v/>
      </c>
      <c r="G1038" s="3">
        <v>122.4</v>
      </c>
      <c r="H1038" t="str">
        <f>"3484700557"</f>
        <v>3484700557</v>
      </c>
    </row>
    <row r="1039" spans="1:8" x14ac:dyDescent="0.25">
      <c r="A1039" t="s">
        <v>327</v>
      </c>
      <c r="B1039">
        <v>136792</v>
      </c>
      <c r="C1039" s="3">
        <v>575.72</v>
      </c>
      <c r="D1039" s="6">
        <v>44431</v>
      </c>
      <c r="E1039" t="str">
        <f>"202108175264"</f>
        <v>202108175264</v>
      </c>
      <c r="F1039" t="str">
        <f>"JULY 2021"</f>
        <v>JULY 2021</v>
      </c>
      <c r="G1039" s="3">
        <v>575.72</v>
      </c>
      <c r="H1039" t="str">
        <f>"JULY 2021"</f>
        <v>JULY 2021</v>
      </c>
    </row>
    <row r="1040" spans="1:8" x14ac:dyDescent="0.25">
      <c r="A1040" t="s">
        <v>328</v>
      </c>
      <c r="B1040">
        <v>136642</v>
      </c>
      <c r="C1040" s="3">
        <v>874.93</v>
      </c>
      <c r="D1040" s="6">
        <v>44417</v>
      </c>
      <c r="E1040" t="str">
        <f>"4010284375"</f>
        <v>4010284375</v>
      </c>
      <c r="F1040" t="str">
        <f>"INV 4010284375"</f>
        <v>INV 4010284375</v>
      </c>
      <c r="G1040" s="3">
        <v>874.93</v>
      </c>
      <c r="H1040" t="str">
        <f>"INV 4010284375"</f>
        <v>INV 4010284375</v>
      </c>
    </row>
    <row r="1041" spans="1:8" x14ac:dyDescent="0.25">
      <c r="A1041" t="s">
        <v>329</v>
      </c>
      <c r="B1041">
        <v>136643</v>
      </c>
      <c r="C1041" s="3">
        <v>50</v>
      </c>
      <c r="D1041" s="6">
        <v>44417</v>
      </c>
      <c r="E1041" t="str">
        <f>"202108034992"</f>
        <v>202108034992</v>
      </c>
      <c r="F1041" t="str">
        <f>"REIMBURSE/STEVEN HILBIG"</f>
        <v>REIMBURSE/STEVEN HILBIG</v>
      </c>
      <c r="G1041" s="3">
        <v>50</v>
      </c>
      <c r="H1041" t="str">
        <f>"REIMBURSE/STEVEN HILBIG"</f>
        <v>REIMBURSE/STEVEN HILBIG</v>
      </c>
    </row>
    <row r="1042" spans="1:8" x14ac:dyDescent="0.25">
      <c r="A1042" t="s">
        <v>330</v>
      </c>
      <c r="B1042">
        <v>4956</v>
      </c>
      <c r="C1042" s="3">
        <v>18850</v>
      </c>
      <c r="D1042" s="6">
        <v>44432</v>
      </c>
      <c r="E1042" t="str">
        <f>"1194"</f>
        <v>1194</v>
      </c>
      <c r="F1042" t="str">
        <f>"MOWING/PCT#1"</f>
        <v>MOWING/PCT#1</v>
      </c>
      <c r="G1042" s="3">
        <v>5850</v>
      </c>
      <c r="H1042" t="str">
        <f>"MOWING/PCT#1"</f>
        <v>MOWING/PCT#1</v>
      </c>
    </row>
    <row r="1043" spans="1:8" x14ac:dyDescent="0.25">
      <c r="E1043" t="str">
        <f>"1195"</f>
        <v>1195</v>
      </c>
      <c r="F1043" t="str">
        <f>"MOWING/PCT#2"</f>
        <v>MOWING/PCT#2</v>
      </c>
      <c r="G1043" s="3">
        <v>13000</v>
      </c>
      <c r="H1043" t="str">
        <f>"MOWING/PCT#2"</f>
        <v>MOWING/PCT#2</v>
      </c>
    </row>
    <row r="1044" spans="1:8" x14ac:dyDescent="0.25">
      <c r="A1044" t="s">
        <v>331</v>
      </c>
      <c r="B1044">
        <v>4887</v>
      </c>
      <c r="C1044" s="3">
        <v>2413.87</v>
      </c>
      <c r="D1044" s="6">
        <v>44418</v>
      </c>
      <c r="E1044" t="str">
        <f>"96143184"</f>
        <v>96143184</v>
      </c>
      <c r="F1044" t="str">
        <f>"ACCT#10187718/PCT#2"</f>
        <v>ACCT#10187718/PCT#2</v>
      </c>
      <c r="G1044" s="3">
        <v>2413.87</v>
      </c>
      <c r="H1044" t="str">
        <f>"ACCT#10187718/PCT#2"</f>
        <v>ACCT#10187718/PCT#2</v>
      </c>
    </row>
    <row r="1045" spans="1:8" x14ac:dyDescent="0.25">
      <c r="A1045" t="s">
        <v>331</v>
      </c>
      <c r="B1045">
        <v>4962</v>
      </c>
      <c r="C1045" s="3">
        <v>3714.12</v>
      </c>
      <c r="D1045" s="6">
        <v>44432</v>
      </c>
      <c r="E1045" t="str">
        <f>"96156179"</f>
        <v>96156179</v>
      </c>
      <c r="F1045" t="str">
        <f>"ACCT#10187718/PCT#2"</f>
        <v>ACCT#10187718/PCT#2</v>
      </c>
      <c r="G1045" s="3">
        <v>3714.12</v>
      </c>
      <c r="H1045" t="str">
        <f>"ACCT#10187718/PCT#2"</f>
        <v>ACCT#10187718/PCT#2</v>
      </c>
    </row>
    <row r="1046" spans="1:8" x14ac:dyDescent="0.25">
      <c r="A1046" t="s">
        <v>332</v>
      </c>
      <c r="B1046">
        <v>136644</v>
      </c>
      <c r="C1046" s="3">
        <v>245</v>
      </c>
      <c r="D1046" s="6">
        <v>44417</v>
      </c>
      <c r="E1046" t="str">
        <f>"C2300"</f>
        <v>C2300</v>
      </c>
      <c r="F1046" t="str">
        <f>"INV C2300"</f>
        <v>INV C2300</v>
      </c>
      <c r="G1046" s="3">
        <v>245</v>
      </c>
      <c r="H1046" t="str">
        <f>"INV C2300"</f>
        <v>INV C2300</v>
      </c>
    </row>
    <row r="1047" spans="1:8" x14ac:dyDescent="0.25">
      <c r="A1047" t="s">
        <v>333</v>
      </c>
      <c r="B1047">
        <v>136793</v>
      </c>
      <c r="C1047" s="3">
        <v>90</v>
      </c>
      <c r="D1047" s="6">
        <v>44431</v>
      </c>
      <c r="E1047" t="str">
        <f>"9459325680"</f>
        <v>9459325680</v>
      </c>
      <c r="F1047" t="str">
        <f>"INV 9459325680"</f>
        <v>INV 9459325680</v>
      </c>
      <c r="G1047" s="3">
        <v>90</v>
      </c>
      <c r="H1047" t="str">
        <f>"INV 9459325680"</f>
        <v>INV 9459325680</v>
      </c>
    </row>
    <row r="1048" spans="1:8" x14ac:dyDescent="0.25">
      <c r="A1048" t="s">
        <v>334</v>
      </c>
      <c r="B1048">
        <v>4876</v>
      </c>
      <c r="C1048" s="3">
        <v>83.39</v>
      </c>
      <c r="D1048" s="6">
        <v>44418</v>
      </c>
      <c r="E1048" t="str">
        <f>"21080201"</f>
        <v>21080201</v>
      </c>
      <c r="F1048" t="str">
        <f>"SERVICE 7/01/2021 8/2/2021"</f>
        <v>SERVICE 7/01/2021 8/2/2021</v>
      </c>
      <c r="G1048" s="3">
        <v>83.39</v>
      </c>
      <c r="H1048" t="str">
        <f>"SERVICE 7/01/2021 8/2/2021"</f>
        <v>SERVICE 7/01/2021 8/2/2021</v>
      </c>
    </row>
    <row r="1049" spans="1:8" x14ac:dyDescent="0.25">
      <c r="A1049" t="s">
        <v>335</v>
      </c>
      <c r="B1049">
        <v>136645</v>
      </c>
      <c r="C1049" s="3">
        <v>2100</v>
      </c>
      <c r="D1049" s="6">
        <v>44417</v>
      </c>
      <c r="E1049" t="str">
        <f>"187023"</f>
        <v>187023</v>
      </c>
      <c r="F1049" t="str">
        <f>"2021 CRIMINAL/CIVIL/D.LEWIS"</f>
        <v>2021 CRIMINAL/CIVIL/D.LEWIS</v>
      </c>
      <c r="G1049" s="3">
        <v>350</v>
      </c>
      <c r="H1049" t="str">
        <f>"2021 CRIMINAL/CIVIL/D.LEWIS"</f>
        <v>2021 CRIMINAL/CIVIL/D.LEWIS</v>
      </c>
    </row>
    <row r="1050" spans="1:8" x14ac:dyDescent="0.25">
      <c r="E1050" t="str">
        <f>"191327"</f>
        <v>191327</v>
      </c>
      <c r="F1050" t="str">
        <f>"CONFERENCE/JESSICA GHAZAL"</f>
        <v>CONFERENCE/JESSICA GHAZAL</v>
      </c>
      <c r="G1050" s="3">
        <v>350</v>
      </c>
      <c r="H1050" t="str">
        <f>"CONFERENCE/JESSICA GHAZAL"</f>
        <v>CONFERENCE/JESSICA GHAZAL</v>
      </c>
    </row>
    <row r="1051" spans="1:8" x14ac:dyDescent="0.25">
      <c r="E1051" t="str">
        <f>"191329"</f>
        <v>191329</v>
      </c>
      <c r="F1051" t="str">
        <f>"CONFERENCE/KELLI B."</f>
        <v>CONFERENCE/KELLI B.</v>
      </c>
      <c r="G1051" s="3">
        <v>350</v>
      </c>
      <c r="H1051" t="str">
        <f>"CONFERENCE/VALERIE BULLOCK"</f>
        <v>CONFERENCE/VALERIE BULLOCK</v>
      </c>
    </row>
    <row r="1052" spans="1:8" x14ac:dyDescent="0.25">
      <c r="E1052" t="str">
        <f>"191333"</f>
        <v>191333</v>
      </c>
      <c r="F1052" t="str">
        <f>"CONFERENCE/VALERIE BULLOCK"</f>
        <v>CONFERENCE/VALERIE BULLOCK</v>
      </c>
      <c r="G1052" s="3">
        <v>350</v>
      </c>
      <c r="H1052" t="str">
        <f>"CONFERENCE/LINDSEY SIMMONS"</f>
        <v>CONFERENCE/LINDSEY SIMMONS</v>
      </c>
    </row>
    <row r="1053" spans="1:8" x14ac:dyDescent="0.25">
      <c r="E1053" t="str">
        <f>"191337"</f>
        <v>191337</v>
      </c>
      <c r="F1053" t="str">
        <f>"CONFERENCE/MARK DAUBE"</f>
        <v>CONFERENCE/MARK DAUBE</v>
      </c>
      <c r="G1053" s="3">
        <v>350</v>
      </c>
      <c r="H1053" t="str">
        <f>"CONFERENCE/MARK DAUBE"</f>
        <v>CONFERENCE/MARK DAUBE</v>
      </c>
    </row>
    <row r="1054" spans="1:8" x14ac:dyDescent="0.25">
      <c r="E1054" t="str">
        <f>"191339"</f>
        <v>191339</v>
      </c>
      <c r="F1054" t="str">
        <f>"CONFERENCE/JAYCEE DAWSON"</f>
        <v>CONFERENCE/JAYCEE DAWSON</v>
      </c>
      <c r="G1054" s="3">
        <v>350</v>
      </c>
      <c r="H1054" t="str">
        <f>"CONFERENCE/JAYCEE DAWSON"</f>
        <v>CONFERENCE/JAYCEE DAWSON</v>
      </c>
    </row>
    <row r="1055" spans="1:8" x14ac:dyDescent="0.25">
      <c r="A1055" t="s">
        <v>335</v>
      </c>
      <c r="B1055">
        <v>136668</v>
      </c>
      <c r="C1055" s="3">
        <v>1000</v>
      </c>
      <c r="D1055" s="6">
        <v>44424</v>
      </c>
      <c r="E1055" t="str">
        <f>"187649"</f>
        <v>187649</v>
      </c>
      <c r="F1055" t="str">
        <f>"REGISTRATION FEE - M COOK"</f>
        <v>REGISTRATION FEE - M COOK</v>
      </c>
      <c r="G1055" s="3">
        <v>500</v>
      </c>
      <c r="H1055" t="str">
        <f>"REGISTRATION FEE - M COOK"</f>
        <v>REGISTRATION FEE - M COOK</v>
      </c>
    </row>
    <row r="1056" spans="1:8" x14ac:dyDescent="0.25">
      <c r="E1056" t="str">
        <f>"187655"</f>
        <v>187655</v>
      </c>
      <c r="F1056" t="str">
        <f>"REGISTRATION FEE - M COOK"</f>
        <v>REGISTRATION FEE - M COOK</v>
      </c>
      <c r="G1056" s="3">
        <v>150</v>
      </c>
      <c r="H1056" t="str">
        <f>"REGISTRATION FEE - M COOK"</f>
        <v>REGISTRATION FEE - M COOK</v>
      </c>
    </row>
    <row r="1057" spans="1:8" x14ac:dyDescent="0.25">
      <c r="E1057" t="str">
        <f>"189367-Reissue"</f>
        <v>189367-Reissue</v>
      </c>
      <c r="F1057" t="str">
        <f>"REGISTRATION FEE - C RABEL"</f>
        <v>REGISTRATION FEE - C RABEL</v>
      </c>
      <c r="G1057" s="3">
        <v>350</v>
      </c>
      <c r="H1057" t="str">
        <f>"REGISTRATION FEE - C RABEL"</f>
        <v>REGISTRATION FEE - C RABEL</v>
      </c>
    </row>
    <row r="1058" spans="1:8" x14ac:dyDescent="0.25">
      <c r="A1058" t="s">
        <v>335</v>
      </c>
      <c r="B1058">
        <v>136794</v>
      </c>
      <c r="C1058" s="3">
        <v>350</v>
      </c>
      <c r="D1058" s="6">
        <v>44431</v>
      </c>
      <c r="E1058" t="str">
        <f>"191447"</f>
        <v>191447</v>
      </c>
      <c r="F1058" t="str">
        <f>"CONFERENCE/BRYAN GOERTZ"</f>
        <v>CONFERENCE/BRYAN GOERTZ</v>
      </c>
      <c r="G1058" s="3">
        <v>350</v>
      </c>
      <c r="H1058" t="str">
        <f>"CONFERENCE/BRYAN GOERTZ"</f>
        <v>CONFERENCE/BRYAN GOERTZ</v>
      </c>
    </row>
    <row r="1059" spans="1:8" x14ac:dyDescent="0.25">
      <c r="A1059" t="s">
        <v>336</v>
      </c>
      <c r="B1059">
        <v>136795</v>
      </c>
      <c r="C1059" s="3">
        <v>275</v>
      </c>
      <c r="D1059" s="6">
        <v>44431</v>
      </c>
      <c r="E1059" t="str">
        <f>"RJ274269"</f>
        <v>RJ274269</v>
      </c>
      <c r="F1059" t="str">
        <f>"INV RJ7274269"</f>
        <v>INV RJ7274269</v>
      </c>
      <c r="G1059" s="3">
        <v>275</v>
      </c>
      <c r="H1059" t="str">
        <f>"INV RJ7274269"</f>
        <v>INV RJ7274269</v>
      </c>
    </row>
    <row r="1060" spans="1:8" x14ac:dyDescent="0.25">
      <c r="A1060" t="s">
        <v>337</v>
      </c>
      <c r="B1060">
        <v>4991</v>
      </c>
      <c r="C1060" s="3">
        <v>221</v>
      </c>
      <c r="D1060" s="6">
        <v>44432</v>
      </c>
      <c r="E1060" t="str">
        <f>"2109066"</f>
        <v>2109066</v>
      </c>
      <c r="F1060" t="str">
        <f>"MONTHLY BILLING/AUGUST"</f>
        <v>MONTHLY BILLING/AUGUST</v>
      </c>
      <c r="G1060" s="3">
        <v>221</v>
      </c>
      <c r="H1060" t="str">
        <f>"MONTHLY BILLING/AUGUST"</f>
        <v>MONTHLY BILLING/AUGUST</v>
      </c>
    </row>
    <row r="1061" spans="1:8" x14ac:dyDescent="0.25">
      <c r="A1061" t="s">
        <v>338</v>
      </c>
      <c r="B1061">
        <v>4914</v>
      </c>
      <c r="C1061" s="3">
        <v>161.28</v>
      </c>
      <c r="D1061" s="6">
        <v>44418</v>
      </c>
      <c r="E1061" t="str">
        <f>"202108034949"</f>
        <v>202108034949</v>
      </c>
      <c r="F1061" t="str">
        <f>"ACCT#63275/TEX PROPANE/PCT#3"</f>
        <v>ACCT#63275/TEX PROPANE/PCT#3</v>
      </c>
      <c r="G1061" s="3">
        <v>161.28</v>
      </c>
      <c r="H1061" t="str">
        <f>"ACCT#63275/TEX PROPANE/PCT#3"</f>
        <v>ACCT#63275/TEX PROPANE/PCT#3</v>
      </c>
    </row>
    <row r="1062" spans="1:8" x14ac:dyDescent="0.25">
      <c r="A1062" t="s">
        <v>339</v>
      </c>
      <c r="B1062">
        <v>136646</v>
      </c>
      <c r="C1062" s="3">
        <v>9213.7000000000007</v>
      </c>
      <c r="D1062" s="6">
        <v>44417</v>
      </c>
      <c r="E1062" t="str">
        <f>"1104737-IN"</f>
        <v>1104737-IN</v>
      </c>
      <c r="F1062" t="str">
        <f>"ACCT#01-0112917/PCT#3"</f>
        <v>ACCT#01-0112917/PCT#3</v>
      </c>
      <c r="G1062" s="3">
        <v>419.87</v>
      </c>
      <c r="H1062" t="str">
        <f>"ACCT#01-0112917/PCT#3"</f>
        <v>ACCT#01-0112917/PCT#3</v>
      </c>
    </row>
    <row r="1063" spans="1:8" x14ac:dyDescent="0.25">
      <c r="E1063" t="str">
        <f>"1111824-IN"</f>
        <v>1111824-IN</v>
      </c>
      <c r="F1063" t="str">
        <f>"ACCT#01-0112917/PCT#3"</f>
        <v>ACCT#01-0112917/PCT#3</v>
      </c>
      <c r="G1063" s="3">
        <v>4109.91</v>
      </c>
      <c r="H1063" t="str">
        <f>"ACCT#01-0112917/PCT#3"</f>
        <v>ACCT#01-0112917/PCT#3</v>
      </c>
    </row>
    <row r="1064" spans="1:8" x14ac:dyDescent="0.25">
      <c r="E1064" t="str">
        <f>"1112801-IN"</f>
        <v>1112801-IN</v>
      </c>
      <c r="F1064" t="str">
        <f>"ACCT#01-0112917/PCT#4"</f>
        <v>ACCT#01-0112917/PCT#4</v>
      </c>
      <c r="G1064" s="3">
        <v>4683.92</v>
      </c>
      <c r="H1064" t="str">
        <f>"ACCT#01-0112917/PCT#4"</f>
        <v>ACCT#01-0112917/PCT#4</v>
      </c>
    </row>
    <row r="1065" spans="1:8" x14ac:dyDescent="0.25">
      <c r="A1065" t="s">
        <v>339</v>
      </c>
      <c r="B1065">
        <v>136796</v>
      </c>
      <c r="C1065" s="3">
        <v>10479.07</v>
      </c>
      <c r="D1065" s="6">
        <v>44431</v>
      </c>
      <c r="E1065" t="str">
        <f>"110732"</f>
        <v>110732</v>
      </c>
      <c r="F1065" t="str">
        <f>"INV 1104732-IN"</f>
        <v>INV 1104732-IN</v>
      </c>
      <c r="G1065" s="3">
        <v>572.54999999999995</v>
      </c>
      <c r="H1065" t="str">
        <f>"INV 1104732-IN"</f>
        <v>INV 1104732-IN</v>
      </c>
    </row>
    <row r="1066" spans="1:8" x14ac:dyDescent="0.25">
      <c r="E1066" t="str">
        <f>"1115500"</f>
        <v>1115500</v>
      </c>
      <c r="F1066" t="str">
        <f>"ACCT#01-0112917/PCT#1"</f>
        <v>ACCT#01-0112917/PCT#1</v>
      </c>
      <c r="G1066" s="3">
        <v>5707.79</v>
      </c>
      <c r="H1066" t="str">
        <f>"ACCT#01-0112917/PCT#1"</f>
        <v>ACCT#01-0112917/PCT#1</v>
      </c>
    </row>
    <row r="1067" spans="1:8" x14ac:dyDescent="0.25">
      <c r="E1067" t="str">
        <f>"1116292"</f>
        <v>1116292</v>
      </c>
      <c r="F1067" t="str">
        <f>"ACCT#01-0112917/PCT#3"</f>
        <v>ACCT#01-0112917/PCT#3</v>
      </c>
      <c r="G1067" s="3">
        <v>4198.7299999999996</v>
      </c>
      <c r="H1067" t="str">
        <f>"ACCT#01-0112917/PCT#3"</f>
        <v>ACCT#01-0112917/PCT#3</v>
      </c>
    </row>
    <row r="1068" spans="1:8" x14ac:dyDescent="0.25">
      <c r="A1068" t="s">
        <v>340</v>
      </c>
      <c r="B1068">
        <v>136797</v>
      </c>
      <c r="C1068" s="3">
        <v>629.5</v>
      </c>
      <c r="D1068" s="6">
        <v>44431</v>
      </c>
      <c r="E1068" t="str">
        <f>"202108175276"</f>
        <v>202108175276</v>
      </c>
      <c r="F1068" t="str">
        <f>"SEPT. BOND RENEWALS"</f>
        <v>SEPT. BOND RENEWALS</v>
      </c>
      <c r="G1068" s="3">
        <v>450</v>
      </c>
      <c r="H1068" t="str">
        <f>"SEPT. BOND RENEWALS"</f>
        <v>SEPT. BOND RENEWALS</v>
      </c>
    </row>
    <row r="1069" spans="1:8" x14ac:dyDescent="0.25">
      <c r="E1069" t="str">
        <f>"7196"</f>
        <v>7196</v>
      </c>
      <c r="F1069" t="str">
        <f>"INV 7196"</f>
        <v>INV 7196</v>
      </c>
      <c r="G1069" s="3">
        <v>50</v>
      </c>
      <c r="H1069" t="str">
        <f>"INV 7196"</f>
        <v>INV 7196</v>
      </c>
    </row>
    <row r="1070" spans="1:8" x14ac:dyDescent="0.25">
      <c r="E1070" t="str">
        <f>"7226"</f>
        <v>7226</v>
      </c>
      <c r="F1070" t="str">
        <f>"64784388/KRISTIN MILES"</f>
        <v>64784388/KRISTIN MILES</v>
      </c>
      <c r="G1070" s="3">
        <v>129.5</v>
      </c>
      <c r="H1070" t="str">
        <f>"64784388/KRISTIN MILES"</f>
        <v>64784388/KRISTIN MILES</v>
      </c>
    </row>
    <row r="1071" spans="1:8" x14ac:dyDescent="0.25">
      <c r="A1071" t="s">
        <v>341</v>
      </c>
      <c r="B1071">
        <v>136647</v>
      </c>
      <c r="C1071" s="3">
        <v>4200</v>
      </c>
      <c r="D1071" s="6">
        <v>44417</v>
      </c>
      <c r="E1071" t="str">
        <f>"154880"</f>
        <v>154880</v>
      </c>
      <c r="F1071" t="str">
        <f>"REF#W-2960/PCT#1"</f>
        <v>REF#W-2960/PCT#1</v>
      </c>
      <c r="G1071" s="3">
        <v>4200</v>
      </c>
      <c r="H1071" t="str">
        <f>"REF#W-2960/PCT#1"</f>
        <v>REF#W-2960/PCT#1</v>
      </c>
    </row>
    <row r="1072" spans="1:8" x14ac:dyDescent="0.25">
      <c r="A1072" t="s">
        <v>342</v>
      </c>
      <c r="B1072">
        <v>136648</v>
      </c>
      <c r="C1072" s="3">
        <v>684.11</v>
      </c>
      <c r="D1072" s="6">
        <v>44417</v>
      </c>
      <c r="E1072" t="str">
        <f>"263278"</f>
        <v>263278</v>
      </c>
      <c r="F1072" t="str">
        <f>"CUST#1574/PCT#4"</f>
        <v>CUST#1574/PCT#4</v>
      </c>
      <c r="G1072" s="3">
        <v>684.11</v>
      </c>
      <c r="H1072" t="str">
        <f>"CUST#1574/PCT#4"</f>
        <v>CUST#1574/PCT#4</v>
      </c>
    </row>
    <row r="1073" spans="1:8" x14ac:dyDescent="0.25">
      <c r="A1073" t="s">
        <v>343</v>
      </c>
      <c r="B1073">
        <v>136649</v>
      </c>
      <c r="C1073" s="3">
        <v>155</v>
      </c>
      <c r="D1073" s="6">
        <v>44417</v>
      </c>
      <c r="E1073" t="str">
        <f>"6093696"</f>
        <v>6093696</v>
      </c>
      <c r="F1073" t="str">
        <f>"ACCT#1-238865-7/TAHITIAN"</f>
        <v>ACCT#1-238865-7/TAHITIAN</v>
      </c>
      <c r="G1073" s="3">
        <v>155</v>
      </c>
      <c r="H1073" t="str">
        <f>"ACCT#1-238865-7/TAHITIAN"</f>
        <v>ACCT#1-238865-7/TAHITIAN</v>
      </c>
    </row>
    <row r="1074" spans="1:8" x14ac:dyDescent="0.25">
      <c r="A1074" t="s">
        <v>344</v>
      </c>
      <c r="B1074">
        <v>136650</v>
      </c>
      <c r="C1074" s="3">
        <v>50</v>
      </c>
      <c r="D1074" s="6">
        <v>44417</v>
      </c>
      <c r="E1074" t="str">
        <f>"58026"</f>
        <v>58026</v>
      </c>
      <c r="F1074" t="str">
        <f>"TRAINING/KATHERINE HANNA"</f>
        <v>TRAINING/KATHERINE HANNA</v>
      </c>
      <c r="G1074" s="3">
        <v>50</v>
      </c>
      <c r="H1074" t="str">
        <f>"TRAINING/KATHERINE HANNA"</f>
        <v>TRAINING/KATHERINE HANNA</v>
      </c>
    </row>
    <row r="1075" spans="1:8" x14ac:dyDescent="0.25">
      <c r="A1075" t="s">
        <v>346</v>
      </c>
      <c r="B1075">
        <v>136798</v>
      </c>
      <c r="C1075" s="3">
        <v>5686.51</v>
      </c>
      <c r="D1075" s="6">
        <v>44431</v>
      </c>
      <c r="E1075" t="str">
        <f>"200969519"</f>
        <v>200969519</v>
      </c>
      <c r="F1075" t="str">
        <f>"CUST#241267/PCT#1"</f>
        <v>CUST#241267/PCT#1</v>
      </c>
      <c r="G1075" s="3">
        <v>1431.36</v>
      </c>
      <c r="H1075" t="str">
        <f>"CUST#241267/PCT#1"</f>
        <v>CUST#241267/PCT#1</v>
      </c>
    </row>
    <row r="1076" spans="1:8" x14ac:dyDescent="0.25">
      <c r="E1076" t="str">
        <f>"200977908"</f>
        <v>200977908</v>
      </c>
      <c r="F1076" t="str">
        <f>"CUST#241267/PCT#1"</f>
        <v>CUST#241267/PCT#1</v>
      </c>
      <c r="G1076" s="3">
        <v>983.35</v>
      </c>
      <c r="H1076" t="str">
        <f>"CUST#241267/PCT#1"</f>
        <v>CUST#241267/PCT#1</v>
      </c>
    </row>
    <row r="1077" spans="1:8" x14ac:dyDescent="0.25">
      <c r="E1077" t="str">
        <f>"200979233"</f>
        <v>200979233</v>
      </c>
      <c r="F1077" t="str">
        <f>"CUST#255120/PCT#2"</f>
        <v>CUST#255120/PCT#2</v>
      </c>
      <c r="G1077" s="3">
        <v>3271.8</v>
      </c>
      <c r="H1077" t="str">
        <f>"CUST#255120/PCT#2"</f>
        <v>CUST#255120/PCT#2</v>
      </c>
    </row>
    <row r="1078" spans="1:8" x14ac:dyDescent="0.25">
      <c r="A1078" t="s">
        <v>347</v>
      </c>
      <c r="B1078">
        <v>136651</v>
      </c>
      <c r="C1078" s="3">
        <v>228.5</v>
      </c>
      <c r="D1078" s="6">
        <v>44417</v>
      </c>
      <c r="E1078" t="str">
        <f>"J2-16712"</f>
        <v>J2-16712</v>
      </c>
      <c r="F1078" t="str">
        <f>"A-16712/JACKSON WADE"</f>
        <v>A-16712/JACKSON WADE</v>
      </c>
      <c r="G1078" s="3">
        <v>113.75</v>
      </c>
      <c r="H1078" t="str">
        <f>"A-16712/JACKSON WADE"</f>
        <v>A-16712/JACKSON WADE</v>
      </c>
    </row>
    <row r="1079" spans="1:8" x14ac:dyDescent="0.25">
      <c r="E1079" t="str">
        <f>"J2-48556"</f>
        <v>J2-48556</v>
      </c>
      <c r="F1079" t="str">
        <f>"A13116/CECIL BRIAN GARCIA"</f>
        <v>A13116/CECIL BRIAN GARCIA</v>
      </c>
      <c r="G1079" s="3">
        <v>114.75</v>
      </c>
      <c r="H1079" t="str">
        <f>"A13116/CECIL BRIAN GARCIA"</f>
        <v>A13116/CECIL BRIAN GARCIA</v>
      </c>
    </row>
    <row r="1080" spans="1:8" x14ac:dyDescent="0.25">
      <c r="A1080" t="s">
        <v>347</v>
      </c>
      <c r="B1080">
        <v>136799</v>
      </c>
      <c r="C1080" s="3">
        <v>548.5</v>
      </c>
      <c r="D1080" s="6">
        <v>44431</v>
      </c>
      <c r="E1080" t="str">
        <f>"J2-54156"</f>
        <v>J2-54156</v>
      </c>
      <c r="F1080" t="str">
        <f>"A8258501/MARK DRONKA"</f>
        <v>A8258501/MARK DRONKA</v>
      </c>
      <c r="G1080" s="3">
        <v>114.75</v>
      </c>
      <c r="H1080" t="str">
        <f>"A8258501/MARK DRONKA"</f>
        <v>A8258501/MARK DRONKA</v>
      </c>
    </row>
    <row r="1081" spans="1:8" x14ac:dyDescent="0.25">
      <c r="E1081" t="str">
        <f>"J2-70317"</f>
        <v>J2-70317</v>
      </c>
      <c r="F1081" t="str">
        <f>"A-12853/ORLANDO DIAS"</f>
        <v>A-12853/ORLANDO DIAS</v>
      </c>
      <c r="G1081" s="3">
        <v>81</v>
      </c>
      <c r="H1081" t="str">
        <f>"A-12853/ORLANDO DIAS"</f>
        <v>A-12853/ORLANDO DIAS</v>
      </c>
    </row>
    <row r="1082" spans="1:8" x14ac:dyDescent="0.25">
      <c r="E1082" t="str">
        <f>"J2-70443"</f>
        <v>J2-70443</v>
      </c>
      <c r="F1082" t="str">
        <f>"A8382151/ASHLEY OATMAN"</f>
        <v>A8382151/ASHLEY OATMAN</v>
      </c>
      <c r="G1082" s="3">
        <v>80.75</v>
      </c>
      <c r="H1082" t="str">
        <f>"A8382151/ASHLEY OATMAN"</f>
        <v>A8382151/ASHLEY OATMAN</v>
      </c>
    </row>
    <row r="1083" spans="1:8" x14ac:dyDescent="0.25">
      <c r="E1083" t="str">
        <f>"J2-70458"</f>
        <v>J2-70458</v>
      </c>
      <c r="F1083" t="str">
        <f>"A8353786/EMILEE FULLICK"</f>
        <v>A8353786/EMILEE FULLICK</v>
      </c>
      <c r="G1083" s="3">
        <v>114.75</v>
      </c>
      <c r="H1083" t="str">
        <f>"A8353786/EMILEE FULLICK"</f>
        <v>A8353786/EMILEE FULLICK</v>
      </c>
    </row>
    <row r="1084" spans="1:8" x14ac:dyDescent="0.25">
      <c r="E1084" t="str">
        <f>"J2-70462"</f>
        <v>J2-70462</v>
      </c>
      <c r="F1084" t="str">
        <f>"A8382154/DAVID WEINTHAL"</f>
        <v>A8382154/DAVID WEINTHAL</v>
      </c>
      <c r="G1084" s="3">
        <v>157.25</v>
      </c>
      <c r="H1084" t="str">
        <f>"A8382154/DAVID WEINTHAL"</f>
        <v>A8382154/DAVID WEINTHAL</v>
      </c>
    </row>
    <row r="1085" spans="1:8" x14ac:dyDescent="0.25">
      <c r="A1085" t="s">
        <v>348</v>
      </c>
      <c r="B1085">
        <v>136800</v>
      </c>
      <c r="C1085" s="3">
        <v>1600</v>
      </c>
      <c r="D1085" s="6">
        <v>44431</v>
      </c>
      <c r="E1085" t="str">
        <f>"202108175277"</f>
        <v>202108175277</v>
      </c>
      <c r="F1085" t="str">
        <f>"DEFENCSIVE TACTICS"</f>
        <v>DEFENCSIVE TACTICS</v>
      </c>
      <c r="G1085" s="3">
        <v>1600</v>
      </c>
      <c r="H1085" t="str">
        <f>"DEFENCSIVE TACTICS"</f>
        <v>DEFENCSIVE TACTICS</v>
      </c>
    </row>
    <row r="1086" spans="1:8" x14ac:dyDescent="0.25">
      <c r="A1086" t="s">
        <v>349</v>
      </c>
      <c r="B1086">
        <v>136801</v>
      </c>
      <c r="C1086" s="3">
        <v>500</v>
      </c>
      <c r="D1086" s="6">
        <v>44431</v>
      </c>
      <c r="E1086" t="str">
        <f>"200019149"</f>
        <v>200019149</v>
      </c>
      <c r="F1086" t="str">
        <f>"2021 SUMMIT SPONSORSHIP"</f>
        <v>2021 SUMMIT SPONSORSHIP</v>
      </c>
      <c r="G1086" s="3">
        <v>500</v>
      </c>
      <c r="H1086" t="str">
        <f>"2021 SUMMIT SPONSORSHIP"</f>
        <v>2021 SUMMIT SPONSORSHIP</v>
      </c>
    </row>
    <row r="1087" spans="1:8" x14ac:dyDescent="0.25">
      <c r="A1087" t="s">
        <v>350</v>
      </c>
      <c r="B1087">
        <v>4880</v>
      </c>
      <c r="C1087" s="3">
        <v>2080</v>
      </c>
      <c r="D1087" s="6">
        <v>44418</v>
      </c>
      <c r="E1087" t="str">
        <f>"236196"</f>
        <v>236196</v>
      </c>
      <c r="F1087" t="str">
        <f>"ACCT#188757/SIGN SHOP"</f>
        <v>ACCT#188757/SIGN SHOP</v>
      </c>
      <c r="G1087" s="3">
        <v>95</v>
      </c>
      <c r="H1087" t="str">
        <f>"ACCT#188757/SIGN SHOP"</f>
        <v>ACCT#188757/SIGN SHOP</v>
      </c>
    </row>
    <row r="1088" spans="1:8" x14ac:dyDescent="0.25">
      <c r="E1088" t="str">
        <f>"236495"</f>
        <v>236495</v>
      </c>
      <c r="F1088" t="str">
        <f>"ACCT#188757/JUVENILE BOOT CAMP"</f>
        <v>ACCT#188757/JUVENILE BOOT CAMP</v>
      </c>
      <c r="G1088" s="3">
        <v>118.5</v>
      </c>
      <c r="H1088" t="str">
        <f>"ACCT#188757/JUVENILE BOOT CAMP"</f>
        <v>ACCT#188757/JUVENILE BOOT CAMP</v>
      </c>
    </row>
    <row r="1089" spans="1:8" x14ac:dyDescent="0.25">
      <c r="E1089" t="str">
        <f>"236628"</f>
        <v>236628</v>
      </c>
      <c r="F1089" t="str">
        <f>"ACCT#188757/JP2 ANNEX"</f>
        <v>ACCT#188757/JP2 ANNEX</v>
      </c>
      <c r="G1089" s="3">
        <v>95</v>
      </c>
      <c r="H1089" t="str">
        <f>"ACCT#188757/JP2 ANNEX"</f>
        <v>ACCT#188757/JP2 ANNEX</v>
      </c>
    </row>
    <row r="1090" spans="1:8" x14ac:dyDescent="0.25">
      <c r="E1090" t="str">
        <f>"236640"</f>
        <v>236640</v>
      </c>
      <c r="F1090" t="str">
        <f>"ACCT#188757/PRECINCT #2"</f>
        <v>ACCT#188757/PRECINCT #2</v>
      </c>
      <c r="G1090" s="3">
        <v>95</v>
      </c>
      <c r="H1090" t="str">
        <f>"ACCT#188757/PRECINCT #2"</f>
        <v>ACCT#188757/PRECINCT #2</v>
      </c>
    </row>
    <row r="1091" spans="1:8" x14ac:dyDescent="0.25">
      <c r="E1091" t="str">
        <f>"236836"</f>
        <v>236836</v>
      </c>
      <c r="F1091" t="str">
        <f>"ACCT#188757/MIKE FISHER"</f>
        <v>ACCT#188757/MIKE FISHER</v>
      </c>
      <c r="G1091" s="3">
        <v>112</v>
      </c>
      <c r="H1091" t="str">
        <f>"ACCT#188757/MIKE FISHER"</f>
        <v>ACCT#188757/MIKE FISHER</v>
      </c>
    </row>
    <row r="1092" spans="1:8" x14ac:dyDescent="0.25">
      <c r="E1092" t="str">
        <f>"236843"</f>
        <v>236843</v>
      </c>
      <c r="F1092" t="str">
        <f>"ACCT#188757/JP3"</f>
        <v>ACCT#188757/JP3</v>
      </c>
      <c r="G1092" s="3">
        <v>95</v>
      </c>
      <c r="H1092" t="str">
        <f>"ACCT#188757/JP3"</f>
        <v>ACCT#188757/JP3</v>
      </c>
    </row>
    <row r="1093" spans="1:8" x14ac:dyDescent="0.25">
      <c r="E1093" t="str">
        <f>"237024"</f>
        <v>237024</v>
      </c>
      <c r="F1093" t="str">
        <f>"ACCT#188757/EXTENSION HABITAT"</f>
        <v>ACCT#188757/EXTENSION HABITAT</v>
      </c>
      <c r="G1093" s="3">
        <v>89</v>
      </c>
      <c r="H1093" t="str">
        <f>"ACCT#188757/EXTENSION HABITAT"</f>
        <v>ACCT#188757/EXTENSION HABITAT</v>
      </c>
    </row>
    <row r="1094" spans="1:8" x14ac:dyDescent="0.25">
      <c r="E1094" t="str">
        <f>"237025"</f>
        <v>237025</v>
      </c>
      <c r="F1094" t="str">
        <f>"ACCT#188757/EXTENSION HABITAT"</f>
        <v>ACCT#188757/EXTENSION HABITAT</v>
      </c>
      <c r="G1094" s="3">
        <v>325</v>
      </c>
      <c r="H1094" t="str">
        <f>"ACCT#188757/EXTENSION HABITAT"</f>
        <v>ACCT#188757/EXTENSION HABITAT</v>
      </c>
    </row>
    <row r="1095" spans="1:8" x14ac:dyDescent="0.25">
      <c r="E1095" t="str">
        <f>"237041"</f>
        <v>237041</v>
      </c>
      <c r="F1095" t="str">
        <f>"ACCT#188757/HISTORIC JAIL"</f>
        <v>ACCT#188757/HISTORIC JAIL</v>
      </c>
      <c r="G1095" s="3">
        <v>76</v>
      </c>
      <c r="H1095" t="str">
        <f>"ACCT#188757/HISTORIC JAIL"</f>
        <v>ACCT#188757/HISTORIC JAIL</v>
      </c>
    </row>
    <row r="1096" spans="1:8" x14ac:dyDescent="0.25">
      <c r="E1096" t="str">
        <f>"237167"</f>
        <v>237167</v>
      </c>
      <c r="F1096" t="str">
        <f>"ACCT#188757/JUVENILE PROBATION"</f>
        <v>ACCT#188757/JUVENILE PROBATION</v>
      </c>
      <c r="G1096" s="3">
        <v>132</v>
      </c>
      <c r="H1096" t="str">
        <f>"ACCT#188757/JUVENILE PROBATION"</f>
        <v>ACCT#188757/JUVENILE PROBATION</v>
      </c>
    </row>
    <row r="1097" spans="1:8" x14ac:dyDescent="0.25">
      <c r="E1097" t="str">
        <f>"237498"</f>
        <v>237498</v>
      </c>
      <c r="F1097" t="str">
        <f>"ACCT#188757/TAX OFFICE"</f>
        <v>ACCT#188757/TAX OFFICE</v>
      </c>
      <c r="G1097" s="3">
        <v>102</v>
      </c>
      <c r="H1097" t="str">
        <f>"ACCT#188757/TAX OFFICE"</f>
        <v>ACCT#188757/TAX OFFICE</v>
      </c>
    </row>
    <row r="1098" spans="1:8" x14ac:dyDescent="0.25">
      <c r="E1098" t="str">
        <f>"237530"</f>
        <v>237530</v>
      </c>
      <c r="F1098" t="str">
        <f>"ACCT#188757/LBJ BUILDING"</f>
        <v>ACCT#188757/LBJ BUILDING</v>
      </c>
      <c r="G1098" s="3">
        <v>69</v>
      </c>
      <c r="H1098" t="str">
        <f>"ACCT#188757/LBJ BUILDING"</f>
        <v>ACCT#188757/LBJ BUILDING</v>
      </c>
    </row>
    <row r="1099" spans="1:8" x14ac:dyDescent="0.25">
      <c r="E1099" t="str">
        <f>"237540"</f>
        <v>237540</v>
      </c>
      <c r="F1099" t="str">
        <f>"ACCT#188757/PRECINCT #4"</f>
        <v>ACCT#188757/PRECINCT #4</v>
      </c>
      <c r="G1099" s="3">
        <v>95.5</v>
      </c>
      <c r="H1099" t="str">
        <f>"ACCT#188757/PRECINCT #4"</f>
        <v>ACCT#188757/PRECINCT #4</v>
      </c>
    </row>
    <row r="1100" spans="1:8" x14ac:dyDescent="0.25">
      <c r="E1100" t="str">
        <f>"239665"</f>
        <v>239665</v>
      </c>
      <c r="F1100" t="str">
        <f>"ACCT#188757/COURTHOUSE"</f>
        <v>ACCT#188757/COURTHOUSE</v>
      </c>
      <c r="G1100" s="3">
        <v>486</v>
      </c>
      <c r="H1100" t="str">
        <f>"ACCT#188757/COURTHOUSE"</f>
        <v>ACCT#188757/COURTHOUSE</v>
      </c>
    </row>
    <row r="1101" spans="1:8" x14ac:dyDescent="0.25">
      <c r="E1101" t="str">
        <f>"240040"</f>
        <v>240040</v>
      </c>
      <c r="F1101" t="str">
        <f>"ACCT#188757/JP4/TAX OFFICE"</f>
        <v>ACCT#188757/JP4/TAX OFFICE</v>
      </c>
      <c r="G1101" s="3">
        <v>95</v>
      </c>
      <c r="H1101" t="str">
        <f>"ACCT#188757/JP4/TAX OFFICE"</f>
        <v>ACCT#188757/JP4/TAX OFFICE</v>
      </c>
    </row>
    <row r="1102" spans="1:8" x14ac:dyDescent="0.25">
      <c r="A1102" t="s">
        <v>350</v>
      </c>
      <c r="B1102">
        <v>4955</v>
      </c>
      <c r="C1102" s="3">
        <v>201</v>
      </c>
      <c r="D1102" s="6">
        <v>44432</v>
      </c>
      <c r="E1102" t="str">
        <f>"240413"</f>
        <v>240413</v>
      </c>
      <c r="F1102" t="str">
        <f>"ACCT#188757/CEDAR CREEK PARK"</f>
        <v>ACCT#188757/CEDAR CREEK PARK</v>
      </c>
      <c r="G1102" s="3">
        <v>125</v>
      </c>
      <c r="H1102" t="str">
        <f>"ACCT#188757/CEDAR CREEK PARK"</f>
        <v>ACCT#188757/CEDAR CREEK PARK</v>
      </c>
    </row>
    <row r="1103" spans="1:8" x14ac:dyDescent="0.25">
      <c r="E1103" t="str">
        <f>"240915"</f>
        <v>240915</v>
      </c>
      <c r="F1103" t="str">
        <f>"ACCT#188757/DPS/TLD"</f>
        <v>ACCT#188757/DPS/TLD</v>
      </c>
      <c r="G1103" s="3">
        <v>76</v>
      </c>
      <c r="H1103" t="str">
        <f>"ACCT#188757/DPS/TLD"</f>
        <v>ACCT#188757/DPS/TLD</v>
      </c>
    </row>
    <row r="1104" spans="1:8" x14ac:dyDescent="0.25">
      <c r="A1104" t="s">
        <v>351</v>
      </c>
      <c r="B1104">
        <v>4941</v>
      </c>
      <c r="C1104" s="3">
        <v>1450</v>
      </c>
      <c r="D1104" s="6">
        <v>44432</v>
      </c>
      <c r="E1104" t="str">
        <f>"202108115126"</f>
        <v>202108115126</v>
      </c>
      <c r="F1104" t="str">
        <f>"02-1224-6"</f>
        <v>02-1224-6</v>
      </c>
      <c r="G1104" s="3">
        <v>250</v>
      </c>
      <c r="H1104" t="str">
        <f>"02-1224-6"</f>
        <v>02-1224-6</v>
      </c>
    </row>
    <row r="1105" spans="1:8" x14ac:dyDescent="0.25">
      <c r="E1105" t="str">
        <f>"202108115136"</f>
        <v>202108115136</v>
      </c>
      <c r="F1105" t="str">
        <f>"02-0826-1"</f>
        <v>02-0826-1</v>
      </c>
      <c r="G1105" s="3">
        <v>400</v>
      </c>
      <c r="H1105" t="str">
        <f>"02-0826-1"</f>
        <v>02-0826-1</v>
      </c>
    </row>
    <row r="1106" spans="1:8" x14ac:dyDescent="0.25">
      <c r="E1106" t="str">
        <f>"202108115137"</f>
        <v>202108115137</v>
      </c>
      <c r="F1106" t="str">
        <f>"DCPC 21-047"</f>
        <v>DCPC 21-047</v>
      </c>
      <c r="G1106" s="3">
        <v>250</v>
      </c>
      <c r="H1106" t="str">
        <f>"DCPC 21-047"</f>
        <v>DCPC 21-047</v>
      </c>
    </row>
    <row r="1107" spans="1:8" x14ac:dyDescent="0.25">
      <c r="E1107" t="str">
        <f>"202108115138"</f>
        <v>202108115138</v>
      </c>
      <c r="F1107" t="str">
        <f>"20-20030"</f>
        <v>20-20030</v>
      </c>
      <c r="G1107" s="3">
        <v>300</v>
      </c>
      <c r="H1107" t="str">
        <f>"20-20030"</f>
        <v>20-20030</v>
      </c>
    </row>
    <row r="1108" spans="1:8" x14ac:dyDescent="0.25">
      <c r="E1108" t="str">
        <f>"202108115139"</f>
        <v>202108115139</v>
      </c>
      <c r="F1108" t="str">
        <f>"57-774"</f>
        <v>57-774</v>
      </c>
      <c r="G1108" s="3">
        <v>250</v>
      </c>
      <c r="H1108" t="str">
        <f>"57-774"</f>
        <v>57-774</v>
      </c>
    </row>
    <row r="1109" spans="1:8" x14ac:dyDescent="0.25">
      <c r="A1109" t="s">
        <v>352</v>
      </c>
      <c r="B1109">
        <v>136802</v>
      </c>
      <c r="C1109" s="3">
        <v>4664.59</v>
      </c>
      <c r="D1109" s="6">
        <v>44431</v>
      </c>
      <c r="E1109" t="str">
        <f>"842304598"</f>
        <v>842304598</v>
      </c>
      <c r="F1109" t="str">
        <f>"ACCT#1000310962"</f>
        <v>ACCT#1000310962</v>
      </c>
      <c r="G1109" s="3">
        <v>952</v>
      </c>
      <c r="H1109" t="str">
        <f>"ACCT#1000310962"</f>
        <v>ACCT#1000310962</v>
      </c>
    </row>
    <row r="1110" spans="1:8" x14ac:dyDescent="0.25">
      <c r="E1110" t="str">
        <f>"842906862"</f>
        <v>842906862</v>
      </c>
      <c r="F1110" t="str">
        <f>"ACCT#1000310962"</f>
        <v>ACCT#1000310962</v>
      </c>
      <c r="G1110" s="3">
        <v>952</v>
      </c>
      <c r="H1110" t="str">
        <f>"ACCT#1000310962"</f>
        <v>ACCT#1000310962</v>
      </c>
    </row>
    <row r="1111" spans="1:8" x14ac:dyDescent="0.25">
      <c r="E1111" t="str">
        <f>"843072581"</f>
        <v>843072581</v>
      </c>
      <c r="F1111" t="str">
        <f>"ACCT#1000310962"</f>
        <v>ACCT#1000310962</v>
      </c>
      <c r="G1111" s="3">
        <v>952</v>
      </c>
      <c r="H1111" t="str">
        <f>"ACCT#1000310962"</f>
        <v>ACCT#1000310962</v>
      </c>
    </row>
    <row r="1112" spans="1:8" x14ac:dyDescent="0.25">
      <c r="E1112" t="str">
        <f>"843248669"</f>
        <v>843248669</v>
      </c>
      <c r="F1112" t="str">
        <f>"ACCT#1000310962"</f>
        <v>ACCT#1000310962</v>
      </c>
      <c r="G1112" s="3">
        <v>952</v>
      </c>
      <c r="H1112" t="str">
        <f>"ACCT#1000310962"</f>
        <v>ACCT#1000310962</v>
      </c>
    </row>
    <row r="1113" spans="1:8" x14ac:dyDescent="0.25">
      <c r="E1113" t="str">
        <f>"843758905"</f>
        <v>843758905</v>
      </c>
      <c r="F1113" t="str">
        <f>"ACCT#1000310962"</f>
        <v>ACCT#1000310962</v>
      </c>
      <c r="G1113" s="3">
        <v>856.59</v>
      </c>
      <c r="H1113" t="str">
        <f>"ACCT#1000310962"</f>
        <v>ACCT#1000310962</v>
      </c>
    </row>
    <row r="1114" spans="1:8" x14ac:dyDescent="0.25">
      <c r="A1114" t="s">
        <v>353</v>
      </c>
      <c r="B1114">
        <v>4963</v>
      </c>
      <c r="C1114" s="3">
        <v>10000</v>
      </c>
      <c r="D1114" s="6">
        <v>44432</v>
      </c>
      <c r="E1114" t="str">
        <f>"202108115130"</f>
        <v>202108115130</v>
      </c>
      <c r="F1114" t="str">
        <f>"423-7440"</f>
        <v>423-7440</v>
      </c>
      <c r="G1114" s="3">
        <v>10000</v>
      </c>
      <c r="H1114" t="str">
        <f>"423-7440"</f>
        <v>423-7440</v>
      </c>
    </row>
    <row r="1115" spans="1:8" x14ac:dyDescent="0.25">
      <c r="A1115" t="s">
        <v>354</v>
      </c>
      <c r="B1115">
        <v>136652</v>
      </c>
      <c r="C1115" s="3">
        <v>764.61</v>
      </c>
      <c r="D1115" s="6">
        <v>44417</v>
      </c>
      <c r="E1115" t="str">
        <f>"0155923071221"</f>
        <v>0155923071221</v>
      </c>
      <c r="F1115" t="str">
        <f>"ACCT#8260160170155923"</f>
        <v>ACCT#8260160170155923</v>
      </c>
      <c r="G1115" s="3">
        <v>120.14</v>
      </c>
      <c r="H1115" t="str">
        <f>"ACCT#8260160170155923"</f>
        <v>ACCT#8260160170155923</v>
      </c>
    </row>
    <row r="1116" spans="1:8" x14ac:dyDescent="0.25">
      <c r="E1116" t="str">
        <f>"0167100071621"</f>
        <v>0167100071621</v>
      </c>
      <c r="F1116" t="str">
        <f>"ACCT#8260160170167100"</f>
        <v>ACCT#8260160170167100</v>
      </c>
      <c r="G1116" s="3">
        <v>644.47</v>
      </c>
      <c r="H1116" t="str">
        <f>"ACCT#8260160170167100"</f>
        <v>ACCT#8260160170167100</v>
      </c>
    </row>
    <row r="1117" spans="1:8" x14ac:dyDescent="0.25">
      <c r="A1117" t="s">
        <v>354</v>
      </c>
      <c r="B1117">
        <v>136803</v>
      </c>
      <c r="C1117" s="3">
        <v>3735.06</v>
      </c>
      <c r="D1117" s="6">
        <v>44431</v>
      </c>
      <c r="E1117" t="str">
        <f>"202108115199"</f>
        <v>202108115199</v>
      </c>
      <c r="F1117" t="str">
        <f>"ACCT#8260163000003669"</f>
        <v>ACCT#8260163000003669</v>
      </c>
      <c r="G1117" s="3">
        <v>2912.45</v>
      </c>
      <c r="H1117" t="str">
        <f>"ACCT#8260163000003669"</f>
        <v>ACCT#8260163000003669</v>
      </c>
    </row>
    <row r="1118" spans="1:8" x14ac:dyDescent="0.25">
      <c r="E1118" t="str">
        <f>""</f>
        <v/>
      </c>
      <c r="F1118" t="str">
        <f>""</f>
        <v/>
      </c>
      <c r="G1118" s="3">
        <v>153.72</v>
      </c>
      <c r="H1118" t="str">
        <f>"ACCT#8260163000003669"</f>
        <v>ACCT#8260163000003669</v>
      </c>
    </row>
    <row r="1119" spans="1:8" x14ac:dyDescent="0.25">
      <c r="E1119" t="str">
        <f>"202108175240"</f>
        <v>202108175240</v>
      </c>
      <c r="F1119" t="str">
        <f>"ACCT#8260161110164314"</f>
        <v>ACCT#8260161110164314</v>
      </c>
      <c r="G1119" s="3">
        <v>668.89</v>
      </c>
      <c r="H1119" t="str">
        <f>"ACCT#8260161110164314"</f>
        <v>ACCT#8260161110164314</v>
      </c>
    </row>
    <row r="1120" spans="1:8" x14ac:dyDescent="0.25">
      <c r="A1120" t="s">
        <v>355</v>
      </c>
      <c r="B1120">
        <v>136653</v>
      </c>
      <c r="C1120" s="3">
        <v>367.2</v>
      </c>
      <c r="D1120" s="6">
        <v>44417</v>
      </c>
      <c r="E1120" t="str">
        <f>"033243"</f>
        <v>033243</v>
      </c>
      <c r="F1120" t="str">
        <f>"CUST#0001725/GENERAL SVCS"</f>
        <v>CUST#0001725/GENERAL SVCS</v>
      </c>
      <c r="G1120" s="3">
        <v>367.2</v>
      </c>
      <c r="H1120" t="str">
        <f>"CUST#0001725/GENERAL SVCS"</f>
        <v>CUST#0001725/GENERAL SVCS</v>
      </c>
    </row>
    <row r="1121" spans="1:8" x14ac:dyDescent="0.25">
      <c r="A1121" t="s">
        <v>356</v>
      </c>
      <c r="B1121">
        <v>136804</v>
      </c>
      <c r="C1121" s="3">
        <v>620.79999999999995</v>
      </c>
      <c r="D1121" s="6">
        <v>44431</v>
      </c>
      <c r="E1121" t="str">
        <f>"21-28172"</f>
        <v>21-28172</v>
      </c>
      <c r="F1121" t="str">
        <f>"Tractor Supply"</f>
        <v>Tractor Supply</v>
      </c>
      <c r="G1121" s="3">
        <v>146.41</v>
      </c>
      <c r="H1121" t="str">
        <f>"inv #300707562"</f>
        <v>inv #300707562</v>
      </c>
    </row>
    <row r="1122" spans="1:8" x14ac:dyDescent="0.25">
      <c r="E1122" t="str">
        <f>""</f>
        <v/>
      </c>
      <c r="F1122" t="str">
        <f>""</f>
        <v/>
      </c>
      <c r="G1122" s="3">
        <v>474.39</v>
      </c>
      <c r="H1122" t="str">
        <f>"100718421"</f>
        <v>100718421</v>
      </c>
    </row>
    <row r="1123" spans="1:8" x14ac:dyDescent="0.25">
      <c r="A1123" t="s">
        <v>357</v>
      </c>
      <c r="B1123">
        <v>136654</v>
      </c>
      <c r="C1123" s="3">
        <v>463</v>
      </c>
      <c r="D1123" s="6">
        <v>44417</v>
      </c>
      <c r="E1123" t="str">
        <f>"21-001602"</f>
        <v>21-001602</v>
      </c>
      <c r="F1123" t="str">
        <f>"CAUSE# C-1-MH-21-001602"</f>
        <v>CAUSE# C-1-MH-21-001602</v>
      </c>
      <c r="G1123" s="3">
        <v>463</v>
      </c>
      <c r="H1123" t="str">
        <f>"CAUSE# C-1-MH-21-001602"</f>
        <v>CAUSE# C-1-MH-21-001602</v>
      </c>
    </row>
    <row r="1124" spans="1:8" x14ac:dyDescent="0.25">
      <c r="A1124" t="s">
        <v>358</v>
      </c>
      <c r="B1124">
        <v>136655</v>
      </c>
      <c r="C1124" s="3">
        <v>130</v>
      </c>
      <c r="D1124" s="6">
        <v>44417</v>
      </c>
      <c r="E1124" t="str">
        <f>"13325 6-2-21"</f>
        <v>13325 6-2-21</v>
      </c>
      <c r="F1124" t="str">
        <f t="shared" ref="F1124:F1130" si="13">"SERVICE"</f>
        <v>SERVICE</v>
      </c>
      <c r="G1124" s="3">
        <v>50</v>
      </c>
      <c r="H1124" t="str">
        <f t="shared" ref="H1124:H1130" si="14">"SERVICE"</f>
        <v>SERVICE</v>
      </c>
    </row>
    <row r="1125" spans="1:8" x14ac:dyDescent="0.25">
      <c r="E1125" t="str">
        <f>"13706"</f>
        <v>13706</v>
      </c>
      <c r="F1125" t="str">
        <f t="shared" si="13"/>
        <v>SERVICE</v>
      </c>
      <c r="G1125" s="3">
        <v>80</v>
      </c>
      <c r="H1125" t="str">
        <f t="shared" si="14"/>
        <v>SERVICE</v>
      </c>
    </row>
    <row r="1126" spans="1:8" x14ac:dyDescent="0.25">
      <c r="A1126" t="s">
        <v>358</v>
      </c>
      <c r="B1126">
        <v>136805</v>
      </c>
      <c r="C1126" s="3">
        <v>263</v>
      </c>
      <c r="D1126" s="6">
        <v>44431</v>
      </c>
      <c r="E1126" t="str">
        <f>"11328 6-24-21"</f>
        <v>11328 6-24-21</v>
      </c>
      <c r="F1126" t="str">
        <f t="shared" si="13"/>
        <v>SERVICE</v>
      </c>
      <c r="G1126" s="3">
        <v>50</v>
      </c>
      <c r="H1126" t="str">
        <f t="shared" si="14"/>
        <v>SERVICE</v>
      </c>
    </row>
    <row r="1127" spans="1:8" x14ac:dyDescent="0.25">
      <c r="E1127" t="str">
        <f>"11328 7-19-21"</f>
        <v>11328 7-19-21</v>
      </c>
      <c r="F1127" t="str">
        <f t="shared" si="13"/>
        <v>SERVICE</v>
      </c>
      <c r="G1127" s="3">
        <v>50</v>
      </c>
      <c r="H1127" t="str">
        <f t="shared" si="14"/>
        <v>SERVICE</v>
      </c>
    </row>
    <row r="1128" spans="1:8" x14ac:dyDescent="0.25">
      <c r="E1128" t="str">
        <f>"13094"</f>
        <v>13094</v>
      </c>
      <c r="F1128" t="str">
        <f t="shared" si="13"/>
        <v>SERVICE</v>
      </c>
      <c r="G1128" s="3">
        <v>75</v>
      </c>
      <c r="H1128" t="str">
        <f t="shared" si="14"/>
        <v>SERVICE</v>
      </c>
    </row>
    <row r="1129" spans="1:8" x14ac:dyDescent="0.25">
      <c r="E1129" t="str">
        <f>"13306"</f>
        <v>13306</v>
      </c>
      <c r="F1129" t="str">
        <f t="shared" si="13"/>
        <v>SERVICE</v>
      </c>
      <c r="G1129" s="3">
        <v>80</v>
      </c>
      <c r="H1129" t="str">
        <f t="shared" si="14"/>
        <v>SERVICE</v>
      </c>
    </row>
    <row r="1130" spans="1:8" x14ac:dyDescent="0.25">
      <c r="E1130" t="str">
        <f>"13325 6-29-21"</f>
        <v>13325 6-29-21</v>
      </c>
      <c r="F1130" t="str">
        <f t="shared" si="13"/>
        <v>SERVICE</v>
      </c>
      <c r="G1130" s="3">
        <v>8</v>
      </c>
      <c r="H1130" t="str">
        <f t="shared" si="14"/>
        <v>SERVICE</v>
      </c>
    </row>
    <row r="1131" spans="1:8" x14ac:dyDescent="0.25">
      <c r="A1131" t="s">
        <v>359</v>
      </c>
      <c r="B1131">
        <v>136833</v>
      </c>
      <c r="C1131" s="3">
        <v>98.98</v>
      </c>
      <c r="D1131" s="6">
        <v>44434</v>
      </c>
      <c r="E1131" t="str">
        <f>"4813*98082*1"</f>
        <v>4813*98082*1</v>
      </c>
      <c r="F1131" t="str">
        <f>"JAIL PHYSICIAN SERVICES"</f>
        <v>JAIL PHYSICIAN SERVICES</v>
      </c>
      <c r="G1131" s="3">
        <v>98.98</v>
      </c>
      <c r="H1131" t="str">
        <f>"JAIL PHYSICIAN SERVICES"</f>
        <v>JAIL PHYSICIAN SERVICES</v>
      </c>
    </row>
    <row r="1132" spans="1:8" x14ac:dyDescent="0.25">
      <c r="A1132" t="s">
        <v>360</v>
      </c>
      <c r="B1132">
        <v>136656</v>
      </c>
      <c r="C1132" s="3">
        <v>6670</v>
      </c>
      <c r="D1132" s="6">
        <v>44417</v>
      </c>
      <c r="E1132" t="str">
        <f>"3300004955"</f>
        <v>3300004955</v>
      </c>
      <c r="F1132" t="str">
        <f>"CUST#100010/JP3"</f>
        <v>CUST#100010/JP3</v>
      </c>
      <c r="G1132" s="3">
        <v>6670</v>
      </c>
      <c r="H1132" t="str">
        <f>"CUST#100010/JP3"</f>
        <v>CUST#100010/JP3</v>
      </c>
    </row>
    <row r="1133" spans="1:8" x14ac:dyDescent="0.25">
      <c r="A1133" t="s">
        <v>360</v>
      </c>
      <c r="B1133">
        <v>136806</v>
      </c>
      <c r="C1133" s="3">
        <v>10005</v>
      </c>
      <c r="D1133" s="6">
        <v>44431</v>
      </c>
      <c r="E1133" t="str">
        <f>"3300004899"</f>
        <v>3300004899</v>
      </c>
      <c r="F1133" t="str">
        <f>"CUST#100009/JP2"</f>
        <v>CUST#100009/JP2</v>
      </c>
      <c r="G1133" s="3">
        <v>6670</v>
      </c>
      <c r="H1133" t="str">
        <f>"CUST#100009/JP2"</f>
        <v>CUST#100009/JP2</v>
      </c>
    </row>
    <row r="1134" spans="1:8" x14ac:dyDescent="0.25">
      <c r="E1134" t="str">
        <f>"3300004979"</f>
        <v>3300004979</v>
      </c>
      <c r="F1134" t="str">
        <f>"CUST#100733/JP1"</f>
        <v>CUST#100733/JP1</v>
      </c>
      <c r="G1134" s="3">
        <v>3335</v>
      </c>
      <c r="H1134" t="str">
        <f>"CUST#100733/JP1"</f>
        <v>CUST#100733/JP1</v>
      </c>
    </row>
    <row r="1135" spans="1:8" x14ac:dyDescent="0.25">
      <c r="A1135" t="s">
        <v>361</v>
      </c>
      <c r="B1135">
        <v>136834</v>
      </c>
      <c r="C1135" s="3">
        <v>276.26</v>
      </c>
      <c r="D1135" s="6">
        <v>44434</v>
      </c>
      <c r="E1135" t="str">
        <f>"4813*131*1"</f>
        <v>4813*131*1</v>
      </c>
      <c r="F1135" t="str">
        <f>"JAIL PHYSICIAN SERVICES"</f>
        <v>JAIL PHYSICIAN SERVICES</v>
      </c>
      <c r="G1135" s="3">
        <v>276.26</v>
      </c>
      <c r="H1135" t="str">
        <f>"SETON FAMILY OF DOCTORS"</f>
        <v>SETON FAMILY OF DOCTORS</v>
      </c>
    </row>
    <row r="1136" spans="1:8" x14ac:dyDescent="0.25">
      <c r="A1136" t="s">
        <v>362</v>
      </c>
      <c r="B1136">
        <v>4862</v>
      </c>
      <c r="C1136" s="3">
        <v>903.42</v>
      </c>
      <c r="D1136" s="6">
        <v>44418</v>
      </c>
      <c r="E1136" t="str">
        <f>"501675"</f>
        <v>501675</v>
      </c>
      <c r="F1136" t="str">
        <f>"INV 501675/506557"</f>
        <v>INV 501675/506557</v>
      </c>
      <c r="G1136" s="3">
        <v>20.97</v>
      </c>
      <c r="H1136" t="str">
        <f>"INV 501675"</f>
        <v>INV 501675</v>
      </c>
    </row>
    <row r="1137" spans="1:8" x14ac:dyDescent="0.25">
      <c r="E1137" t="str">
        <f>""</f>
        <v/>
      </c>
      <c r="F1137" t="str">
        <f>""</f>
        <v/>
      </c>
      <c r="G1137" s="3">
        <v>882.45</v>
      </c>
      <c r="H1137" t="str">
        <f>"INV 506557"</f>
        <v>INV 506557</v>
      </c>
    </row>
    <row r="1138" spans="1:8" x14ac:dyDescent="0.25">
      <c r="A1138" t="s">
        <v>363</v>
      </c>
      <c r="B1138">
        <v>4926</v>
      </c>
      <c r="C1138" s="3">
        <v>475</v>
      </c>
      <c r="D1138" s="6">
        <v>44418</v>
      </c>
      <c r="E1138" t="str">
        <f>"202107274758"</f>
        <v>202107274758</v>
      </c>
      <c r="F1138" t="str">
        <f>"AC-2021-0018"</f>
        <v>AC-2021-0018</v>
      </c>
      <c r="G1138" s="3">
        <v>250</v>
      </c>
      <c r="H1138" t="str">
        <f>"AC-2021-0018"</f>
        <v>AC-2021-0018</v>
      </c>
    </row>
    <row r="1139" spans="1:8" x14ac:dyDescent="0.25">
      <c r="E1139" t="str">
        <f>"202107304827"</f>
        <v>202107304827</v>
      </c>
      <c r="F1139" t="str">
        <f>"423-7980"</f>
        <v>423-7980</v>
      </c>
      <c r="G1139" s="3">
        <v>125</v>
      </c>
      <c r="H1139" t="str">
        <f>"423-7980"</f>
        <v>423-7980</v>
      </c>
    </row>
    <row r="1140" spans="1:8" x14ac:dyDescent="0.25">
      <c r="E1140" t="str">
        <f>"202108024863"</f>
        <v>202108024863</v>
      </c>
      <c r="F1140" t="str">
        <f>"JP104232021E JP104232021F"</f>
        <v>JP104232021E JP104232021F</v>
      </c>
      <c r="G1140" s="3">
        <v>100</v>
      </c>
      <c r="H1140" t="str">
        <f>"JP104232021E JP104232021F"</f>
        <v>JP104232021E JP104232021F</v>
      </c>
    </row>
    <row r="1141" spans="1:8" x14ac:dyDescent="0.25">
      <c r="A1141" t="s">
        <v>363</v>
      </c>
      <c r="B1141">
        <v>4993</v>
      </c>
      <c r="C1141" s="3">
        <v>2225</v>
      </c>
      <c r="D1141" s="6">
        <v>44432</v>
      </c>
      <c r="E1141" t="str">
        <f>"202108115134"</f>
        <v>202108115134</v>
      </c>
      <c r="F1141" t="str">
        <f>"17008"</f>
        <v>17008</v>
      </c>
      <c r="G1141" s="3">
        <v>2100</v>
      </c>
      <c r="H1141" t="str">
        <f>"17008"</f>
        <v>17008</v>
      </c>
    </row>
    <row r="1142" spans="1:8" x14ac:dyDescent="0.25">
      <c r="E1142" t="str">
        <f>"202108115135"</f>
        <v>202108115135</v>
      </c>
      <c r="F1142" t="str">
        <f>"423-8002"</f>
        <v>423-8002</v>
      </c>
      <c r="G1142" s="3">
        <v>125</v>
      </c>
      <c r="H1142" t="str">
        <f>"423-8002"</f>
        <v>423-8002</v>
      </c>
    </row>
    <row r="1143" spans="1:8" x14ac:dyDescent="0.25">
      <c r="A1143" t="s">
        <v>364</v>
      </c>
      <c r="B1143">
        <v>4866</v>
      </c>
      <c r="C1143" s="3">
        <v>336</v>
      </c>
      <c r="D1143" s="6">
        <v>44418</v>
      </c>
      <c r="E1143" t="str">
        <f>"C212010198"</f>
        <v>C212010198</v>
      </c>
      <c r="F1143" t="str">
        <f>"ACCT#33036/ANIMAL SHELTER"</f>
        <v>ACCT#33036/ANIMAL SHELTER</v>
      </c>
      <c r="G1143" s="3">
        <v>152</v>
      </c>
      <c r="H1143" t="str">
        <f>"ACCT#33036/ANIMAL SHELTER"</f>
        <v>ACCT#33036/ANIMAL SHELTER</v>
      </c>
    </row>
    <row r="1144" spans="1:8" x14ac:dyDescent="0.25">
      <c r="E1144" t="str">
        <f>"C212070265"</f>
        <v>C212070265</v>
      </c>
      <c r="F1144" t="str">
        <f>"ACCT#33036/ANIMAL SHELTER"</f>
        <v>ACCT#33036/ANIMAL SHELTER</v>
      </c>
      <c r="G1144" s="3">
        <v>37</v>
      </c>
      <c r="H1144" t="str">
        <f>"ACCT#33036/ANIMAL SHELTER"</f>
        <v>ACCT#33036/ANIMAL SHELTER</v>
      </c>
    </row>
    <row r="1145" spans="1:8" x14ac:dyDescent="0.25">
      <c r="E1145" t="str">
        <f>"C212090517"</f>
        <v>C212090517</v>
      </c>
      <c r="F1145" t="str">
        <f>"ACCT#33036/ANIMAL SHELTER"</f>
        <v>ACCT#33036/ANIMAL SHELTER</v>
      </c>
      <c r="G1145" s="3">
        <v>147</v>
      </c>
      <c r="H1145" t="str">
        <f>"ACCT#33036/ANIMAL SHELTER"</f>
        <v>ACCT#33036/ANIMAL SHELTER</v>
      </c>
    </row>
    <row r="1146" spans="1:8" x14ac:dyDescent="0.25">
      <c r="A1146" t="s">
        <v>365</v>
      </c>
      <c r="B1146">
        <v>136807</v>
      </c>
      <c r="C1146" s="3">
        <v>3951.25</v>
      </c>
      <c r="D1146" s="6">
        <v>44431</v>
      </c>
      <c r="E1146" t="str">
        <f>"020-130214"</f>
        <v>020-130214</v>
      </c>
      <c r="F1146" t="str">
        <f>"CUST#42161/ORDER#101256"</f>
        <v>CUST#42161/ORDER#101256</v>
      </c>
      <c r="G1146" s="3">
        <v>3951.25</v>
      </c>
      <c r="H1146" t="str">
        <f>"CUST#42161/ORDER#101256"</f>
        <v>CUST#42161/ORDER#101256</v>
      </c>
    </row>
    <row r="1147" spans="1:8" x14ac:dyDescent="0.25">
      <c r="A1147" t="s">
        <v>366</v>
      </c>
      <c r="B1147">
        <v>4865</v>
      </c>
      <c r="C1147" s="3">
        <v>273.75</v>
      </c>
      <c r="D1147" s="6">
        <v>44418</v>
      </c>
      <c r="E1147" t="str">
        <f>"136302682"</f>
        <v>136302682</v>
      </c>
      <c r="F1147" t="str">
        <f>"CUST#10402592/ANIMAL SHELTER"</f>
        <v>CUST#10402592/ANIMAL SHELTER</v>
      </c>
      <c r="G1147" s="3">
        <v>273.75</v>
      </c>
      <c r="H1147" t="str">
        <f>"CUST#10402592/ANIMAL SHELTER"</f>
        <v>CUST#10402592/ANIMAL SHELTER</v>
      </c>
    </row>
    <row r="1148" spans="1:8" x14ac:dyDescent="0.25">
      <c r="A1148" t="s">
        <v>367</v>
      </c>
      <c r="B1148">
        <v>4937</v>
      </c>
      <c r="C1148" s="3">
        <v>492.12</v>
      </c>
      <c r="D1148" s="6">
        <v>44432</v>
      </c>
      <c r="E1148" t="str">
        <f>"202108115184"</f>
        <v>202108115184</v>
      </c>
      <c r="F1148" t="str">
        <f>"ACCT#38049/PCT#4"</f>
        <v>ACCT#38049/PCT#4</v>
      </c>
      <c r="G1148" s="3">
        <v>492.12</v>
      </c>
      <c r="H1148" t="str">
        <f>"ACCT#38049/PCT#4"</f>
        <v>ACCT#38049/PCT#4</v>
      </c>
    </row>
    <row r="1149" spans="1:8" x14ac:dyDescent="0.25">
      <c r="A1149" t="s">
        <v>368</v>
      </c>
      <c r="B1149">
        <v>4987</v>
      </c>
      <c r="C1149" s="3">
        <v>1008.4</v>
      </c>
      <c r="D1149" s="6">
        <v>44432</v>
      </c>
      <c r="E1149" t="str">
        <f>"80345082"</f>
        <v>80345082</v>
      </c>
      <c r="F1149" t="str">
        <f>"INV 80345082-00"</f>
        <v>INV 80345082-00</v>
      </c>
      <c r="G1149" s="3">
        <v>1008.4</v>
      </c>
      <c r="H1149" t="str">
        <f>"INV 80345082-00"</f>
        <v>INV 80345082-00</v>
      </c>
    </row>
    <row r="1150" spans="1:8" x14ac:dyDescent="0.25">
      <c r="A1150" t="s">
        <v>369</v>
      </c>
      <c r="B1150">
        <v>136808</v>
      </c>
      <c r="C1150" s="3">
        <v>1990</v>
      </c>
      <c r="D1150" s="6">
        <v>44431</v>
      </c>
      <c r="E1150" t="str">
        <f>"202108115190"</f>
        <v>202108115190</v>
      </c>
      <c r="F1150" t="str">
        <f>"UNIVERSITY OF HOUSTON-CLEAR LA"</f>
        <v>UNIVERSITY OF HOUSTON-CLEAR LA</v>
      </c>
      <c r="G1150" s="3">
        <v>995</v>
      </c>
      <c r="H1150" t="str">
        <f>"Fundamental Of Purch"</f>
        <v>Fundamental Of Purch</v>
      </c>
    </row>
    <row r="1151" spans="1:8" x14ac:dyDescent="0.25">
      <c r="E1151" t="str">
        <f>""</f>
        <v/>
      </c>
      <c r="F1151" t="str">
        <f>""</f>
        <v/>
      </c>
      <c r="G1151" s="3">
        <v>995</v>
      </c>
      <c r="H1151" t="str">
        <f>"Statement of Work"</f>
        <v>Statement of Work</v>
      </c>
    </row>
    <row r="1152" spans="1:8" x14ac:dyDescent="0.25">
      <c r="A1152" t="s">
        <v>370</v>
      </c>
      <c r="B1152">
        <v>136657</v>
      </c>
      <c r="C1152" s="3">
        <v>1122.95</v>
      </c>
      <c r="D1152" s="6">
        <v>44417</v>
      </c>
      <c r="E1152" t="str">
        <f>"P34303"</f>
        <v>P34303</v>
      </c>
      <c r="F1152" t="str">
        <f>"ACCT#BASTR014/PCT#1"</f>
        <v>ACCT#BASTR014/PCT#1</v>
      </c>
      <c r="G1152" s="3">
        <v>1122.95</v>
      </c>
      <c r="H1152" t="str">
        <f>"ACCT#BASTR014/PCT#1"</f>
        <v>ACCT#BASTR014/PCT#1</v>
      </c>
    </row>
    <row r="1153" spans="1:8" x14ac:dyDescent="0.25">
      <c r="A1153" t="s">
        <v>371</v>
      </c>
      <c r="B1153">
        <v>136809</v>
      </c>
      <c r="C1153" s="3">
        <v>312.93</v>
      </c>
      <c r="D1153" s="6">
        <v>44431</v>
      </c>
      <c r="E1153" t="str">
        <f>"2014057"</f>
        <v>2014057</v>
      </c>
      <c r="F1153" t="str">
        <f>"ACCT#17460002268-003"</f>
        <v>ACCT#17460002268-003</v>
      </c>
      <c r="G1153" s="3">
        <v>312.93</v>
      </c>
      <c r="H1153" t="str">
        <f>"ACCT#17460002268-003"</f>
        <v>ACCT#17460002268-003</v>
      </c>
    </row>
    <row r="1154" spans="1:8" x14ac:dyDescent="0.25">
      <c r="A1154" t="s">
        <v>372</v>
      </c>
      <c r="B1154">
        <v>136658</v>
      </c>
      <c r="C1154" s="3">
        <v>751.3</v>
      </c>
      <c r="D1154" s="6">
        <v>44417</v>
      </c>
      <c r="E1154" t="str">
        <f>"120408"</f>
        <v>120408</v>
      </c>
      <c r="F1154" t="str">
        <f>"ACCT#20065/ANIMAL CONTROL"</f>
        <v>ACCT#20065/ANIMAL CONTROL</v>
      </c>
      <c r="G1154" s="3">
        <v>751.3</v>
      </c>
      <c r="H1154" t="str">
        <f>"ACCT#20065/ANIMAL CONTROL"</f>
        <v>ACCT#20065/ANIMAL CONTROL</v>
      </c>
    </row>
    <row r="1155" spans="1:8" x14ac:dyDescent="0.25">
      <c r="A1155" t="s">
        <v>373</v>
      </c>
      <c r="B1155">
        <v>4888</v>
      </c>
      <c r="C1155" s="3">
        <v>61096.13</v>
      </c>
      <c r="D1155" s="6">
        <v>44418</v>
      </c>
      <c r="E1155" t="str">
        <f>"8693959212130"</f>
        <v>8693959212130</v>
      </c>
      <c r="F1155" t="str">
        <f>"Voyager"</f>
        <v>Voyager</v>
      </c>
      <c r="G1155" s="3">
        <v>212.57</v>
      </c>
      <c r="H1155" t="str">
        <f>"fuel"</f>
        <v>fuel</v>
      </c>
    </row>
    <row r="1156" spans="1:8" x14ac:dyDescent="0.25">
      <c r="E1156" t="str">
        <f>""</f>
        <v/>
      </c>
      <c r="F1156" t="str">
        <f>""</f>
        <v/>
      </c>
      <c r="G1156" s="3">
        <v>-14.68</v>
      </c>
      <c r="H1156" t="str">
        <f>"tax"</f>
        <v>tax</v>
      </c>
    </row>
    <row r="1157" spans="1:8" x14ac:dyDescent="0.25">
      <c r="E1157" t="str">
        <f>""</f>
        <v/>
      </c>
      <c r="F1157" t="str">
        <f>""</f>
        <v/>
      </c>
      <c r="G1157" s="3">
        <v>2874.94</v>
      </c>
      <c r="H1157" t="str">
        <f>"fuel"</f>
        <v>fuel</v>
      </c>
    </row>
    <row r="1158" spans="1:8" x14ac:dyDescent="0.25">
      <c r="E1158" t="str">
        <f>""</f>
        <v/>
      </c>
      <c r="F1158" t="str">
        <f>""</f>
        <v/>
      </c>
      <c r="G1158" s="3">
        <v>-205.6</v>
      </c>
      <c r="H1158" t="str">
        <f>"tax"</f>
        <v>tax</v>
      </c>
    </row>
    <row r="1159" spans="1:8" x14ac:dyDescent="0.25">
      <c r="E1159" t="str">
        <f>""</f>
        <v/>
      </c>
      <c r="F1159" t="str">
        <f>""</f>
        <v/>
      </c>
      <c r="G1159" s="3">
        <v>871.81</v>
      </c>
      <c r="H1159" t="str">
        <f>"maintenance"</f>
        <v>maintenance</v>
      </c>
    </row>
    <row r="1160" spans="1:8" x14ac:dyDescent="0.25">
      <c r="E1160" t="str">
        <f>""</f>
        <v/>
      </c>
      <c r="F1160" t="str">
        <f>""</f>
        <v/>
      </c>
      <c r="G1160" s="3">
        <v>2335.19</v>
      </c>
      <c r="H1160" t="str">
        <f>"fuel"</f>
        <v>fuel</v>
      </c>
    </row>
    <row r="1161" spans="1:8" x14ac:dyDescent="0.25">
      <c r="E1161" t="str">
        <f>""</f>
        <v/>
      </c>
      <c r="F1161" t="str">
        <f>""</f>
        <v/>
      </c>
      <c r="G1161" s="3">
        <v>-160.51</v>
      </c>
      <c r="H1161" t="str">
        <f>"tax"</f>
        <v>tax</v>
      </c>
    </row>
    <row r="1162" spans="1:8" x14ac:dyDescent="0.25">
      <c r="E1162" t="str">
        <f>""</f>
        <v/>
      </c>
      <c r="F1162" t="str">
        <f>""</f>
        <v/>
      </c>
      <c r="G1162" s="3">
        <v>152.4</v>
      </c>
      <c r="H1162" t="str">
        <f>"maintenance"</f>
        <v>maintenance</v>
      </c>
    </row>
    <row r="1163" spans="1:8" x14ac:dyDescent="0.25">
      <c r="E1163" t="str">
        <f>""</f>
        <v/>
      </c>
      <c r="F1163" t="str">
        <f>""</f>
        <v/>
      </c>
      <c r="G1163" s="3">
        <v>31253.1</v>
      </c>
      <c r="H1163" t="str">
        <f>"fuel"</f>
        <v>fuel</v>
      </c>
    </row>
    <row r="1164" spans="1:8" x14ac:dyDescent="0.25">
      <c r="E1164" t="str">
        <f>""</f>
        <v/>
      </c>
      <c r="F1164" t="str">
        <f>""</f>
        <v/>
      </c>
      <c r="G1164" s="3">
        <v>17570.36</v>
      </c>
      <c r="H1164" t="str">
        <f>"maintenance"</f>
        <v>maintenance</v>
      </c>
    </row>
    <row r="1165" spans="1:8" x14ac:dyDescent="0.25">
      <c r="E1165" t="str">
        <f>""</f>
        <v/>
      </c>
      <c r="F1165" t="str">
        <f>""</f>
        <v/>
      </c>
      <c r="G1165" s="3">
        <v>-2173.65</v>
      </c>
      <c r="H1165" t="str">
        <f>"tax"</f>
        <v>tax</v>
      </c>
    </row>
    <row r="1166" spans="1:8" x14ac:dyDescent="0.25">
      <c r="E1166" t="str">
        <f>""</f>
        <v/>
      </c>
      <c r="F1166" t="str">
        <f>""</f>
        <v/>
      </c>
      <c r="G1166" s="3">
        <v>1151.8399999999999</v>
      </c>
      <c r="H1166" t="str">
        <f>"fuel"</f>
        <v>fuel</v>
      </c>
    </row>
    <row r="1167" spans="1:8" x14ac:dyDescent="0.25">
      <c r="E1167" t="str">
        <f>""</f>
        <v/>
      </c>
      <c r="F1167" t="str">
        <f>""</f>
        <v/>
      </c>
      <c r="G1167" s="3">
        <v>119.48</v>
      </c>
      <c r="H1167" t="str">
        <f>"maintenance"</f>
        <v>maintenance</v>
      </c>
    </row>
    <row r="1168" spans="1:8" x14ac:dyDescent="0.25">
      <c r="E1168" t="str">
        <f>""</f>
        <v/>
      </c>
      <c r="F1168" t="str">
        <f>""</f>
        <v/>
      </c>
      <c r="G1168" s="3">
        <v>1826.37</v>
      </c>
      <c r="H1168" t="str">
        <f>"fuel"</f>
        <v>fuel</v>
      </c>
    </row>
    <row r="1169" spans="1:8" x14ac:dyDescent="0.25">
      <c r="E1169" t="str">
        <f>""</f>
        <v/>
      </c>
      <c r="F1169" t="str">
        <f>""</f>
        <v/>
      </c>
      <c r="G1169" s="3">
        <v>-121.7</v>
      </c>
      <c r="H1169" t="str">
        <f>"tax"</f>
        <v>tax</v>
      </c>
    </row>
    <row r="1170" spans="1:8" x14ac:dyDescent="0.25">
      <c r="E1170" t="str">
        <f>""</f>
        <v/>
      </c>
      <c r="F1170" t="str">
        <f>""</f>
        <v/>
      </c>
      <c r="G1170" s="3">
        <v>2125.44</v>
      </c>
      <c r="H1170" t="str">
        <f>"maintenance"</f>
        <v>maintenance</v>
      </c>
    </row>
    <row r="1171" spans="1:8" x14ac:dyDescent="0.25">
      <c r="E1171" t="str">
        <f>""</f>
        <v/>
      </c>
      <c r="F1171" t="str">
        <f>""</f>
        <v/>
      </c>
      <c r="G1171" s="3">
        <v>2893.73</v>
      </c>
      <c r="H1171" t="str">
        <f>"fuel"</f>
        <v>fuel</v>
      </c>
    </row>
    <row r="1172" spans="1:8" x14ac:dyDescent="0.25">
      <c r="E1172" t="str">
        <f>""</f>
        <v/>
      </c>
      <c r="F1172" t="str">
        <f>""</f>
        <v/>
      </c>
      <c r="G1172" s="3">
        <v>-229.51</v>
      </c>
      <c r="H1172" t="str">
        <f>"tax"</f>
        <v>tax</v>
      </c>
    </row>
    <row r="1173" spans="1:8" x14ac:dyDescent="0.25">
      <c r="E1173" t="str">
        <f>""</f>
        <v/>
      </c>
      <c r="F1173" t="str">
        <f>""</f>
        <v/>
      </c>
      <c r="G1173" s="3">
        <v>149.49</v>
      </c>
      <c r="H1173" t="str">
        <f>"maintenance"</f>
        <v>maintenance</v>
      </c>
    </row>
    <row r="1174" spans="1:8" x14ac:dyDescent="0.25">
      <c r="E1174" t="str">
        <f>""</f>
        <v/>
      </c>
      <c r="F1174" t="str">
        <f>""</f>
        <v/>
      </c>
      <c r="G1174" s="3">
        <v>116.05</v>
      </c>
      <c r="H1174" t="str">
        <f>"fuel"</f>
        <v>fuel</v>
      </c>
    </row>
    <row r="1175" spans="1:8" x14ac:dyDescent="0.25">
      <c r="E1175" t="str">
        <f>""</f>
        <v/>
      </c>
      <c r="F1175" t="str">
        <f>""</f>
        <v/>
      </c>
      <c r="G1175" s="3">
        <v>-7.78</v>
      </c>
      <c r="H1175" t="str">
        <f>"tax"</f>
        <v>tax</v>
      </c>
    </row>
    <row r="1176" spans="1:8" x14ac:dyDescent="0.25">
      <c r="E1176" t="str">
        <f>""</f>
        <v/>
      </c>
      <c r="F1176" t="str">
        <f>""</f>
        <v/>
      </c>
      <c r="G1176" s="3">
        <v>279.54000000000002</v>
      </c>
      <c r="H1176" t="str">
        <f>"fuel"</f>
        <v>fuel</v>
      </c>
    </row>
    <row r="1177" spans="1:8" x14ac:dyDescent="0.25">
      <c r="E1177" t="str">
        <f>""</f>
        <v/>
      </c>
      <c r="F1177" t="str">
        <f>""</f>
        <v/>
      </c>
      <c r="G1177" s="3">
        <v>-18.739999999999998</v>
      </c>
      <c r="H1177" t="str">
        <f>"tax"</f>
        <v>tax</v>
      </c>
    </row>
    <row r="1178" spans="1:8" x14ac:dyDescent="0.25">
      <c r="E1178" t="str">
        <f>""</f>
        <v/>
      </c>
      <c r="F1178" t="str">
        <f>""</f>
        <v/>
      </c>
      <c r="G1178" s="3">
        <v>81.99</v>
      </c>
      <c r="H1178" t="str">
        <f>"maintenance"</f>
        <v>maintenance</v>
      </c>
    </row>
    <row r="1179" spans="1:8" x14ac:dyDescent="0.25">
      <c r="E1179" t="str">
        <f>""</f>
        <v/>
      </c>
      <c r="F1179" t="str">
        <f>""</f>
        <v/>
      </c>
      <c r="G1179" s="3">
        <v>14</v>
      </c>
      <c r="H1179" t="str">
        <f>"maintenance"</f>
        <v>maintenance</v>
      </c>
    </row>
    <row r="1180" spans="1:8" x14ac:dyDescent="0.25">
      <c r="A1180" t="s">
        <v>374</v>
      </c>
      <c r="B1180">
        <v>136810</v>
      </c>
      <c r="C1180" s="3">
        <v>90</v>
      </c>
      <c r="D1180" s="6">
        <v>44431</v>
      </c>
      <c r="E1180" t="str">
        <f>"10441001"</f>
        <v>10441001</v>
      </c>
      <c r="F1180" t="str">
        <f>"ACCT#00010699-4/PCT#3"</f>
        <v>ACCT#00010699-4/PCT#3</v>
      </c>
      <c r="G1180" s="3">
        <v>90</v>
      </c>
      <c r="H1180" t="str">
        <f>"ACCT#00010699-4/PCT#3"</f>
        <v>ACCT#00010699-4/PCT#3</v>
      </c>
    </row>
    <row r="1181" spans="1:8" x14ac:dyDescent="0.25">
      <c r="A1181" t="s">
        <v>375</v>
      </c>
      <c r="B1181">
        <v>4927</v>
      </c>
      <c r="C1181" s="3">
        <v>3540.3</v>
      </c>
      <c r="D1181" s="6">
        <v>44418</v>
      </c>
      <c r="E1181" t="str">
        <f>"202108035012"</f>
        <v>202108035012</v>
      </c>
      <c r="F1181" t="str">
        <f>"VULCAN  INC."</f>
        <v>VULCAN  INC.</v>
      </c>
      <c r="G1181" s="3">
        <v>231</v>
      </c>
      <c r="H1181" t="str">
        <f>"12x6 White"</f>
        <v>12x6 White</v>
      </c>
    </row>
    <row r="1182" spans="1:8" x14ac:dyDescent="0.25">
      <c r="E1182" t="str">
        <f>""</f>
        <v/>
      </c>
      <c r="F1182" t="str">
        <f>""</f>
        <v/>
      </c>
      <c r="G1182" s="3">
        <v>291</v>
      </c>
      <c r="H1182" t="str">
        <f>"18x9 White"</f>
        <v>18x9 White</v>
      </c>
    </row>
    <row r="1183" spans="1:8" x14ac:dyDescent="0.25">
      <c r="E1183" t="str">
        <f>""</f>
        <v/>
      </c>
      <c r="F1183" t="str">
        <f>""</f>
        <v/>
      </c>
      <c r="G1183" s="3">
        <v>322</v>
      </c>
      <c r="H1183" t="str">
        <f>"24x9 White"</f>
        <v>24x9 White</v>
      </c>
    </row>
    <row r="1184" spans="1:8" x14ac:dyDescent="0.25">
      <c r="E1184" t="str">
        <f>""</f>
        <v/>
      </c>
      <c r="F1184" t="str">
        <f>""</f>
        <v/>
      </c>
      <c r="G1184" s="3">
        <v>483.8</v>
      </c>
      <c r="H1184" t="str">
        <f>"30 x30  Yellow"</f>
        <v>30 x30  Yellow</v>
      </c>
    </row>
    <row r="1185" spans="1:8" x14ac:dyDescent="0.25">
      <c r="E1185" t="str">
        <f>""</f>
        <v/>
      </c>
      <c r="F1185" t="str">
        <f>""</f>
        <v/>
      </c>
      <c r="G1185" s="3">
        <v>623</v>
      </c>
      <c r="H1185" t="str">
        <f>"12x18 Yellow"</f>
        <v>12x18 Yellow</v>
      </c>
    </row>
    <row r="1186" spans="1:8" x14ac:dyDescent="0.25">
      <c r="E1186" t="str">
        <f>""</f>
        <v/>
      </c>
      <c r="F1186" t="str">
        <f>""</f>
        <v/>
      </c>
      <c r="G1186" s="3">
        <v>925.5</v>
      </c>
      <c r="H1186" t="str">
        <f>"10ft Uchannel"</f>
        <v>10ft Uchannel</v>
      </c>
    </row>
    <row r="1187" spans="1:8" x14ac:dyDescent="0.25">
      <c r="E1187" t="str">
        <f>""</f>
        <v/>
      </c>
      <c r="F1187" t="str">
        <f>""</f>
        <v/>
      </c>
      <c r="G1187" s="3">
        <v>664</v>
      </c>
      <c r="H1187" t="str">
        <f>"6' Uchannel"</f>
        <v>6' Uchannel</v>
      </c>
    </row>
    <row r="1188" spans="1:8" x14ac:dyDescent="0.25">
      <c r="A1188" t="s">
        <v>376</v>
      </c>
      <c r="B1188">
        <v>4874</v>
      </c>
      <c r="C1188" s="3">
        <v>3857.25</v>
      </c>
      <c r="D1188" s="6">
        <v>44418</v>
      </c>
      <c r="E1188" t="str">
        <f>"21323"</f>
        <v>21323</v>
      </c>
      <c r="F1188" t="str">
        <f>"COLD MIX/PCT#3"</f>
        <v>COLD MIX/PCT#3</v>
      </c>
      <c r="G1188" s="3">
        <v>1073.5999999999999</v>
      </c>
      <c r="H1188" t="str">
        <f>"COLD MIX/PCT#3"</f>
        <v>COLD MIX/PCT#3</v>
      </c>
    </row>
    <row r="1189" spans="1:8" x14ac:dyDescent="0.25">
      <c r="E1189" t="str">
        <f>"21333"</f>
        <v>21333</v>
      </c>
      <c r="F1189" t="str">
        <f>"COLD MIX/PCT#2"</f>
        <v>COLD MIX/PCT#2</v>
      </c>
      <c r="G1189" s="3">
        <v>2783.65</v>
      </c>
      <c r="H1189" t="str">
        <f>"COLD MIX/PCT#2"</f>
        <v>COLD MIX/PCT#2</v>
      </c>
    </row>
    <row r="1190" spans="1:8" x14ac:dyDescent="0.25">
      <c r="A1190" t="s">
        <v>377</v>
      </c>
      <c r="B1190">
        <v>136540</v>
      </c>
      <c r="C1190" s="3">
        <v>12171.25</v>
      </c>
      <c r="D1190" s="6">
        <v>44412</v>
      </c>
      <c r="E1190" t="str">
        <f>"11306050"</f>
        <v>11306050</v>
      </c>
      <c r="F1190" t="str">
        <f>"ACCT#5150-005117630 / 08012021"</f>
        <v>ACCT#5150-005117630 / 08012021</v>
      </c>
      <c r="G1190" s="3">
        <v>262.81</v>
      </c>
      <c r="H1190" t="str">
        <f>"ACCT#5150-005117630 / 08012021"</f>
        <v>ACCT#5150-005117630 / 08012021</v>
      </c>
    </row>
    <row r="1191" spans="1:8" x14ac:dyDescent="0.25">
      <c r="E1191" t="str">
        <f>"11306057"</f>
        <v>11306057</v>
      </c>
      <c r="F1191" t="str">
        <f>"ACCT#5150-005117766 / 08012021"</f>
        <v>ACCT#5150-005117766 / 08012021</v>
      </c>
      <c r="G1191" s="3">
        <v>115.36</v>
      </c>
      <c r="H1191" t="str">
        <f>"ACCT#5150-005117766 / 08012021"</f>
        <v>ACCT#5150-005117766 / 08012021</v>
      </c>
    </row>
    <row r="1192" spans="1:8" x14ac:dyDescent="0.25">
      <c r="E1192" t="str">
        <f>"11306061"</f>
        <v>11306061</v>
      </c>
      <c r="F1192" t="str">
        <f>"ACCT#5150-005117838 / 08012021"</f>
        <v>ACCT#5150-005117838 / 08012021</v>
      </c>
      <c r="G1192" s="3">
        <v>106.76</v>
      </c>
      <c r="H1192" t="str">
        <f>"ACCT#5150-005117838 / 08012021"</f>
        <v>ACCT#5150-005117838 / 08012021</v>
      </c>
    </row>
    <row r="1193" spans="1:8" x14ac:dyDescent="0.25">
      <c r="E1193" t="str">
        <f>"11306063"</f>
        <v>11306063</v>
      </c>
      <c r="F1193" t="str">
        <f>"ACCT#5150-005117882 / 08012021"</f>
        <v>ACCT#5150-005117882 / 08012021</v>
      </c>
      <c r="G1193" s="3">
        <v>144.19</v>
      </c>
      <c r="H1193" t="str">
        <f>"ACCT#5150-005117882 / 08012021"</f>
        <v>ACCT#5150-005117882 / 08012021</v>
      </c>
    </row>
    <row r="1194" spans="1:8" x14ac:dyDescent="0.25">
      <c r="E1194" t="str">
        <f>"11306071"</f>
        <v>11306071</v>
      </c>
      <c r="F1194" t="str">
        <f>"ACCT#5150-005118183 / 08012021"</f>
        <v>ACCT#5150-005118183 / 08012021</v>
      </c>
      <c r="G1194" s="3">
        <v>618.96</v>
      </c>
      <c r="H1194" t="str">
        <f>"ACCT#5150-005118183 / 08012021"</f>
        <v>ACCT#5150-005118183 / 08012021</v>
      </c>
    </row>
    <row r="1195" spans="1:8" x14ac:dyDescent="0.25">
      <c r="E1195" t="str">
        <f>"11306099"</f>
        <v>11306099</v>
      </c>
      <c r="F1195" t="str">
        <f>"ACCT#5150-005129483 / 08012021"</f>
        <v>ACCT#5150-005129483 / 08012021</v>
      </c>
      <c r="G1195" s="3">
        <v>10810.8</v>
      </c>
      <c r="H1195" t="str">
        <f>"ACCT#5150-005129483 / 08012021"</f>
        <v>ACCT#5150-005129483 / 08012021</v>
      </c>
    </row>
    <row r="1196" spans="1:8" x14ac:dyDescent="0.25">
      <c r="E1196" t="str">
        <f>"11310129"</f>
        <v>11310129</v>
      </c>
      <c r="F1196" t="str">
        <f>"ACCT#5150-16203415 / 08012021"</f>
        <v>ACCT#5150-16203415 / 08012021</v>
      </c>
      <c r="G1196" s="3">
        <v>83.48</v>
      </c>
      <c r="H1196" t="str">
        <f>"ACCT#5150-16203415 / 08012021"</f>
        <v>ACCT#5150-16203415 / 08012021</v>
      </c>
    </row>
    <row r="1197" spans="1:8" x14ac:dyDescent="0.25">
      <c r="E1197" t="str">
        <f>"11310130"</f>
        <v>11310130</v>
      </c>
      <c r="F1197" t="str">
        <f>"ACCT#5150-16203417 / 08012021"</f>
        <v>ACCT#5150-16203417 / 08012021</v>
      </c>
      <c r="G1197" s="3">
        <v>28.89</v>
      </c>
      <c r="H1197" t="str">
        <f>"ACCT#5150-16203417 / 08012021"</f>
        <v>ACCT#5150-16203417 / 08012021</v>
      </c>
    </row>
    <row r="1198" spans="1:8" x14ac:dyDescent="0.25">
      <c r="A1198" t="s">
        <v>378</v>
      </c>
      <c r="B1198">
        <v>136659</v>
      </c>
      <c r="C1198" s="3">
        <v>713.51</v>
      </c>
      <c r="D1198" s="6">
        <v>44417</v>
      </c>
      <c r="E1198" t="str">
        <f>"0124054-2161-6"</f>
        <v>0124054-2161-6</v>
      </c>
      <c r="F1198" t="str">
        <f>"CUST#2-56581-95066/ANIMAL SHEL"</f>
        <v>CUST#2-56581-95066/ANIMAL SHEL</v>
      </c>
      <c r="G1198" s="3">
        <v>713.51</v>
      </c>
      <c r="H1198" t="str">
        <f>"CUST#2-56581-95066/ANIMAL SHEL"</f>
        <v>CUST#2-56581-95066/ANIMAL SHEL</v>
      </c>
    </row>
    <row r="1199" spans="1:8" x14ac:dyDescent="0.25">
      <c r="A1199" t="s">
        <v>378</v>
      </c>
      <c r="B1199">
        <v>136811</v>
      </c>
      <c r="C1199" s="3">
        <v>6732.81</v>
      </c>
      <c r="D1199" s="6">
        <v>44431</v>
      </c>
      <c r="E1199" t="str">
        <f>"0032749-2161-2"</f>
        <v>0032749-2161-2</v>
      </c>
      <c r="F1199" t="str">
        <f>"CUST#2-57060-55062/PCT#4"</f>
        <v>CUST#2-57060-55062/PCT#4</v>
      </c>
      <c r="G1199" s="3">
        <v>5710.25</v>
      </c>
      <c r="H1199" t="str">
        <f>"CUST#2-57060-55062/PCT#4"</f>
        <v>CUST#2-57060-55062/PCT#4</v>
      </c>
    </row>
    <row r="1200" spans="1:8" x14ac:dyDescent="0.25">
      <c r="E1200" t="str">
        <f>"6717703-2161-8"</f>
        <v>6717703-2161-8</v>
      </c>
      <c r="F1200" t="str">
        <f>"CUST#23-90244-23005/PCT#4"</f>
        <v>CUST#23-90244-23005/PCT#4</v>
      </c>
      <c r="G1200" s="3">
        <v>1022.56</v>
      </c>
      <c r="H1200" t="str">
        <f>"CUST#23-90244-23005/PCT#4"</f>
        <v>CUST#23-90244-23005/PCT#4</v>
      </c>
    </row>
    <row r="1201" spans="1:8" x14ac:dyDescent="0.25">
      <c r="A1201" t="s">
        <v>379</v>
      </c>
      <c r="B1201">
        <v>136812</v>
      </c>
      <c r="C1201" s="3">
        <v>100</v>
      </c>
      <c r="D1201" s="6">
        <v>44431</v>
      </c>
      <c r="E1201" t="str">
        <f>"10-738 7-28-21"</f>
        <v>10-738 7-28-21</v>
      </c>
      <c r="F1201" t="str">
        <f>"RESTITUTION - ROEL FLORES JR"</f>
        <v>RESTITUTION - ROEL FLORES JR</v>
      </c>
      <c r="G1201" s="3">
        <v>100</v>
      </c>
      <c r="H1201" t="str">
        <f>"RESTITUTION - ROEL FLORES JR"</f>
        <v>RESTITUTION - ROEL FLORES JR</v>
      </c>
    </row>
    <row r="1202" spans="1:8" x14ac:dyDescent="0.25">
      <c r="A1202" t="s">
        <v>380</v>
      </c>
      <c r="B1202">
        <v>136813</v>
      </c>
      <c r="C1202" s="3">
        <v>33.270000000000003</v>
      </c>
      <c r="D1202" s="6">
        <v>44431</v>
      </c>
      <c r="E1202" t="str">
        <f>"202108175256"</f>
        <v>202108175256</v>
      </c>
      <c r="F1202" t="str">
        <f>"INDIGENT HEALTH"</f>
        <v>INDIGENT HEALTH</v>
      </c>
      <c r="G1202" s="3">
        <v>33.270000000000003</v>
      </c>
      <c r="H1202" t="str">
        <f>"INDIGENT HEALTH"</f>
        <v>INDIGENT HEALTH</v>
      </c>
    </row>
    <row r="1203" spans="1:8" x14ac:dyDescent="0.25">
      <c r="A1203" t="s">
        <v>381</v>
      </c>
      <c r="B1203">
        <v>4951</v>
      </c>
      <c r="C1203" s="3">
        <v>7679.17</v>
      </c>
      <c r="D1203" s="6">
        <v>44432</v>
      </c>
      <c r="E1203" t="str">
        <f>"28513"</f>
        <v>28513</v>
      </c>
      <c r="F1203" t="str">
        <f>"INV 28513"</f>
        <v>INV 28513</v>
      </c>
      <c r="G1203" s="3">
        <v>7679.17</v>
      </c>
      <c r="H1203" t="str">
        <f>"INV 28513"</f>
        <v>INV 28513</v>
      </c>
    </row>
    <row r="1204" spans="1:8" x14ac:dyDescent="0.25">
      <c r="A1204" t="s">
        <v>382</v>
      </c>
      <c r="B1204">
        <v>136660</v>
      </c>
      <c r="C1204" s="3">
        <v>100</v>
      </c>
      <c r="D1204" s="6">
        <v>44417</v>
      </c>
      <c r="E1204" t="str">
        <f>"13650"</f>
        <v>13650</v>
      </c>
      <c r="F1204" t="str">
        <f>"SERVICE"</f>
        <v>SERVICE</v>
      </c>
      <c r="G1204" s="3">
        <v>100</v>
      </c>
      <c r="H1204" t="str">
        <f>"SERVICE"</f>
        <v>SERVICE</v>
      </c>
    </row>
    <row r="1205" spans="1:8" x14ac:dyDescent="0.25">
      <c r="A1205" t="s">
        <v>383</v>
      </c>
      <c r="B1205">
        <v>136814</v>
      </c>
      <c r="C1205" s="3">
        <v>3379</v>
      </c>
      <c r="D1205" s="6">
        <v>44431</v>
      </c>
      <c r="E1205" t="str">
        <f>"22879"</f>
        <v>22879</v>
      </c>
      <c r="F1205" t="str">
        <f>"Maintenance Agreements"</f>
        <v>Maintenance Agreements</v>
      </c>
      <c r="G1205" s="3">
        <v>1291</v>
      </c>
      <c r="H1205" t="str">
        <f>"EX513AXX10"</f>
        <v>EX513AXX10</v>
      </c>
    </row>
    <row r="1206" spans="1:8" x14ac:dyDescent="0.25">
      <c r="E1206" t="str">
        <f>""</f>
        <v/>
      </c>
      <c r="F1206" t="str">
        <f>""</f>
        <v/>
      </c>
      <c r="G1206" s="3">
        <v>1044</v>
      </c>
      <c r="H1206" t="str">
        <f>"FA394FBB15"</f>
        <v>FA394FBB15</v>
      </c>
    </row>
    <row r="1207" spans="1:8" x14ac:dyDescent="0.25">
      <c r="E1207" t="str">
        <f>""</f>
        <v/>
      </c>
      <c r="F1207" t="str">
        <f>""</f>
        <v/>
      </c>
      <c r="G1207" s="3">
        <v>1044</v>
      </c>
      <c r="H1207" t="str">
        <f>"FA411FBB07"</f>
        <v>FA411FBB07</v>
      </c>
    </row>
    <row r="1208" spans="1:8" x14ac:dyDescent="0.25">
      <c r="A1208" t="s">
        <v>384</v>
      </c>
      <c r="B1208">
        <v>136815</v>
      </c>
      <c r="C1208" s="3">
        <v>25</v>
      </c>
      <c r="D1208" s="6">
        <v>44431</v>
      </c>
      <c r="E1208" t="str">
        <f>"13-163 7-6-21"</f>
        <v>13-163 7-6-21</v>
      </c>
      <c r="F1208" t="str">
        <f>"RESTITUTION MARCUS MANZANANRES"</f>
        <v>RESTITUTION MARCUS MANZANANRES</v>
      </c>
      <c r="G1208" s="3">
        <v>25</v>
      </c>
      <c r="H1208" t="str">
        <f>"RESTITUTION MARCUS MANZANANRES"</f>
        <v>RESTITUTION MARCUS MANZANANRES</v>
      </c>
    </row>
    <row r="1209" spans="1:8" x14ac:dyDescent="0.25">
      <c r="A1209" t="s">
        <v>385</v>
      </c>
      <c r="B1209">
        <v>136661</v>
      </c>
      <c r="C1209" s="3">
        <v>3772</v>
      </c>
      <c r="D1209" s="6">
        <v>44417</v>
      </c>
      <c r="E1209" t="str">
        <f>"9013730394"</f>
        <v>9013730394</v>
      </c>
      <c r="F1209" t="str">
        <f t="shared" ref="F1209:F1216" si="15">"CUST#1000113183/ANIMAL SHELTER"</f>
        <v>CUST#1000113183/ANIMAL SHELTER</v>
      </c>
      <c r="G1209" s="3">
        <v>1202.8</v>
      </c>
      <c r="H1209" t="str">
        <f t="shared" ref="H1209:H1216" si="16">"CUST#1000113183/ANIMAL SHELTER"</f>
        <v>CUST#1000113183/ANIMAL SHELTER</v>
      </c>
    </row>
    <row r="1210" spans="1:8" x14ac:dyDescent="0.25">
      <c r="E1210" t="str">
        <f>"9013739756"</f>
        <v>9013739756</v>
      </c>
      <c r="F1210" t="str">
        <f t="shared" si="15"/>
        <v>CUST#1000113183/ANIMAL SHELTER</v>
      </c>
      <c r="G1210" s="3">
        <v>300</v>
      </c>
      <c r="H1210" t="str">
        <f t="shared" si="16"/>
        <v>CUST#1000113183/ANIMAL SHELTER</v>
      </c>
    </row>
    <row r="1211" spans="1:8" x14ac:dyDescent="0.25">
      <c r="E1211" t="str">
        <f>"9013750459"</f>
        <v>9013750459</v>
      </c>
      <c r="F1211" t="str">
        <f t="shared" si="15"/>
        <v>CUST#1000113183/ANIMAL SHELTER</v>
      </c>
      <c r="G1211" s="3">
        <v>1734</v>
      </c>
      <c r="H1211" t="str">
        <f t="shared" si="16"/>
        <v>CUST#1000113183/ANIMAL SHELTER</v>
      </c>
    </row>
    <row r="1212" spans="1:8" x14ac:dyDescent="0.25">
      <c r="E1212" t="str">
        <f>"9013796248"</f>
        <v>9013796248</v>
      </c>
      <c r="F1212" t="str">
        <f t="shared" si="15"/>
        <v>CUST#1000113183/ANIMAL SHELTER</v>
      </c>
      <c r="G1212" s="3">
        <v>535.20000000000005</v>
      </c>
      <c r="H1212" t="str">
        <f t="shared" si="16"/>
        <v>CUST#1000113183/ANIMAL SHELTER</v>
      </c>
    </row>
    <row r="1213" spans="1:8" x14ac:dyDescent="0.25">
      <c r="A1213" t="s">
        <v>385</v>
      </c>
      <c r="B1213">
        <v>136816</v>
      </c>
      <c r="C1213" s="3">
        <v>2966.2</v>
      </c>
      <c r="D1213" s="6">
        <v>44431</v>
      </c>
      <c r="E1213" t="str">
        <f>"9013836699"</f>
        <v>9013836699</v>
      </c>
      <c r="F1213" t="str">
        <f t="shared" si="15"/>
        <v>CUST#1000113183/ANIMAL SHELTER</v>
      </c>
      <c r="G1213" s="3">
        <v>615</v>
      </c>
      <c r="H1213" t="str">
        <f t="shared" si="16"/>
        <v>CUST#1000113183/ANIMAL SHELTER</v>
      </c>
    </row>
    <row r="1214" spans="1:8" x14ac:dyDescent="0.25">
      <c r="E1214" t="str">
        <f>"9013848427"</f>
        <v>9013848427</v>
      </c>
      <c r="F1214" t="str">
        <f t="shared" si="15"/>
        <v>CUST#1000113183/ANIMAL SHELTER</v>
      </c>
      <c r="G1214" s="3">
        <v>815.6</v>
      </c>
      <c r="H1214" t="str">
        <f t="shared" si="16"/>
        <v>CUST#1000113183/ANIMAL SHELTER</v>
      </c>
    </row>
    <row r="1215" spans="1:8" x14ac:dyDescent="0.25">
      <c r="E1215" t="str">
        <f>"9013869386"</f>
        <v>9013869386</v>
      </c>
      <c r="F1215" t="str">
        <f t="shared" si="15"/>
        <v>CUST#1000113183/ANIMAL SHELTER</v>
      </c>
      <c r="G1215" s="3">
        <v>535.20000000000005</v>
      </c>
      <c r="H1215" t="str">
        <f t="shared" si="16"/>
        <v>CUST#1000113183/ANIMAL SHELTER</v>
      </c>
    </row>
    <row r="1216" spans="1:8" x14ac:dyDescent="0.25">
      <c r="E1216" t="str">
        <f>"9013914916"</f>
        <v>9013914916</v>
      </c>
      <c r="F1216" t="str">
        <f t="shared" si="15"/>
        <v>CUST#1000113183/ANIMAL SHELTER</v>
      </c>
      <c r="G1216" s="3">
        <v>1000.4</v>
      </c>
      <c r="H1216" t="str">
        <f t="shared" si="16"/>
        <v>CUST#1000113183/ANIMAL SHELTER</v>
      </c>
    </row>
    <row r="1217" spans="1:8" x14ac:dyDescent="0.25">
      <c r="A1217" t="s">
        <v>27</v>
      </c>
      <c r="B1217">
        <v>136662</v>
      </c>
      <c r="C1217" s="3">
        <v>18</v>
      </c>
      <c r="D1217" s="6">
        <v>44417</v>
      </c>
      <c r="E1217" t="str">
        <f>"202108045044"</f>
        <v>202108045044</v>
      </c>
      <c r="F1217" t="str">
        <f>"ACCT#15397/BOOT CAMP"</f>
        <v>ACCT#15397/BOOT CAMP</v>
      </c>
      <c r="G1217" s="3">
        <v>18</v>
      </c>
      <c r="H1217" t="str">
        <f>"ACCT#15397/BOOT CAMP"</f>
        <v>ACCT#15397/BOOT CAMP</v>
      </c>
    </row>
    <row r="1218" spans="1:8" x14ac:dyDescent="0.25">
      <c r="A1218" t="s">
        <v>386</v>
      </c>
      <c r="B1218">
        <v>136817</v>
      </c>
      <c r="C1218" s="3">
        <v>4593.75</v>
      </c>
      <c r="D1218" s="6">
        <v>44431</v>
      </c>
      <c r="E1218" t="str">
        <f>"202108185294"</f>
        <v>202108185294</v>
      </c>
      <c r="F1218" t="str">
        <f>"REIMBURSEMENT"</f>
        <v>REIMBURSEMENT</v>
      </c>
      <c r="G1218" s="3">
        <v>4593.75</v>
      </c>
      <c r="H1218" t="str">
        <f>"REIMBURSEMENT"</f>
        <v>REIMBURSEMENT</v>
      </c>
    </row>
    <row r="1219" spans="1:8" x14ac:dyDescent="0.25">
      <c r="A1219" t="s">
        <v>53</v>
      </c>
      <c r="B1219">
        <v>136818</v>
      </c>
      <c r="C1219" s="3">
        <v>39648.879999999997</v>
      </c>
      <c r="D1219" s="6">
        <v>44431</v>
      </c>
      <c r="E1219" t="str">
        <f>"202108185290"</f>
        <v>202108185290</v>
      </c>
      <c r="F1219" t="str">
        <f>"THIRD QTR 2021"</f>
        <v>THIRD QTR 2021</v>
      </c>
      <c r="G1219" s="3">
        <v>39283.019999999997</v>
      </c>
      <c r="H1219" t="str">
        <f>"THIRD QTR 2021"</f>
        <v>THIRD QTR 2021</v>
      </c>
    </row>
    <row r="1220" spans="1:8" x14ac:dyDescent="0.25">
      <c r="E1220" t="str">
        <f>"202108185291"</f>
        <v>202108185291</v>
      </c>
      <c r="F1220" t="str">
        <f>"REIMBURSEMENT/JUVENILE"</f>
        <v>REIMBURSEMENT/JUVENILE</v>
      </c>
      <c r="G1220" s="3">
        <v>365.86</v>
      </c>
      <c r="H1220" t="str">
        <f>"REIMBURSEMENT/JUVENILE"</f>
        <v>REIMBURSEMENT/JUVENILE</v>
      </c>
    </row>
    <row r="1221" spans="1:8" x14ac:dyDescent="0.25">
      <c r="A1221" t="s">
        <v>387</v>
      </c>
      <c r="B1221">
        <v>136819</v>
      </c>
      <c r="C1221" s="3">
        <v>33142.93</v>
      </c>
      <c r="D1221" s="6">
        <v>44431</v>
      </c>
      <c r="E1221" t="str">
        <f>"1111"</f>
        <v>1111</v>
      </c>
      <c r="F1221" t="str">
        <f>"APRIL/JUNE 2021  BOOTCAMP"</f>
        <v>APRIL/JUNE 2021  BOOTCAMP</v>
      </c>
      <c r="G1221" s="3">
        <v>33142.93</v>
      </c>
      <c r="H1221" t="str">
        <f>"APRIL/JUNE 2021  BOOTCAMP"</f>
        <v>APRIL/JUNE 2021  BOOTCAMP</v>
      </c>
    </row>
    <row r="1222" spans="1:8" x14ac:dyDescent="0.25">
      <c r="A1222" t="s">
        <v>64</v>
      </c>
      <c r="B1222">
        <v>136820</v>
      </c>
      <c r="C1222" s="3">
        <v>12269.52</v>
      </c>
      <c r="D1222" s="6">
        <v>44431</v>
      </c>
      <c r="E1222" t="str">
        <f>"S1254227"</f>
        <v>S1254227</v>
      </c>
      <c r="F1222" t="str">
        <f>"CUST#C27986/PCT#4"</f>
        <v>CUST#C27986/PCT#4</v>
      </c>
      <c r="G1222" s="3">
        <v>12269.52</v>
      </c>
      <c r="H1222" t="str">
        <f>"CUST#C27986/PCT#4"</f>
        <v>CUST#C27986/PCT#4</v>
      </c>
    </row>
    <row r="1223" spans="1:8" x14ac:dyDescent="0.25">
      <c r="A1223" t="s">
        <v>67</v>
      </c>
      <c r="B1223">
        <v>136666</v>
      </c>
      <c r="C1223" s="3">
        <v>284.32</v>
      </c>
      <c r="D1223" s="6">
        <v>44420</v>
      </c>
      <c r="E1223" t="str">
        <f>"202108125211"</f>
        <v>202108125211</v>
      </c>
      <c r="F1223" t="str">
        <f>"ACCT#50000057374 / 08032021"</f>
        <v>ACCT#50000057374 / 08032021</v>
      </c>
      <c r="G1223" s="3">
        <v>284.32</v>
      </c>
      <c r="H1223" t="str">
        <f>"ACCT#50000057374 / 08032021"</f>
        <v>ACCT#50000057374 / 08032021</v>
      </c>
    </row>
    <row r="1224" spans="1:8" x14ac:dyDescent="0.25">
      <c r="A1224" t="s">
        <v>76</v>
      </c>
      <c r="B1224">
        <v>1226</v>
      </c>
      <c r="C1224" s="3">
        <v>1173.4000000000001</v>
      </c>
      <c r="D1224" s="6">
        <v>44417</v>
      </c>
      <c r="E1224" t="str">
        <f>"202108045028"</f>
        <v>202108045028</v>
      </c>
      <c r="F1224" t="str">
        <f>"Statement"</f>
        <v>Statement</v>
      </c>
    </row>
    <row r="1225" spans="1:8" x14ac:dyDescent="0.25">
      <c r="A1225" t="s">
        <v>76</v>
      </c>
      <c r="B1225">
        <v>1226</v>
      </c>
      <c r="C1225" s="3">
        <v>-1173.4000000000001</v>
      </c>
      <c r="D1225" s="6">
        <v>44417</v>
      </c>
      <c r="E1225" t="str">
        <f>"CHECK"</f>
        <v>CHECK</v>
      </c>
      <c r="F1225" t="str">
        <f>""</f>
        <v/>
      </c>
    </row>
    <row r="1226" spans="1:8" x14ac:dyDescent="0.25">
      <c r="A1226" t="s">
        <v>76</v>
      </c>
      <c r="B1226">
        <v>1230</v>
      </c>
      <c r="C1226" s="3">
        <v>0</v>
      </c>
      <c r="D1226" s="6">
        <v>44417</v>
      </c>
      <c r="E1226" t="str">
        <f>"202108095121"</f>
        <v>202108095121</v>
      </c>
      <c r="F1226" t="str">
        <f>"TTIB FUND CORRECTION"</f>
        <v>TTIB FUND CORRECTION</v>
      </c>
      <c r="G1226" s="3">
        <v>-1173.4000000000001</v>
      </c>
      <c r="H1226" t="str">
        <f>"TTIB FUND CORRECTION"</f>
        <v>TTIB FUND CORRECTION</v>
      </c>
    </row>
    <row r="1227" spans="1:8" x14ac:dyDescent="0.25">
      <c r="E1227" t="str">
        <f>"202108045028"</f>
        <v>202108045028</v>
      </c>
      <c r="F1227" t="str">
        <f>"Statement"</f>
        <v>Statement</v>
      </c>
      <c r="G1227" s="3">
        <v>40</v>
      </c>
      <c r="H1227" t="str">
        <f>"allianz"</f>
        <v>allianz</v>
      </c>
    </row>
    <row r="1228" spans="1:8" x14ac:dyDescent="0.25">
      <c r="E1228" t="str">
        <f>""</f>
        <v/>
      </c>
      <c r="F1228" t="str">
        <f>""</f>
        <v/>
      </c>
      <c r="G1228" s="3">
        <v>176.98</v>
      </c>
      <c r="H1228" t="str">
        <f>"southwest"</f>
        <v>southwest</v>
      </c>
    </row>
    <row r="1229" spans="1:8" x14ac:dyDescent="0.25">
      <c r="E1229" t="str">
        <f>""</f>
        <v/>
      </c>
      <c r="F1229" t="str">
        <f>""</f>
        <v/>
      </c>
      <c r="G1229" s="3">
        <v>677.2</v>
      </c>
      <c r="H1229" t="str">
        <f>"american"</f>
        <v>american</v>
      </c>
    </row>
    <row r="1230" spans="1:8" x14ac:dyDescent="0.25">
      <c r="E1230" t="str">
        <f>""</f>
        <v/>
      </c>
      <c r="F1230" t="str">
        <f>""</f>
        <v/>
      </c>
      <c r="G1230" s="3">
        <v>60.82</v>
      </c>
      <c r="H1230" t="str">
        <f>"american"</f>
        <v>american</v>
      </c>
    </row>
    <row r="1231" spans="1:8" x14ac:dyDescent="0.25">
      <c r="E1231" t="str">
        <f>""</f>
        <v/>
      </c>
      <c r="F1231" t="str">
        <f>""</f>
        <v/>
      </c>
      <c r="G1231" s="3">
        <v>218.4</v>
      </c>
      <c r="H1231" t="str">
        <f>"holiday inn"</f>
        <v>holiday inn</v>
      </c>
    </row>
    <row r="1232" spans="1:8" x14ac:dyDescent="0.25">
      <c r="A1232" t="s">
        <v>86</v>
      </c>
      <c r="B1232">
        <v>1265</v>
      </c>
      <c r="C1232" s="3">
        <v>74.930000000000007</v>
      </c>
      <c r="D1232" s="6">
        <v>44420</v>
      </c>
      <c r="E1232" t="str">
        <f>"202108125209"</f>
        <v>202108125209</v>
      </c>
      <c r="F1232" t="str">
        <f>"ACCT#72-5613 / 08032021"</f>
        <v>ACCT#72-5613 / 08032021</v>
      </c>
      <c r="G1232" s="3">
        <v>74.930000000000007</v>
      </c>
      <c r="H1232" t="str">
        <f>"ACCT#72-5613 / 08032021"</f>
        <v>ACCT#72-5613 / 08032021</v>
      </c>
    </row>
    <row r="1233" spans="1:8" x14ac:dyDescent="0.25">
      <c r="A1233" t="s">
        <v>145</v>
      </c>
      <c r="B1233">
        <v>4999</v>
      </c>
      <c r="C1233" s="3">
        <v>275.33999999999997</v>
      </c>
      <c r="D1233" s="6">
        <v>44432</v>
      </c>
      <c r="E1233" t="str">
        <f>"72907AP"</f>
        <v>72907AP</v>
      </c>
      <c r="F1233" t="str">
        <f>"ACCT#3326/PCT#4"</f>
        <v>ACCT#3326/PCT#4</v>
      </c>
      <c r="G1233" s="3">
        <v>275.33999999999997</v>
      </c>
      <c r="H1233" t="str">
        <f>"ACCT#3326/PCT#4"</f>
        <v>ACCT#3326/PCT#4</v>
      </c>
    </row>
    <row r="1234" spans="1:8" x14ac:dyDescent="0.25">
      <c r="A1234" t="s">
        <v>388</v>
      </c>
      <c r="B1234">
        <v>4997</v>
      </c>
      <c r="C1234" s="3">
        <v>54381.59</v>
      </c>
      <c r="D1234" s="6">
        <v>44432</v>
      </c>
      <c r="E1234" t="str">
        <f>"202108175268"</f>
        <v>202108175268</v>
      </c>
      <c r="F1234" t="str">
        <f>"Updates"</f>
        <v>Updates</v>
      </c>
      <c r="G1234" s="3">
        <v>5700</v>
      </c>
      <c r="H1234" t="str">
        <f>"Labor"</f>
        <v>Labor</v>
      </c>
    </row>
    <row r="1235" spans="1:8" x14ac:dyDescent="0.25">
      <c r="E1235" t="str">
        <f>""</f>
        <v/>
      </c>
      <c r="F1235" t="str">
        <f>""</f>
        <v/>
      </c>
      <c r="G1235" s="3">
        <v>798</v>
      </c>
      <c r="H1235" t="str">
        <f>"Additional Repair"</f>
        <v>Additional Repair</v>
      </c>
    </row>
    <row r="1236" spans="1:8" x14ac:dyDescent="0.25">
      <c r="E1236" t="str">
        <f>""</f>
        <v/>
      </c>
      <c r="F1236" t="str">
        <f>""</f>
        <v/>
      </c>
      <c r="G1236" s="3">
        <v>1077.92</v>
      </c>
      <c r="H1236" t="str">
        <f>"Material/Freight"</f>
        <v>Material/Freight</v>
      </c>
    </row>
    <row r="1237" spans="1:8" x14ac:dyDescent="0.25">
      <c r="E1237" t="str">
        <f>""</f>
        <v/>
      </c>
      <c r="F1237" t="str">
        <f>""</f>
        <v/>
      </c>
      <c r="G1237" s="3">
        <v>242.42</v>
      </c>
      <c r="H1237" t="str">
        <f>"General Conditions"</f>
        <v>General Conditions</v>
      </c>
    </row>
    <row r="1238" spans="1:8" x14ac:dyDescent="0.25">
      <c r="E1238" t="str">
        <f>"202108175269"</f>
        <v>202108175269</v>
      </c>
      <c r="F1238" t="str">
        <f>"Updates"</f>
        <v>Updates</v>
      </c>
      <c r="G1238" s="3">
        <v>7840</v>
      </c>
      <c r="H1238" t="str">
        <f>"Labor"</f>
        <v>Labor</v>
      </c>
    </row>
    <row r="1239" spans="1:8" x14ac:dyDescent="0.25">
      <c r="E1239" t="str">
        <f>""</f>
        <v/>
      </c>
      <c r="F1239" t="str">
        <f>""</f>
        <v/>
      </c>
      <c r="G1239" s="3">
        <v>1097.5999999999999</v>
      </c>
      <c r="H1239" t="str">
        <f>"Additional Repair"</f>
        <v>Additional Repair</v>
      </c>
    </row>
    <row r="1240" spans="1:8" x14ac:dyDescent="0.25">
      <c r="E1240" t="str">
        <f>""</f>
        <v/>
      </c>
      <c r="F1240" t="str">
        <f>""</f>
        <v/>
      </c>
      <c r="G1240" s="3">
        <v>4774.3</v>
      </c>
      <c r="H1240" t="str">
        <f>"Material/Freight"</f>
        <v>Material/Freight</v>
      </c>
    </row>
    <row r="1241" spans="1:8" x14ac:dyDescent="0.25">
      <c r="E1241" t="str">
        <f>""</f>
        <v/>
      </c>
      <c r="F1241" t="str">
        <f>""</f>
        <v/>
      </c>
      <c r="G1241" s="3">
        <v>382.35</v>
      </c>
      <c r="H1241" t="str">
        <f>"General Conditions"</f>
        <v>General Conditions</v>
      </c>
    </row>
    <row r="1242" spans="1:8" x14ac:dyDescent="0.25">
      <c r="E1242" t="str">
        <f>"202108175270"</f>
        <v>202108175270</v>
      </c>
      <c r="F1242" t="str">
        <f>"Updates 2.0"</f>
        <v>Updates 2.0</v>
      </c>
      <c r="G1242" s="3">
        <v>32469</v>
      </c>
      <c r="H1242" t="str">
        <f>"Brazos Urethane  Inc"</f>
        <v>Brazos Urethane  Inc</v>
      </c>
    </row>
    <row r="1243" spans="1:8" x14ac:dyDescent="0.25">
      <c r="A1243" t="s">
        <v>389</v>
      </c>
      <c r="B1243">
        <v>136821</v>
      </c>
      <c r="C1243" s="3">
        <v>262.5</v>
      </c>
      <c r="D1243" s="6">
        <v>44431</v>
      </c>
      <c r="E1243" t="str">
        <f>"1147639"</f>
        <v>1147639</v>
      </c>
      <c r="F1243" t="str">
        <f>"ACCT#60128/PCT#4"</f>
        <v>ACCT#60128/PCT#4</v>
      </c>
      <c r="G1243" s="3">
        <v>262.5</v>
      </c>
      <c r="H1243" t="str">
        <f>"ACCT#60128/PCT#4"</f>
        <v>ACCT#60128/PCT#4</v>
      </c>
    </row>
    <row r="1244" spans="1:8" x14ac:dyDescent="0.25">
      <c r="A1244" t="s">
        <v>189</v>
      </c>
      <c r="B1244">
        <v>136663</v>
      </c>
      <c r="C1244" s="3">
        <v>89.74</v>
      </c>
      <c r="D1244" s="6">
        <v>44417</v>
      </c>
      <c r="E1244" t="str">
        <f>"202108045043"</f>
        <v>202108045043</v>
      </c>
      <c r="F1244" t="str">
        <f>"ACCT#1595/BOOT CAMP"</f>
        <v>ACCT#1595/BOOT CAMP</v>
      </c>
      <c r="G1244" s="3">
        <v>89.74</v>
      </c>
      <c r="H1244" t="str">
        <f>"ACCT#1595/BOOT CAMP"</f>
        <v>ACCT#1595/BOOT CAMP</v>
      </c>
    </row>
    <row r="1245" spans="1:8" x14ac:dyDescent="0.25">
      <c r="A1245" t="s">
        <v>390</v>
      </c>
      <c r="B1245">
        <v>5000</v>
      </c>
      <c r="C1245" s="3">
        <v>12898.27</v>
      </c>
      <c r="D1245" s="6">
        <v>44432</v>
      </c>
      <c r="E1245" t="str">
        <f>"4317"</f>
        <v>4317</v>
      </c>
      <c r="F1245" t="str">
        <f>"DR-4272-029 HMGP"</f>
        <v>DR-4272-029 HMGP</v>
      </c>
      <c r="G1245" s="3">
        <v>4320</v>
      </c>
      <c r="H1245" t="str">
        <f>"DR-4272-029 HMGP"</f>
        <v>DR-4272-029 HMGP</v>
      </c>
    </row>
    <row r="1246" spans="1:8" x14ac:dyDescent="0.25">
      <c r="E1246" t="str">
        <f>"4353"</f>
        <v>4353</v>
      </c>
      <c r="F1246" t="str">
        <f>"SHILOH ROAD AUGF"</f>
        <v>SHILOH ROAD AUGF</v>
      </c>
      <c r="G1246" s="3">
        <v>3403.27</v>
      </c>
      <c r="H1246" t="str">
        <f>"SHILOH ROAD AUGF"</f>
        <v>SHILOH ROAD AUGF</v>
      </c>
    </row>
    <row r="1247" spans="1:8" x14ac:dyDescent="0.25">
      <c r="E1247" t="str">
        <f>"4372"</f>
        <v>4372</v>
      </c>
      <c r="F1247" t="str">
        <f>"DR-4272-029 HMGP"</f>
        <v>DR-4272-029 HMGP</v>
      </c>
      <c r="G1247" s="3">
        <v>4320</v>
      </c>
      <c r="H1247" t="str">
        <f>"DR-4272-029 HMGP"</f>
        <v>DR-4272-029 HMGP</v>
      </c>
    </row>
    <row r="1248" spans="1:8" x14ac:dyDescent="0.25">
      <c r="E1248" t="str">
        <f>"4377"</f>
        <v>4377</v>
      </c>
      <c r="F1248" t="str">
        <f>"DR-4466 HMGP GRANT"</f>
        <v>DR-4466 HMGP GRANT</v>
      </c>
      <c r="G1248" s="3">
        <v>855</v>
      </c>
      <c r="H1248" t="str">
        <f>"DR-4466 HMGP GRANT"</f>
        <v>DR-4466 HMGP GRANT</v>
      </c>
    </row>
    <row r="1249" spans="1:8" x14ac:dyDescent="0.25">
      <c r="A1249" t="s">
        <v>391</v>
      </c>
      <c r="B1249">
        <v>136822</v>
      </c>
      <c r="C1249" s="3">
        <v>7298.09</v>
      </c>
      <c r="D1249" s="6">
        <v>44431</v>
      </c>
      <c r="E1249" t="str">
        <f>"202108175267"</f>
        <v>202108175267</v>
      </c>
      <c r="F1249" t="str">
        <f>"Geotech Report"</f>
        <v>Geotech Report</v>
      </c>
      <c r="G1249" s="3">
        <v>7298.09</v>
      </c>
      <c r="H1249" t="str">
        <f>"Geotech Report"</f>
        <v>Geotech Report</v>
      </c>
    </row>
    <row r="1250" spans="1:8" x14ac:dyDescent="0.25">
      <c r="A1250" t="s">
        <v>202</v>
      </c>
      <c r="B1250">
        <v>4998</v>
      </c>
      <c r="C1250" s="3">
        <v>936</v>
      </c>
      <c r="D1250" s="6">
        <v>44432</v>
      </c>
      <c r="E1250" t="str">
        <f>"202108175279"</f>
        <v>202108175279</v>
      </c>
      <c r="F1250" t="str">
        <f>"TRASH/LONNIE DAVIS JR"</f>
        <v>TRASH/LONNIE DAVIS JR</v>
      </c>
      <c r="G1250" s="3">
        <v>936</v>
      </c>
      <c r="H1250" t="str">
        <f>"TRASH/LONNIE DAVIS JR"</f>
        <v>TRASH/LONNIE DAVIS JR</v>
      </c>
    </row>
    <row r="1251" spans="1:8" x14ac:dyDescent="0.25">
      <c r="A1251" t="s">
        <v>392</v>
      </c>
      <c r="B1251">
        <v>136823</v>
      </c>
      <c r="C1251" s="3">
        <v>6680.83</v>
      </c>
      <c r="D1251" s="6">
        <v>44431</v>
      </c>
      <c r="E1251" t="str">
        <f>"25018"</f>
        <v>25018</v>
      </c>
      <c r="F1251" t="str">
        <f>"MOTOROLA SOLUTIONS  IN.C"</f>
        <v>MOTOROLA SOLUTIONS  IN.C</v>
      </c>
      <c r="G1251" s="3">
        <v>6680.83</v>
      </c>
      <c r="H1251" t="str">
        <f>"APX8500"</f>
        <v>APX8500</v>
      </c>
    </row>
    <row r="1252" spans="1:8" x14ac:dyDescent="0.25">
      <c r="A1252" t="s">
        <v>275</v>
      </c>
      <c r="B1252">
        <v>136824</v>
      </c>
      <c r="C1252" s="3">
        <v>256.39999999999998</v>
      </c>
      <c r="D1252" s="6">
        <v>44431</v>
      </c>
      <c r="E1252" t="str">
        <f>"11558"</f>
        <v>11558</v>
      </c>
      <c r="F1252" t="str">
        <f>"JOB#1714/PCT#4"</f>
        <v>JOB#1714/PCT#4</v>
      </c>
      <c r="G1252" s="3">
        <v>256.39999999999998</v>
      </c>
      <c r="H1252" t="str">
        <f>"JOB#1714/PCT#4"</f>
        <v>JOB#1714/PCT#4</v>
      </c>
    </row>
    <row r="1253" spans="1:8" x14ac:dyDescent="0.25">
      <c r="A1253" t="s">
        <v>280</v>
      </c>
      <c r="B1253">
        <v>4994</v>
      </c>
      <c r="C1253" s="3">
        <v>780</v>
      </c>
      <c r="D1253" s="6">
        <v>44432</v>
      </c>
      <c r="E1253" t="str">
        <f>"202108185284"</f>
        <v>202108185284</v>
      </c>
      <c r="F1253" t="str">
        <f>"TRASH REMOVAL/PAUL GRANADO"</f>
        <v>TRASH REMOVAL/PAUL GRANADO</v>
      </c>
      <c r="G1253" s="3">
        <v>780</v>
      </c>
      <c r="H1253" t="str">
        <f>"TRASH REMOVAL/PAUL GRANADO"</f>
        <v>TRASH REMOVAL/PAUL GRANADO</v>
      </c>
    </row>
    <row r="1254" spans="1:8" x14ac:dyDescent="0.25">
      <c r="A1254" t="s">
        <v>393</v>
      </c>
      <c r="B1254">
        <v>136825</v>
      </c>
      <c r="C1254" s="3">
        <v>750</v>
      </c>
      <c r="D1254" s="6">
        <v>44431</v>
      </c>
      <c r="E1254" t="str">
        <f>"221077"</f>
        <v>221077</v>
      </c>
      <c r="F1254" t="str">
        <f>"INGREE-EGRESS PROFESSIONAL SVS"</f>
        <v>INGREE-EGRESS PROFESSIONAL SVS</v>
      </c>
      <c r="G1254" s="3">
        <v>750</v>
      </c>
      <c r="H1254" t="str">
        <f>"INGREE-EGRESS PROFESSIONAL SVS"</f>
        <v>INGREE-EGRESS PROFESSIONAL SVS</v>
      </c>
    </row>
    <row r="1255" spans="1:8" x14ac:dyDescent="0.25">
      <c r="A1255" t="s">
        <v>394</v>
      </c>
      <c r="B1255">
        <v>4995</v>
      </c>
      <c r="C1255" s="3">
        <v>461.5</v>
      </c>
      <c r="D1255" s="6">
        <v>44432</v>
      </c>
      <c r="E1255" t="str">
        <f>"202108185283"</f>
        <v>202108185283</v>
      </c>
      <c r="F1255" t="str">
        <f>"TRASH REMOVAL/STEVE GRANADO"</f>
        <v>TRASH REMOVAL/STEVE GRANADO</v>
      </c>
      <c r="G1255" s="3">
        <v>461.5</v>
      </c>
      <c r="H1255" t="str">
        <f>"TRASH REMOVAL/STEVE GRANADO"</f>
        <v>TRASH REMOVAL/STEVE GRANADO</v>
      </c>
    </row>
    <row r="1256" spans="1:8" x14ac:dyDescent="0.25">
      <c r="A1256" t="s">
        <v>339</v>
      </c>
      <c r="B1256">
        <v>136826</v>
      </c>
      <c r="C1256" s="3">
        <v>7399.24</v>
      </c>
      <c r="D1256" s="6">
        <v>44431</v>
      </c>
      <c r="E1256" t="str">
        <f>"1117383"</f>
        <v>1117383</v>
      </c>
      <c r="F1256" t="str">
        <f>"ACCT#01-0112917/PCT#4"</f>
        <v>ACCT#01-0112917/PCT#4</v>
      </c>
      <c r="G1256" s="3">
        <v>438.48</v>
      </c>
      <c r="H1256" t="str">
        <f>"ACCT#01-0112917/PCT#4"</f>
        <v>ACCT#01-0112917/PCT#4</v>
      </c>
    </row>
    <row r="1257" spans="1:8" x14ac:dyDescent="0.25">
      <c r="E1257" t="str">
        <f>"1117570"</f>
        <v>1117570</v>
      </c>
      <c r="F1257" t="str">
        <f>"ACCT#01-0112917/PCT#4"</f>
        <v>ACCT#01-0112917/PCT#4</v>
      </c>
      <c r="G1257" s="3">
        <v>6960.76</v>
      </c>
      <c r="H1257" t="str">
        <f>"ACCT#01-0112917/PCT#4"</f>
        <v>ACCT#01-0112917/PCT#4</v>
      </c>
    </row>
    <row r="1258" spans="1:8" x14ac:dyDescent="0.25">
      <c r="A1258" t="s">
        <v>376</v>
      </c>
      <c r="B1258">
        <v>4996</v>
      </c>
      <c r="C1258" s="3">
        <v>2785.98</v>
      </c>
      <c r="D1258" s="6">
        <v>44432</v>
      </c>
      <c r="E1258" t="str">
        <f>"21493"</f>
        <v>21493</v>
      </c>
      <c r="F1258" t="str">
        <f>"COLD MIX/PCT#4"</f>
        <v>COLD MIX/PCT#4</v>
      </c>
      <c r="G1258" s="3">
        <v>2785.98</v>
      </c>
      <c r="H1258" t="str">
        <f>"COLD MIX/PCT#4"</f>
        <v>COLD MIX/PCT#4</v>
      </c>
    </row>
    <row r="1259" spans="1:8" x14ac:dyDescent="0.25">
      <c r="A1259" t="s">
        <v>395</v>
      </c>
      <c r="B1259">
        <v>1278</v>
      </c>
      <c r="C1259" s="3">
        <v>4396.93</v>
      </c>
      <c r="D1259" s="6">
        <v>44435</v>
      </c>
      <c r="E1259" t="str">
        <f>"202108265378"</f>
        <v>202108265378</v>
      </c>
      <c r="F1259" t="str">
        <f>"ROUNDING - AUGUST 2021"</f>
        <v>ROUNDING - AUGUST 2021</v>
      </c>
      <c r="G1259" s="3">
        <v>0.03</v>
      </c>
      <c r="H1259" t="str">
        <f>"ALLSTATE-AMERICAN HERITAGE LIF"</f>
        <v>ALLSTATE-AMERICAN HERITAGE LIF</v>
      </c>
    </row>
    <row r="1260" spans="1:8" x14ac:dyDescent="0.25">
      <c r="E1260" t="str">
        <f>"AS 202108045059"</f>
        <v>AS 202108045059</v>
      </c>
      <c r="F1260" t="str">
        <f t="shared" ref="F1260:F1273" si="17">"ALLSTATE"</f>
        <v>ALLSTATE</v>
      </c>
      <c r="G1260" s="3">
        <v>388.52</v>
      </c>
      <c r="H1260" t="str">
        <f t="shared" ref="H1260:H1273" si="18">"ALLSTATE"</f>
        <v>ALLSTATE</v>
      </c>
    </row>
    <row r="1261" spans="1:8" x14ac:dyDescent="0.25">
      <c r="E1261" t="str">
        <f>"AS 202108045060"</f>
        <v>AS 202108045060</v>
      </c>
      <c r="F1261" t="str">
        <f t="shared" si="17"/>
        <v>ALLSTATE</v>
      </c>
      <c r="G1261" s="3">
        <v>27.14</v>
      </c>
      <c r="H1261" t="str">
        <f t="shared" si="18"/>
        <v>ALLSTATE</v>
      </c>
    </row>
    <row r="1262" spans="1:8" x14ac:dyDescent="0.25">
      <c r="E1262" t="str">
        <f>"AS 202108175280"</f>
        <v>AS 202108175280</v>
      </c>
      <c r="F1262" t="str">
        <f t="shared" si="17"/>
        <v>ALLSTATE</v>
      </c>
      <c r="G1262" s="3">
        <v>388.52</v>
      </c>
      <c r="H1262" t="str">
        <f t="shared" si="18"/>
        <v>ALLSTATE</v>
      </c>
    </row>
    <row r="1263" spans="1:8" x14ac:dyDescent="0.25">
      <c r="E1263" t="str">
        <f>"AS 202108175281"</f>
        <v>AS 202108175281</v>
      </c>
      <c r="F1263" t="str">
        <f t="shared" si="17"/>
        <v>ALLSTATE</v>
      </c>
      <c r="G1263" s="3">
        <v>27.14</v>
      </c>
      <c r="H1263" t="str">
        <f t="shared" si="18"/>
        <v>ALLSTATE</v>
      </c>
    </row>
    <row r="1264" spans="1:8" x14ac:dyDescent="0.25">
      <c r="E1264" t="str">
        <f>"ASD202108045059"</f>
        <v>ASD202108045059</v>
      </c>
      <c r="F1264" t="str">
        <f t="shared" si="17"/>
        <v>ALLSTATE</v>
      </c>
      <c r="G1264" s="3">
        <v>170.21</v>
      </c>
      <c r="H1264" t="str">
        <f t="shared" si="18"/>
        <v>ALLSTATE</v>
      </c>
    </row>
    <row r="1265" spans="1:8" x14ac:dyDescent="0.25">
      <c r="E1265" t="str">
        <f>"ASD202108175280"</f>
        <v>ASD202108175280</v>
      </c>
      <c r="F1265" t="str">
        <f t="shared" si="17"/>
        <v>ALLSTATE</v>
      </c>
      <c r="G1265" s="3">
        <v>170.21</v>
      </c>
      <c r="H1265" t="str">
        <f t="shared" si="18"/>
        <v>ALLSTATE</v>
      </c>
    </row>
    <row r="1266" spans="1:8" x14ac:dyDescent="0.25">
      <c r="E1266" t="str">
        <f>"ASI202108045059"</f>
        <v>ASI202108045059</v>
      </c>
      <c r="F1266" t="str">
        <f t="shared" si="17"/>
        <v>ALLSTATE</v>
      </c>
      <c r="G1266" s="3">
        <v>532.82000000000005</v>
      </c>
      <c r="H1266" t="str">
        <f t="shared" si="18"/>
        <v>ALLSTATE</v>
      </c>
    </row>
    <row r="1267" spans="1:8" x14ac:dyDescent="0.25">
      <c r="E1267" t="str">
        <f>"ASI202108045060"</f>
        <v>ASI202108045060</v>
      </c>
      <c r="F1267" t="str">
        <f t="shared" si="17"/>
        <v>ALLSTATE</v>
      </c>
      <c r="G1267" s="3">
        <v>67.150000000000006</v>
      </c>
      <c r="H1267" t="str">
        <f t="shared" si="18"/>
        <v>ALLSTATE</v>
      </c>
    </row>
    <row r="1268" spans="1:8" x14ac:dyDescent="0.25">
      <c r="E1268" t="str">
        <f>"ASI202108175280"</f>
        <v>ASI202108175280</v>
      </c>
      <c r="F1268" t="str">
        <f t="shared" si="17"/>
        <v>ALLSTATE</v>
      </c>
      <c r="G1268" s="3">
        <v>532.82000000000005</v>
      </c>
      <c r="H1268" t="str">
        <f t="shared" si="18"/>
        <v>ALLSTATE</v>
      </c>
    </row>
    <row r="1269" spans="1:8" x14ac:dyDescent="0.25">
      <c r="E1269" t="str">
        <f>"ASI202108175281"</f>
        <v>ASI202108175281</v>
      </c>
      <c r="F1269" t="str">
        <f t="shared" si="17"/>
        <v>ALLSTATE</v>
      </c>
      <c r="G1269" s="3">
        <v>67.150000000000006</v>
      </c>
      <c r="H1269" t="str">
        <f t="shared" si="18"/>
        <v>ALLSTATE</v>
      </c>
    </row>
    <row r="1270" spans="1:8" x14ac:dyDescent="0.25">
      <c r="E1270" t="str">
        <f>"AST202108045059"</f>
        <v>AST202108045059</v>
      </c>
      <c r="F1270" t="str">
        <f t="shared" si="17"/>
        <v>ALLSTATE</v>
      </c>
      <c r="G1270" s="3">
        <v>981.2</v>
      </c>
      <c r="H1270" t="str">
        <f t="shared" si="18"/>
        <v>ALLSTATE</v>
      </c>
    </row>
    <row r="1271" spans="1:8" x14ac:dyDescent="0.25">
      <c r="E1271" t="str">
        <f>"AST202108045060"</f>
        <v>AST202108045060</v>
      </c>
      <c r="F1271" t="str">
        <f t="shared" si="17"/>
        <v>ALLSTATE</v>
      </c>
      <c r="G1271" s="3">
        <v>31.41</v>
      </c>
      <c r="H1271" t="str">
        <f t="shared" si="18"/>
        <v>ALLSTATE</v>
      </c>
    </row>
    <row r="1272" spans="1:8" x14ac:dyDescent="0.25">
      <c r="E1272" t="str">
        <f>"AST202108175280"</f>
        <v>AST202108175280</v>
      </c>
      <c r="F1272" t="str">
        <f t="shared" si="17"/>
        <v>ALLSTATE</v>
      </c>
      <c r="G1272" s="3">
        <v>981.2</v>
      </c>
      <c r="H1272" t="str">
        <f t="shared" si="18"/>
        <v>ALLSTATE</v>
      </c>
    </row>
    <row r="1273" spans="1:8" x14ac:dyDescent="0.25">
      <c r="E1273" t="str">
        <f>"AST202108175281"</f>
        <v>AST202108175281</v>
      </c>
      <c r="F1273" t="str">
        <f t="shared" si="17"/>
        <v>ALLSTATE</v>
      </c>
      <c r="G1273" s="3">
        <v>31.41</v>
      </c>
      <c r="H1273" t="str">
        <f t="shared" si="18"/>
        <v>ALLSTATE</v>
      </c>
    </row>
    <row r="1274" spans="1:8" x14ac:dyDescent="0.25">
      <c r="A1274" t="s">
        <v>396</v>
      </c>
      <c r="B1274">
        <v>1274</v>
      </c>
      <c r="C1274" s="3">
        <v>26638.959999999999</v>
      </c>
      <c r="D1274" s="6">
        <v>44435</v>
      </c>
      <c r="E1274" t="str">
        <f>"202108265386"</f>
        <v>202108265386</v>
      </c>
      <c r="F1274" t="str">
        <f>"RETIREE INS - AUGUST 2021"</f>
        <v>RETIREE INS - AUGUST 2021</v>
      </c>
      <c r="G1274" s="3">
        <v>26638.959999999999</v>
      </c>
      <c r="H1274" t="str">
        <f>"RETIREE INS - AUGUST 2021"</f>
        <v>RETIREE INS - AUGUST 2021</v>
      </c>
    </row>
    <row r="1275" spans="1:8" x14ac:dyDescent="0.25">
      <c r="A1275" t="s">
        <v>397</v>
      </c>
      <c r="B1275">
        <v>1220</v>
      </c>
      <c r="C1275" s="3">
        <v>1757.39</v>
      </c>
      <c r="D1275" s="6">
        <v>44414</v>
      </c>
      <c r="E1275" t="str">
        <f>"DHM202108045061"</f>
        <v>DHM202108045061</v>
      </c>
      <c r="F1275" t="str">
        <f>"AP - DENTAL HMO"</f>
        <v>AP - DENTAL HMO</v>
      </c>
      <c r="G1275" s="3">
        <v>33.590000000000003</v>
      </c>
      <c r="H1275" t="str">
        <f>"AP - DENTAL HMO"</f>
        <v>AP - DENTAL HMO</v>
      </c>
    </row>
    <row r="1276" spans="1:8" x14ac:dyDescent="0.25">
      <c r="E1276" t="str">
        <f>"DTX202108045061"</f>
        <v>DTX202108045061</v>
      </c>
      <c r="F1276" t="str">
        <f>"AP - TEXAS DENTAL"</f>
        <v>AP - TEXAS DENTAL</v>
      </c>
      <c r="G1276" s="3">
        <v>326.47000000000003</v>
      </c>
      <c r="H1276" t="str">
        <f>"AP - TEXAS DENTAL"</f>
        <v>AP - TEXAS DENTAL</v>
      </c>
    </row>
    <row r="1277" spans="1:8" x14ac:dyDescent="0.25">
      <c r="E1277" t="str">
        <f>"FD 202108045061"</f>
        <v>FD 202108045061</v>
      </c>
      <c r="F1277" t="str">
        <f>"AP - FT DEARBORN PRE-TAX"</f>
        <v>AP - FT DEARBORN PRE-TAX</v>
      </c>
      <c r="G1277" s="3">
        <v>65.84</v>
      </c>
      <c r="H1277" t="str">
        <f>"AP - FT DEARBORN PRE-TAX"</f>
        <v>AP - FT DEARBORN PRE-TAX</v>
      </c>
    </row>
    <row r="1278" spans="1:8" x14ac:dyDescent="0.25">
      <c r="E1278" t="str">
        <f>"FDT202108045061"</f>
        <v>FDT202108045061</v>
      </c>
      <c r="F1278" t="str">
        <f>"AP - FT DEARBORN AFTER TAX"</f>
        <v>AP - FT DEARBORN AFTER TAX</v>
      </c>
      <c r="G1278" s="3">
        <v>65.209999999999994</v>
      </c>
      <c r="H1278" t="str">
        <f>"AP - FT DEARBORN AFTER TAX"</f>
        <v>AP - FT DEARBORN AFTER TAX</v>
      </c>
    </row>
    <row r="1279" spans="1:8" x14ac:dyDescent="0.25">
      <c r="E1279" t="str">
        <f>"FLX202108045061"</f>
        <v>FLX202108045061</v>
      </c>
      <c r="F1279" t="str">
        <f>"AP - TEX FLEX"</f>
        <v>AP - TEX FLEX</v>
      </c>
      <c r="G1279" s="3">
        <v>94.5</v>
      </c>
      <c r="H1279" t="str">
        <f>"AP - TEX FLEX"</f>
        <v>AP - TEX FLEX</v>
      </c>
    </row>
    <row r="1280" spans="1:8" x14ac:dyDescent="0.25">
      <c r="E1280" t="str">
        <f>"HSA202108045061"</f>
        <v>HSA202108045061</v>
      </c>
      <c r="F1280" t="str">
        <f>"AP- HSA"</f>
        <v>AP- HSA</v>
      </c>
      <c r="G1280" s="3">
        <v>20</v>
      </c>
      <c r="H1280" t="str">
        <f>"AP- HSA"</f>
        <v>AP- HSA</v>
      </c>
    </row>
    <row r="1281" spans="1:8" x14ac:dyDescent="0.25">
      <c r="E1281" t="str">
        <f>"MHS202108045061"</f>
        <v>MHS202108045061</v>
      </c>
      <c r="F1281" t="str">
        <f>"AP - HEALTH SELECT MEDICAL"</f>
        <v>AP - HEALTH SELECT MEDICAL</v>
      </c>
      <c r="G1281" s="3">
        <v>718.14</v>
      </c>
      <c r="H1281" t="str">
        <f>"AP - HEALTH SELECT MEDICAL"</f>
        <v>AP - HEALTH SELECT MEDICAL</v>
      </c>
    </row>
    <row r="1282" spans="1:8" x14ac:dyDescent="0.25">
      <c r="E1282" t="str">
        <f>"MSW202108045061"</f>
        <v>MSW202108045061</v>
      </c>
      <c r="F1282" t="str">
        <f>"AP - SCOTT &amp; WHITE MEDICAL"</f>
        <v>AP - SCOTT &amp; WHITE MEDICAL</v>
      </c>
      <c r="G1282" s="3">
        <v>372.42</v>
      </c>
      <c r="H1282" t="str">
        <f>"AP - SCOTT &amp; WHITE MEDICAL"</f>
        <v>AP - SCOTT &amp; WHITE MEDICAL</v>
      </c>
    </row>
    <row r="1283" spans="1:8" x14ac:dyDescent="0.25">
      <c r="E1283" t="str">
        <f>"SPE202108045061"</f>
        <v>SPE202108045061</v>
      </c>
      <c r="F1283" t="str">
        <f>"AP - STATE VISION"</f>
        <v>AP - STATE VISION</v>
      </c>
      <c r="G1283" s="3">
        <v>61.22</v>
      </c>
      <c r="H1283" t="str">
        <f>"AP - STATE VISION"</f>
        <v>AP - STATE VISION</v>
      </c>
    </row>
    <row r="1284" spans="1:8" x14ac:dyDescent="0.25">
      <c r="A1284" t="s">
        <v>397</v>
      </c>
      <c r="B1284">
        <v>1268</v>
      </c>
      <c r="C1284" s="3">
        <v>1757.39</v>
      </c>
      <c r="D1284" s="6">
        <v>44428</v>
      </c>
      <c r="E1284" t="str">
        <f>"DHM202108175282"</f>
        <v>DHM202108175282</v>
      </c>
      <c r="F1284" t="str">
        <f>"AP - DENTAL HMO"</f>
        <v>AP - DENTAL HMO</v>
      </c>
      <c r="G1284" s="3">
        <v>33.590000000000003</v>
      </c>
      <c r="H1284" t="str">
        <f>"AP - DENTAL HMO"</f>
        <v>AP - DENTAL HMO</v>
      </c>
    </row>
    <row r="1285" spans="1:8" x14ac:dyDescent="0.25">
      <c r="E1285" t="str">
        <f>"DTX202108175282"</f>
        <v>DTX202108175282</v>
      </c>
      <c r="F1285" t="str">
        <f>"AP - TEXAS DENTAL"</f>
        <v>AP - TEXAS DENTAL</v>
      </c>
      <c r="G1285" s="3">
        <v>326.47000000000003</v>
      </c>
      <c r="H1285" t="str">
        <f>"AP - TEXAS DENTAL"</f>
        <v>AP - TEXAS DENTAL</v>
      </c>
    </row>
    <row r="1286" spans="1:8" x14ac:dyDescent="0.25">
      <c r="E1286" t="str">
        <f>"FD 202108175282"</f>
        <v>FD 202108175282</v>
      </c>
      <c r="F1286" t="str">
        <f>"AP - FT DEARBORN PRE-TAX"</f>
        <v>AP - FT DEARBORN PRE-TAX</v>
      </c>
      <c r="G1286" s="3">
        <v>65.84</v>
      </c>
      <c r="H1286" t="str">
        <f>"AP - FT DEARBORN PRE-TAX"</f>
        <v>AP - FT DEARBORN PRE-TAX</v>
      </c>
    </row>
    <row r="1287" spans="1:8" x14ac:dyDescent="0.25">
      <c r="E1287" t="str">
        <f>"FDT202108175282"</f>
        <v>FDT202108175282</v>
      </c>
      <c r="F1287" t="str">
        <f>"AP - FT DEARBORN AFTER TAX"</f>
        <v>AP - FT DEARBORN AFTER TAX</v>
      </c>
      <c r="G1287" s="3">
        <v>65.209999999999994</v>
      </c>
      <c r="H1287" t="str">
        <f>"AP - FT DEARBORN AFTER TAX"</f>
        <v>AP - FT DEARBORN AFTER TAX</v>
      </c>
    </row>
    <row r="1288" spans="1:8" x14ac:dyDescent="0.25">
      <c r="E1288" t="str">
        <f>"FLX202108175282"</f>
        <v>FLX202108175282</v>
      </c>
      <c r="F1288" t="str">
        <f>"AP - TEX FLEX"</f>
        <v>AP - TEX FLEX</v>
      </c>
      <c r="G1288" s="3">
        <v>94.5</v>
      </c>
      <c r="H1288" t="str">
        <f>"AP - TEX FLEX"</f>
        <v>AP - TEX FLEX</v>
      </c>
    </row>
    <row r="1289" spans="1:8" x14ac:dyDescent="0.25">
      <c r="E1289" t="str">
        <f>"HSA202108175282"</f>
        <v>HSA202108175282</v>
      </c>
      <c r="F1289" t="str">
        <f>"AP- HSA"</f>
        <v>AP- HSA</v>
      </c>
      <c r="G1289" s="3">
        <v>20</v>
      </c>
      <c r="H1289" t="str">
        <f>"AP- HSA"</f>
        <v>AP- HSA</v>
      </c>
    </row>
    <row r="1290" spans="1:8" x14ac:dyDescent="0.25">
      <c r="E1290" t="str">
        <f>"MHS202108175282"</f>
        <v>MHS202108175282</v>
      </c>
      <c r="F1290" t="str">
        <f>"AP - HEALTH SELECT MEDICAL"</f>
        <v>AP - HEALTH SELECT MEDICAL</v>
      </c>
      <c r="G1290" s="3">
        <v>718.14</v>
      </c>
      <c r="H1290" t="str">
        <f>"AP - HEALTH SELECT MEDICAL"</f>
        <v>AP - HEALTH SELECT MEDICAL</v>
      </c>
    </row>
    <row r="1291" spans="1:8" x14ac:dyDescent="0.25">
      <c r="E1291" t="str">
        <f>"MSW202108175282"</f>
        <v>MSW202108175282</v>
      </c>
      <c r="F1291" t="str">
        <f>"AP - SCOTT &amp; WHITE MEDICAL"</f>
        <v>AP - SCOTT &amp; WHITE MEDICAL</v>
      </c>
      <c r="G1291" s="3">
        <v>372.42</v>
      </c>
      <c r="H1291" t="str">
        <f>"AP - SCOTT &amp; WHITE MEDICAL"</f>
        <v>AP - SCOTT &amp; WHITE MEDICAL</v>
      </c>
    </row>
    <row r="1292" spans="1:8" x14ac:dyDescent="0.25">
      <c r="E1292" t="str">
        <f>"SPE202108175282"</f>
        <v>SPE202108175282</v>
      </c>
      <c r="F1292" t="str">
        <f>"AP - STATE VISION"</f>
        <v>AP - STATE VISION</v>
      </c>
      <c r="G1292" s="3">
        <v>61.22</v>
      </c>
      <c r="H1292" t="str">
        <f>"AP - STATE VISION"</f>
        <v>AP - STATE VISION</v>
      </c>
    </row>
    <row r="1293" spans="1:8" x14ac:dyDescent="0.25">
      <c r="A1293" t="s">
        <v>398</v>
      </c>
      <c r="B1293">
        <v>1279</v>
      </c>
      <c r="C1293" s="3">
        <v>4134.92</v>
      </c>
      <c r="D1293" s="6">
        <v>44435</v>
      </c>
      <c r="E1293" t="str">
        <f>"202108265379"</f>
        <v>202108265379</v>
      </c>
      <c r="F1293" t="str">
        <f>"ROUNDING - AUGUST 2021"</f>
        <v>ROUNDING - AUGUST 2021</v>
      </c>
      <c r="G1293" s="3">
        <v>0.38</v>
      </c>
      <c r="H1293" t="str">
        <f>"ROUNDING - AUGUST 2021"</f>
        <v>ROUNDING - AUGUST 2021</v>
      </c>
    </row>
    <row r="1294" spans="1:8" x14ac:dyDescent="0.25">
      <c r="E1294" t="str">
        <f>"202108265380"</f>
        <v>202108265380</v>
      </c>
      <c r="F1294" t="str">
        <f>"ADJ - AUGUST 2021 - K STABENO"</f>
        <v>ADJ - AUGUST 2021 - K STABENO</v>
      </c>
      <c r="G1294" s="3">
        <v>15.73</v>
      </c>
      <c r="H1294" t="str">
        <f>"ADJ - AUGUST 2021 - K STABENO"</f>
        <v>ADJ - AUGUST 2021 - K STABENO</v>
      </c>
    </row>
    <row r="1295" spans="1:8" x14ac:dyDescent="0.25">
      <c r="E1295" t="str">
        <f>"CL 202108045059"</f>
        <v>CL 202108045059</v>
      </c>
      <c r="F1295" t="str">
        <f t="shared" ref="F1295:F1313" si="19">"COLONIAL"</f>
        <v>COLONIAL</v>
      </c>
      <c r="G1295" s="3">
        <v>522.99</v>
      </c>
      <c r="H1295" t="str">
        <f t="shared" ref="H1295:H1313" si="20">"COLONIAL"</f>
        <v>COLONIAL</v>
      </c>
    </row>
    <row r="1296" spans="1:8" x14ac:dyDescent="0.25">
      <c r="E1296" t="str">
        <f>"CL 202108045060"</f>
        <v>CL 202108045060</v>
      </c>
      <c r="F1296" t="str">
        <f t="shared" si="19"/>
        <v>COLONIAL</v>
      </c>
      <c r="G1296" s="3">
        <v>14.49</v>
      </c>
      <c r="H1296" t="str">
        <f t="shared" si="20"/>
        <v>COLONIAL</v>
      </c>
    </row>
    <row r="1297" spans="5:8" x14ac:dyDescent="0.25">
      <c r="E1297" t="str">
        <f>"CL 202108175280"</f>
        <v>CL 202108175280</v>
      </c>
      <c r="F1297" t="str">
        <f t="shared" si="19"/>
        <v>COLONIAL</v>
      </c>
      <c r="G1297" s="3">
        <v>522.99</v>
      </c>
      <c r="H1297" t="str">
        <f t="shared" si="20"/>
        <v>COLONIAL</v>
      </c>
    </row>
    <row r="1298" spans="5:8" x14ac:dyDescent="0.25">
      <c r="E1298" t="str">
        <f>"CL 202108175281"</f>
        <v>CL 202108175281</v>
      </c>
      <c r="F1298" t="str">
        <f t="shared" si="19"/>
        <v>COLONIAL</v>
      </c>
      <c r="G1298" s="3">
        <v>14.49</v>
      </c>
      <c r="H1298" t="str">
        <f t="shared" si="20"/>
        <v>COLONIAL</v>
      </c>
    </row>
    <row r="1299" spans="5:8" x14ac:dyDescent="0.25">
      <c r="E1299" t="str">
        <f>"CLC202108045059"</f>
        <v>CLC202108045059</v>
      </c>
      <c r="F1299" t="str">
        <f t="shared" si="19"/>
        <v>COLONIAL</v>
      </c>
      <c r="G1299" s="3">
        <v>33.99</v>
      </c>
      <c r="H1299" t="str">
        <f t="shared" si="20"/>
        <v>COLONIAL</v>
      </c>
    </row>
    <row r="1300" spans="5:8" x14ac:dyDescent="0.25">
      <c r="E1300" t="str">
        <f>"CLC202108175280"</f>
        <v>CLC202108175280</v>
      </c>
      <c r="F1300" t="str">
        <f t="shared" si="19"/>
        <v>COLONIAL</v>
      </c>
      <c r="G1300" s="3">
        <v>33.99</v>
      </c>
      <c r="H1300" t="str">
        <f t="shared" si="20"/>
        <v>COLONIAL</v>
      </c>
    </row>
    <row r="1301" spans="5:8" x14ac:dyDescent="0.25">
      <c r="E1301" t="str">
        <f>"CLI202108045059"</f>
        <v>CLI202108045059</v>
      </c>
      <c r="F1301" t="str">
        <f t="shared" si="19"/>
        <v>COLONIAL</v>
      </c>
      <c r="G1301" s="3">
        <v>510.74</v>
      </c>
      <c r="H1301" t="str">
        <f t="shared" si="20"/>
        <v>COLONIAL</v>
      </c>
    </row>
    <row r="1302" spans="5:8" x14ac:dyDescent="0.25">
      <c r="E1302" t="str">
        <f>"CLI202108175280"</f>
        <v>CLI202108175280</v>
      </c>
      <c r="F1302" t="str">
        <f t="shared" si="19"/>
        <v>COLONIAL</v>
      </c>
      <c r="G1302" s="3">
        <v>510.74</v>
      </c>
      <c r="H1302" t="str">
        <f t="shared" si="20"/>
        <v>COLONIAL</v>
      </c>
    </row>
    <row r="1303" spans="5:8" x14ac:dyDescent="0.25">
      <c r="E1303" t="str">
        <f>"CLK202108045059"</f>
        <v>CLK202108045059</v>
      </c>
      <c r="F1303" t="str">
        <f t="shared" si="19"/>
        <v>COLONIAL</v>
      </c>
      <c r="G1303" s="3">
        <v>27.09</v>
      </c>
      <c r="H1303" t="str">
        <f t="shared" si="20"/>
        <v>COLONIAL</v>
      </c>
    </row>
    <row r="1304" spans="5:8" x14ac:dyDescent="0.25">
      <c r="E1304" t="str">
        <f>"CLK202108175280"</f>
        <v>CLK202108175280</v>
      </c>
      <c r="F1304" t="str">
        <f t="shared" si="19"/>
        <v>COLONIAL</v>
      </c>
      <c r="G1304" s="3">
        <v>27.09</v>
      </c>
      <c r="H1304" t="str">
        <f t="shared" si="20"/>
        <v>COLONIAL</v>
      </c>
    </row>
    <row r="1305" spans="5:8" x14ac:dyDescent="0.25">
      <c r="E1305" t="str">
        <f>"CLS202108045059"</f>
        <v>CLS202108045059</v>
      </c>
      <c r="F1305" t="str">
        <f t="shared" si="19"/>
        <v>COLONIAL</v>
      </c>
      <c r="G1305" s="3">
        <v>354.01</v>
      </c>
      <c r="H1305" t="str">
        <f t="shared" si="20"/>
        <v>COLONIAL</v>
      </c>
    </row>
    <row r="1306" spans="5:8" x14ac:dyDescent="0.25">
      <c r="E1306" t="str">
        <f>"CLS202108045060"</f>
        <v>CLS202108045060</v>
      </c>
      <c r="F1306" t="str">
        <f t="shared" si="19"/>
        <v>COLONIAL</v>
      </c>
      <c r="G1306" s="3">
        <v>15.73</v>
      </c>
      <c r="H1306" t="str">
        <f t="shared" si="20"/>
        <v>COLONIAL</v>
      </c>
    </row>
    <row r="1307" spans="5:8" x14ac:dyDescent="0.25">
      <c r="E1307" t="str">
        <f>"CLS202108175280"</f>
        <v>CLS202108175280</v>
      </c>
      <c r="F1307" t="str">
        <f t="shared" si="19"/>
        <v>COLONIAL</v>
      </c>
      <c r="G1307" s="3">
        <v>354.01</v>
      </c>
      <c r="H1307" t="str">
        <f t="shared" si="20"/>
        <v>COLONIAL</v>
      </c>
    </row>
    <row r="1308" spans="5:8" x14ac:dyDescent="0.25">
      <c r="E1308" t="str">
        <f>"CLT202108045059"</f>
        <v>CLT202108045059</v>
      </c>
      <c r="F1308" t="str">
        <f t="shared" si="19"/>
        <v>COLONIAL</v>
      </c>
      <c r="G1308" s="3">
        <v>260.32</v>
      </c>
      <c r="H1308" t="str">
        <f t="shared" si="20"/>
        <v>COLONIAL</v>
      </c>
    </row>
    <row r="1309" spans="5:8" x14ac:dyDescent="0.25">
      <c r="E1309" t="str">
        <f>"CLT202108175280"</f>
        <v>CLT202108175280</v>
      </c>
      <c r="F1309" t="str">
        <f t="shared" si="19"/>
        <v>COLONIAL</v>
      </c>
      <c r="G1309" s="3">
        <v>260.32</v>
      </c>
      <c r="H1309" t="str">
        <f t="shared" si="20"/>
        <v>COLONIAL</v>
      </c>
    </row>
    <row r="1310" spans="5:8" x14ac:dyDescent="0.25">
      <c r="E1310" t="str">
        <f>"CLU202108045059"</f>
        <v>CLU202108045059</v>
      </c>
      <c r="F1310" t="str">
        <f t="shared" si="19"/>
        <v>COLONIAL</v>
      </c>
      <c r="G1310" s="3">
        <v>61.22</v>
      </c>
      <c r="H1310" t="str">
        <f t="shared" si="20"/>
        <v>COLONIAL</v>
      </c>
    </row>
    <row r="1311" spans="5:8" x14ac:dyDescent="0.25">
      <c r="E1311" t="str">
        <f>"CLU202108175280"</f>
        <v>CLU202108175280</v>
      </c>
      <c r="F1311" t="str">
        <f t="shared" si="19"/>
        <v>COLONIAL</v>
      </c>
      <c r="G1311" s="3">
        <v>61.22</v>
      </c>
      <c r="H1311" t="str">
        <f t="shared" si="20"/>
        <v>COLONIAL</v>
      </c>
    </row>
    <row r="1312" spans="5:8" x14ac:dyDescent="0.25">
      <c r="E1312" t="str">
        <f>"CLW202108045059"</f>
        <v>CLW202108045059</v>
      </c>
      <c r="F1312" t="str">
        <f t="shared" si="19"/>
        <v>COLONIAL</v>
      </c>
      <c r="G1312" s="3">
        <v>266.69</v>
      </c>
      <c r="H1312" t="str">
        <f t="shared" si="20"/>
        <v>COLONIAL</v>
      </c>
    </row>
    <row r="1313" spans="1:8" x14ac:dyDescent="0.25">
      <c r="E1313" t="str">
        <f>"CLW202108175280"</f>
        <v>CLW202108175280</v>
      </c>
      <c r="F1313" t="str">
        <f t="shared" si="19"/>
        <v>COLONIAL</v>
      </c>
      <c r="G1313" s="3">
        <v>266.69</v>
      </c>
      <c r="H1313" t="str">
        <f t="shared" si="20"/>
        <v>COLONIAL</v>
      </c>
    </row>
    <row r="1314" spans="1:8" x14ac:dyDescent="0.25">
      <c r="A1314" t="s">
        <v>399</v>
      </c>
      <c r="B1314">
        <v>1221</v>
      </c>
      <c r="C1314" s="3">
        <v>7037.54</v>
      </c>
      <c r="D1314" s="6">
        <v>44414</v>
      </c>
      <c r="E1314" t="str">
        <f>"CPI202108045059"</f>
        <v>CPI202108045059</v>
      </c>
      <c r="F1314" t="str">
        <f>"DEFERRED COMP 457B PAYABLE"</f>
        <v>DEFERRED COMP 457B PAYABLE</v>
      </c>
      <c r="G1314" s="3">
        <v>6942.54</v>
      </c>
      <c r="H1314" t="str">
        <f>"DEFERRED COMP 457B PAYABLE"</f>
        <v>DEFERRED COMP 457B PAYABLE</v>
      </c>
    </row>
    <row r="1315" spans="1:8" x14ac:dyDescent="0.25">
      <c r="E1315" t="str">
        <f>"CPI202108045060"</f>
        <v>CPI202108045060</v>
      </c>
      <c r="F1315" t="str">
        <f>"DEFERRED COMP 457B PAYABLE"</f>
        <v>DEFERRED COMP 457B PAYABLE</v>
      </c>
      <c r="G1315" s="3">
        <v>95</v>
      </c>
      <c r="H1315" t="str">
        <f>"DEFERRED COMP 457B PAYABLE"</f>
        <v>DEFERRED COMP 457B PAYABLE</v>
      </c>
    </row>
    <row r="1316" spans="1:8" x14ac:dyDescent="0.25">
      <c r="A1316" t="s">
        <v>399</v>
      </c>
      <c r="B1316">
        <v>1269</v>
      </c>
      <c r="C1316" s="3">
        <v>7037.54</v>
      </c>
      <c r="D1316" s="6">
        <v>44428</v>
      </c>
      <c r="E1316" t="str">
        <f>"CPI202108175280"</f>
        <v>CPI202108175280</v>
      </c>
      <c r="F1316" t="str">
        <f>"DEFERRED COMP 457B PAYABLE"</f>
        <v>DEFERRED COMP 457B PAYABLE</v>
      </c>
      <c r="G1316" s="3">
        <v>6942.54</v>
      </c>
      <c r="H1316" t="str">
        <f>"DEFERRED COMP 457B PAYABLE"</f>
        <v>DEFERRED COMP 457B PAYABLE</v>
      </c>
    </row>
    <row r="1317" spans="1:8" x14ac:dyDescent="0.25">
      <c r="E1317" t="str">
        <f>"CPI202108175281"</f>
        <v>CPI202108175281</v>
      </c>
      <c r="F1317" t="str">
        <f>"DEFERRED COMP 457B PAYABLE"</f>
        <v>DEFERRED COMP 457B PAYABLE</v>
      </c>
      <c r="G1317" s="3">
        <v>95</v>
      </c>
      <c r="H1317" t="str">
        <f>"DEFERRED COMP 457B PAYABLE"</f>
        <v>DEFERRED COMP 457B PAYABLE</v>
      </c>
    </row>
    <row r="1318" spans="1:8" x14ac:dyDescent="0.25">
      <c r="A1318" t="s">
        <v>400</v>
      </c>
      <c r="B1318">
        <v>1275</v>
      </c>
      <c r="C1318" s="3">
        <v>42153.85</v>
      </c>
      <c r="D1318" s="6">
        <v>44435</v>
      </c>
      <c r="E1318" t="str">
        <f>"202108265383"</f>
        <v>202108265383</v>
      </c>
      <c r="F1318" t="str">
        <f>"RETIREE INS - AUGUST 2021"</f>
        <v>RETIREE INS - AUGUST 2021</v>
      </c>
      <c r="G1318" s="3">
        <v>3321.71</v>
      </c>
      <c r="H1318" t="str">
        <f>"RETIREE INS - AUGUST 2021"</f>
        <v>RETIREE INS - AUGUST 2021</v>
      </c>
    </row>
    <row r="1319" spans="1:8" x14ac:dyDescent="0.25">
      <c r="E1319" t="str">
        <f>"202108265384"</f>
        <v>202108265384</v>
      </c>
      <c r="F1319" t="str">
        <f>"COBRA INS - AUGUST 2021"</f>
        <v>COBRA INS - AUGUST 2021</v>
      </c>
      <c r="G1319" s="3">
        <v>207.7</v>
      </c>
      <c r="H1319" t="str">
        <f>"COBRA INS - AUGUST 2021"</f>
        <v>COBRA INS - AUGUST 2021</v>
      </c>
    </row>
    <row r="1320" spans="1:8" x14ac:dyDescent="0.25">
      <c r="E1320" t="str">
        <f>"202108265385"</f>
        <v>202108265385</v>
      </c>
      <c r="F1320" t="str">
        <f>"ADJ - AUGUST 2021"</f>
        <v>ADJ - AUGUST 2021</v>
      </c>
      <c r="G1320" s="3">
        <v>51.21</v>
      </c>
      <c r="H1320" t="str">
        <f>"ADJ - AUGUST 2021"</f>
        <v>ADJ - AUGUST 2021</v>
      </c>
    </row>
    <row r="1321" spans="1:8" x14ac:dyDescent="0.25">
      <c r="E1321" t="str">
        <f>"ADC202108045059"</f>
        <v>ADC202108045059</v>
      </c>
      <c r="F1321" t="str">
        <f t="shared" ref="F1321:F1333" si="21">"GUARDIAN"</f>
        <v>GUARDIAN</v>
      </c>
      <c r="G1321" s="3">
        <v>4.6900000000000004</v>
      </c>
      <c r="H1321" t="str">
        <f t="shared" ref="H1321:H1384" si="22">"GUARDIAN"</f>
        <v>GUARDIAN</v>
      </c>
    </row>
    <row r="1322" spans="1:8" x14ac:dyDescent="0.25">
      <c r="E1322" t="str">
        <f>"ADC202108045060"</f>
        <v>ADC202108045060</v>
      </c>
      <c r="F1322" t="str">
        <f t="shared" si="21"/>
        <v>GUARDIAN</v>
      </c>
      <c r="G1322" s="3">
        <v>0.16</v>
      </c>
      <c r="H1322" t="str">
        <f t="shared" si="22"/>
        <v>GUARDIAN</v>
      </c>
    </row>
    <row r="1323" spans="1:8" x14ac:dyDescent="0.25">
      <c r="E1323" t="str">
        <f>"ADC202108175280"</f>
        <v>ADC202108175280</v>
      </c>
      <c r="F1323" t="str">
        <f t="shared" si="21"/>
        <v>GUARDIAN</v>
      </c>
      <c r="G1323" s="3">
        <v>4.6900000000000004</v>
      </c>
      <c r="H1323" t="str">
        <f t="shared" si="22"/>
        <v>GUARDIAN</v>
      </c>
    </row>
    <row r="1324" spans="1:8" x14ac:dyDescent="0.25">
      <c r="E1324" t="str">
        <f>"ADC202108175281"</f>
        <v>ADC202108175281</v>
      </c>
      <c r="F1324" t="str">
        <f t="shared" si="21"/>
        <v>GUARDIAN</v>
      </c>
      <c r="G1324" s="3">
        <v>0.16</v>
      </c>
      <c r="H1324" t="str">
        <f t="shared" si="22"/>
        <v>GUARDIAN</v>
      </c>
    </row>
    <row r="1325" spans="1:8" x14ac:dyDescent="0.25">
      <c r="E1325" t="str">
        <f>"ADE202108045059"</f>
        <v>ADE202108045059</v>
      </c>
      <c r="F1325" t="str">
        <f t="shared" si="21"/>
        <v>GUARDIAN</v>
      </c>
      <c r="G1325" s="3">
        <v>228.77</v>
      </c>
      <c r="H1325" t="str">
        <f t="shared" si="22"/>
        <v>GUARDIAN</v>
      </c>
    </row>
    <row r="1326" spans="1:8" x14ac:dyDescent="0.25">
      <c r="E1326" t="str">
        <f>"ADE202108045060"</f>
        <v>ADE202108045060</v>
      </c>
      <c r="F1326" t="str">
        <f t="shared" si="21"/>
        <v>GUARDIAN</v>
      </c>
      <c r="G1326" s="3">
        <v>5.55</v>
      </c>
      <c r="H1326" t="str">
        <f t="shared" si="22"/>
        <v>GUARDIAN</v>
      </c>
    </row>
    <row r="1327" spans="1:8" x14ac:dyDescent="0.25">
      <c r="E1327" t="str">
        <f>"ADE202108175280"</f>
        <v>ADE202108175280</v>
      </c>
      <c r="F1327" t="str">
        <f t="shared" si="21"/>
        <v>GUARDIAN</v>
      </c>
      <c r="G1327" s="3">
        <v>228.77</v>
      </c>
      <c r="H1327" t="str">
        <f t="shared" si="22"/>
        <v>GUARDIAN</v>
      </c>
    </row>
    <row r="1328" spans="1:8" x14ac:dyDescent="0.25">
      <c r="E1328" t="str">
        <f>"ADE202108175281"</f>
        <v>ADE202108175281</v>
      </c>
      <c r="F1328" t="str">
        <f t="shared" si="21"/>
        <v>GUARDIAN</v>
      </c>
      <c r="G1328" s="3">
        <v>5.55</v>
      </c>
      <c r="H1328" t="str">
        <f t="shared" si="22"/>
        <v>GUARDIAN</v>
      </c>
    </row>
    <row r="1329" spans="5:8" x14ac:dyDescent="0.25">
      <c r="E1329" t="str">
        <f>"ADS202108045059"</f>
        <v>ADS202108045059</v>
      </c>
      <c r="F1329" t="str">
        <f t="shared" si="21"/>
        <v>GUARDIAN</v>
      </c>
      <c r="G1329" s="3">
        <v>40.74</v>
      </c>
      <c r="H1329" t="str">
        <f t="shared" si="22"/>
        <v>GUARDIAN</v>
      </c>
    </row>
    <row r="1330" spans="5:8" x14ac:dyDescent="0.25">
      <c r="E1330" t="str">
        <f>"ADS202108045060"</f>
        <v>ADS202108045060</v>
      </c>
      <c r="F1330" t="str">
        <f t="shared" si="21"/>
        <v>GUARDIAN</v>
      </c>
      <c r="G1330" s="3">
        <v>0.53</v>
      </c>
      <c r="H1330" t="str">
        <f t="shared" si="22"/>
        <v>GUARDIAN</v>
      </c>
    </row>
    <row r="1331" spans="5:8" x14ac:dyDescent="0.25">
      <c r="E1331" t="str">
        <f>"ADS202108175280"</f>
        <v>ADS202108175280</v>
      </c>
      <c r="F1331" t="str">
        <f t="shared" si="21"/>
        <v>GUARDIAN</v>
      </c>
      <c r="G1331" s="3">
        <v>40.74</v>
      </c>
      <c r="H1331" t="str">
        <f t="shared" si="22"/>
        <v>GUARDIAN</v>
      </c>
    </row>
    <row r="1332" spans="5:8" x14ac:dyDescent="0.25">
      <c r="E1332" t="str">
        <f>"ADS202108175281"</f>
        <v>ADS202108175281</v>
      </c>
      <c r="F1332" t="str">
        <f t="shared" si="21"/>
        <v>GUARDIAN</v>
      </c>
      <c r="G1332" s="3">
        <v>0.53</v>
      </c>
      <c r="H1332" t="str">
        <f t="shared" si="22"/>
        <v>GUARDIAN</v>
      </c>
    </row>
    <row r="1333" spans="5:8" x14ac:dyDescent="0.25">
      <c r="E1333" t="str">
        <f>"GDC202108045059"</f>
        <v>GDC202108045059</v>
      </c>
      <c r="F1333" t="str">
        <f t="shared" si="21"/>
        <v>GUARDIAN</v>
      </c>
      <c r="G1333" s="3">
        <v>14.38</v>
      </c>
      <c r="H1333" t="str">
        <f t="shared" si="22"/>
        <v>GUARDIAN</v>
      </c>
    </row>
    <row r="1334" spans="5:8" x14ac:dyDescent="0.25">
      <c r="E1334" t="str">
        <f>""</f>
        <v/>
      </c>
      <c r="F1334" t="str">
        <f>""</f>
        <v/>
      </c>
      <c r="G1334" s="3">
        <v>30.78</v>
      </c>
      <c r="H1334" t="str">
        <f t="shared" si="22"/>
        <v>GUARDIAN</v>
      </c>
    </row>
    <row r="1335" spans="5:8" x14ac:dyDescent="0.25">
      <c r="E1335" t="str">
        <f>""</f>
        <v/>
      </c>
      <c r="F1335" t="str">
        <f>""</f>
        <v/>
      </c>
      <c r="G1335" s="3">
        <v>46.17</v>
      </c>
      <c r="H1335" t="str">
        <f t="shared" si="22"/>
        <v>GUARDIAN</v>
      </c>
    </row>
    <row r="1336" spans="5:8" x14ac:dyDescent="0.25">
      <c r="E1336" t="str">
        <f>""</f>
        <v/>
      </c>
      <c r="F1336" t="str">
        <f>""</f>
        <v/>
      </c>
      <c r="G1336" s="3">
        <v>15.39</v>
      </c>
      <c r="H1336" t="str">
        <f t="shared" si="22"/>
        <v>GUARDIAN</v>
      </c>
    </row>
    <row r="1337" spans="5:8" x14ac:dyDescent="0.25">
      <c r="E1337" t="str">
        <f>""</f>
        <v/>
      </c>
      <c r="F1337" t="str">
        <f>""</f>
        <v/>
      </c>
      <c r="G1337" s="3">
        <v>13.21</v>
      </c>
      <c r="H1337" t="str">
        <f t="shared" si="22"/>
        <v>GUARDIAN</v>
      </c>
    </row>
    <row r="1338" spans="5:8" x14ac:dyDescent="0.25">
      <c r="E1338" t="str">
        <f>""</f>
        <v/>
      </c>
      <c r="F1338" t="str">
        <f>""</f>
        <v/>
      </c>
      <c r="G1338" s="3">
        <v>15.39</v>
      </c>
      <c r="H1338" t="str">
        <f t="shared" si="22"/>
        <v>GUARDIAN</v>
      </c>
    </row>
    <row r="1339" spans="5:8" x14ac:dyDescent="0.25">
      <c r="E1339" t="str">
        <f>""</f>
        <v/>
      </c>
      <c r="F1339" t="str">
        <f>""</f>
        <v/>
      </c>
      <c r="G1339" s="3">
        <v>61.56</v>
      </c>
      <c r="H1339" t="str">
        <f t="shared" si="22"/>
        <v>GUARDIAN</v>
      </c>
    </row>
    <row r="1340" spans="5:8" x14ac:dyDescent="0.25">
      <c r="E1340" t="str">
        <f>""</f>
        <v/>
      </c>
      <c r="F1340" t="str">
        <f>""</f>
        <v/>
      </c>
      <c r="G1340" s="3">
        <v>15.39</v>
      </c>
      <c r="H1340" t="str">
        <f t="shared" si="22"/>
        <v>GUARDIAN</v>
      </c>
    </row>
    <row r="1341" spans="5:8" x14ac:dyDescent="0.25">
      <c r="E1341" t="str">
        <f>""</f>
        <v/>
      </c>
      <c r="F1341" t="str">
        <f>""</f>
        <v/>
      </c>
      <c r="G1341" s="3">
        <v>30.78</v>
      </c>
      <c r="H1341" t="str">
        <f t="shared" si="22"/>
        <v>GUARDIAN</v>
      </c>
    </row>
    <row r="1342" spans="5:8" x14ac:dyDescent="0.25">
      <c r="E1342" t="str">
        <f>""</f>
        <v/>
      </c>
      <c r="F1342" t="str">
        <f>""</f>
        <v/>
      </c>
      <c r="G1342" s="3">
        <v>15.18</v>
      </c>
      <c r="H1342" t="str">
        <f t="shared" si="22"/>
        <v>GUARDIAN</v>
      </c>
    </row>
    <row r="1343" spans="5:8" x14ac:dyDescent="0.25">
      <c r="E1343" t="str">
        <f>""</f>
        <v/>
      </c>
      <c r="F1343" t="str">
        <f>""</f>
        <v/>
      </c>
      <c r="G1343" s="3">
        <v>46.17</v>
      </c>
      <c r="H1343" t="str">
        <f t="shared" si="22"/>
        <v>GUARDIAN</v>
      </c>
    </row>
    <row r="1344" spans="5:8" x14ac:dyDescent="0.25">
      <c r="E1344" t="str">
        <f>""</f>
        <v/>
      </c>
      <c r="F1344" t="str">
        <f>""</f>
        <v/>
      </c>
      <c r="G1344" s="3">
        <v>15.39</v>
      </c>
      <c r="H1344" t="str">
        <f t="shared" si="22"/>
        <v>GUARDIAN</v>
      </c>
    </row>
    <row r="1345" spans="5:8" x14ac:dyDescent="0.25">
      <c r="E1345" t="str">
        <f>""</f>
        <v/>
      </c>
      <c r="F1345" t="str">
        <f>""</f>
        <v/>
      </c>
      <c r="G1345" s="3">
        <v>15.39</v>
      </c>
      <c r="H1345" t="str">
        <f t="shared" si="22"/>
        <v>GUARDIAN</v>
      </c>
    </row>
    <row r="1346" spans="5:8" x14ac:dyDescent="0.25">
      <c r="E1346" t="str">
        <f>""</f>
        <v/>
      </c>
      <c r="F1346" t="str">
        <f>""</f>
        <v/>
      </c>
      <c r="G1346" s="3">
        <v>46.17</v>
      </c>
      <c r="H1346" t="str">
        <f t="shared" si="22"/>
        <v>GUARDIAN</v>
      </c>
    </row>
    <row r="1347" spans="5:8" x14ac:dyDescent="0.25">
      <c r="E1347" t="str">
        <f>""</f>
        <v/>
      </c>
      <c r="F1347" t="str">
        <f>""</f>
        <v/>
      </c>
      <c r="G1347" s="3">
        <v>15.39</v>
      </c>
      <c r="H1347" t="str">
        <f t="shared" si="22"/>
        <v>GUARDIAN</v>
      </c>
    </row>
    <row r="1348" spans="5:8" x14ac:dyDescent="0.25">
      <c r="E1348" t="str">
        <f>""</f>
        <v/>
      </c>
      <c r="F1348" t="str">
        <f>""</f>
        <v/>
      </c>
      <c r="G1348" s="3">
        <v>30.78</v>
      </c>
      <c r="H1348" t="str">
        <f t="shared" si="22"/>
        <v>GUARDIAN</v>
      </c>
    </row>
    <row r="1349" spans="5:8" x14ac:dyDescent="0.25">
      <c r="E1349" t="str">
        <f>""</f>
        <v/>
      </c>
      <c r="F1349" t="str">
        <f>""</f>
        <v/>
      </c>
      <c r="G1349" s="3">
        <v>15.39</v>
      </c>
      <c r="H1349" t="str">
        <f t="shared" si="22"/>
        <v>GUARDIAN</v>
      </c>
    </row>
    <row r="1350" spans="5:8" x14ac:dyDescent="0.25">
      <c r="E1350" t="str">
        <f>""</f>
        <v/>
      </c>
      <c r="F1350" t="str">
        <f>""</f>
        <v/>
      </c>
      <c r="G1350" s="3">
        <v>61.56</v>
      </c>
      <c r="H1350" t="str">
        <f t="shared" si="22"/>
        <v>GUARDIAN</v>
      </c>
    </row>
    <row r="1351" spans="5:8" x14ac:dyDescent="0.25">
      <c r="E1351" t="str">
        <f>""</f>
        <v/>
      </c>
      <c r="F1351" t="str">
        <f>""</f>
        <v/>
      </c>
      <c r="G1351" s="3">
        <v>15.39</v>
      </c>
      <c r="H1351" t="str">
        <f t="shared" si="22"/>
        <v>GUARDIAN</v>
      </c>
    </row>
    <row r="1352" spans="5:8" x14ac:dyDescent="0.25">
      <c r="E1352" t="str">
        <f>""</f>
        <v/>
      </c>
      <c r="F1352" t="str">
        <f>""</f>
        <v/>
      </c>
      <c r="G1352" s="3">
        <v>15.39</v>
      </c>
      <c r="H1352" t="str">
        <f t="shared" si="22"/>
        <v>GUARDIAN</v>
      </c>
    </row>
    <row r="1353" spans="5:8" x14ac:dyDescent="0.25">
      <c r="E1353" t="str">
        <f>""</f>
        <v/>
      </c>
      <c r="F1353" t="str">
        <f>""</f>
        <v/>
      </c>
      <c r="G1353" s="3">
        <v>265.29000000000002</v>
      </c>
      <c r="H1353" t="str">
        <f t="shared" si="22"/>
        <v>GUARDIAN</v>
      </c>
    </row>
    <row r="1354" spans="5:8" x14ac:dyDescent="0.25">
      <c r="E1354" t="str">
        <f>""</f>
        <v/>
      </c>
      <c r="F1354" t="str">
        <f>""</f>
        <v/>
      </c>
      <c r="G1354" s="3">
        <v>14.92</v>
      </c>
      <c r="H1354" t="str">
        <f t="shared" si="22"/>
        <v>GUARDIAN</v>
      </c>
    </row>
    <row r="1355" spans="5:8" x14ac:dyDescent="0.25">
      <c r="E1355" t="str">
        <f>""</f>
        <v/>
      </c>
      <c r="F1355" t="str">
        <f>""</f>
        <v/>
      </c>
      <c r="G1355" s="3">
        <v>243.05</v>
      </c>
      <c r="H1355" t="str">
        <f t="shared" si="22"/>
        <v>GUARDIAN</v>
      </c>
    </row>
    <row r="1356" spans="5:8" x14ac:dyDescent="0.25">
      <c r="E1356" t="str">
        <f>""</f>
        <v/>
      </c>
      <c r="F1356" t="str">
        <f>""</f>
        <v/>
      </c>
      <c r="G1356" s="3">
        <v>15.39</v>
      </c>
      <c r="H1356" t="str">
        <f t="shared" si="22"/>
        <v>GUARDIAN</v>
      </c>
    </row>
    <row r="1357" spans="5:8" x14ac:dyDescent="0.25">
      <c r="E1357" t="str">
        <f>""</f>
        <v/>
      </c>
      <c r="F1357" t="str">
        <f>""</f>
        <v/>
      </c>
      <c r="G1357" s="3">
        <v>15.39</v>
      </c>
      <c r="H1357" t="str">
        <f t="shared" si="22"/>
        <v>GUARDIAN</v>
      </c>
    </row>
    <row r="1358" spans="5:8" x14ac:dyDescent="0.25">
      <c r="E1358" t="str">
        <f>""</f>
        <v/>
      </c>
      <c r="F1358" t="str">
        <f>""</f>
        <v/>
      </c>
      <c r="G1358" s="3">
        <v>15.39</v>
      </c>
      <c r="H1358" t="str">
        <f t="shared" si="22"/>
        <v>GUARDIAN</v>
      </c>
    </row>
    <row r="1359" spans="5:8" x14ac:dyDescent="0.25">
      <c r="E1359" t="str">
        <f>""</f>
        <v/>
      </c>
      <c r="F1359" t="str">
        <f>""</f>
        <v/>
      </c>
      <c r="G1359" s="3">
        <v>1.01</v>
      </c>
      <c r="H1359" t="str">
        <f t="shared" si="22"/>
        <v>GUARDIAN</v>
      </c>
    </row>
    <row r="1360" spans="5:8" x14ac:dyDescent="0.25">
      <c r="E1360" t="str">
        <f>""</f>
        <v/>
      </c>
      <c r="F1360" t="str">
        <f>""</f>
        <v/>
      </c>
      <c r="G1360" s="3">
        <v>15.39</v>
      </c>
      <c r="H1360" t="str">
        <f t="shared" si="22"/>
        <v>GUARDIAN</v>
      </c>
    </row>
    <row r="1361" spans="5:8" x14ac:dyDescent="0.25">
      <c r="E1361" t="str">
        <f>""</f>
        <v/>
      </c>
      <c r="F1361" t="str">
        <f>""</f>
        <v/>
      </c>
      <c r="G1361" s="3">
        <v>46.17</v>
      </c>
      <c r="H1361" t="str">
        <f t="shared" si="22"/>
        <v>GUARDIAN</v>
      </c>
    </row>
    <row r="1362" spans="5:8" x14ac:dyDescent="0.25">
      <c r="E1362" t="str">
        <f>""</f>
        <v/>
      </c>
      <c r="F1362" t="str">
        <f>""</f>
        <v/>
      </c>
      <c r="G1362" s="3">
        <v>30.78</v>
      </c>
      <c r="H1362" t="str">
        <f t="shared" si="22"/>
        <v>GUARDIAN</v>
      </c>
    </row>
    <row r="1363" spans="5:8" x14ac:dyDescent="0.25">
      <c r="E1363" t="str">
        <f>""</f>
        <v/>
      </c>
      <c r="F1363" t="str">
        <f>""</f>
        <v/>
      </c>
      <c r="G1363" s="3">
        <v>30.78</v>
      </c>
      <c r="H1363" t="str">
        <f t="shared" si="22"/>
        <v>GUARDIAN</v>
      </c>
    </row>
    <row r="1364" spans="5:8" x14ac:dyDescent="0.25">
      <c r="E1364" t="str">
        <f>""</f>
        <v/>
      </c>
      <c r="F1364" t="str">
        <f>""</f>
        <v/>
      </c>
      <c r="G1364" s="3">
        <v>0.21</v>
      </c>
      <c r="H1364" t="str">
        <f t="shared" si="22"/>
        <v>GUARDIAN</v>
      </c>
    </row>
    <row r="1365" spans="5:8" x14ac:dyDescent="0.25">
      <c r="E1365" t="str">
        <f>""</f>
        <v/>
      </c>
      <c r="F1365" t="str">
        <f>""</f>
        <v/>
      </c>
      <c r="G1365" s="3">
        <v>2.1800000000000002</v>
      </c>
      <c r="H1365" t="str">
        <f t="shared" si="22"/>
        <v>GUARDIAN</v>
      </c>
    </row>
    <row r="1366" spans="5:8" x14ac:dyDescent="0.25">
      <c r="E1366" t="str">
        <f>""</f>
        <v/>
      </c>
      <c r="F1366" t="str">
        <f>""</f>
        <v/>
      </c>
      <c r="G1366" s="3">
        <v>1467.03</v>
      </c>
      <c r="H1366" t="str">
        <f t="shared" si="22"/>
        <v>GUARDIAN</v>
      </c>
    </row>
    <row r="1367" spans="5:8" x14ac:dyDescent="0.25">
      <c r="E1367" t="str">
        <f>"GDC202108045060"</f>
        <v>GDC202108045060</v>
      </c>
      <c r="F1367" t="str">
        <f>"GUARDIAN"</f>
        <v>GUARDIAN</v>
      </c>
      <c r="G1367" s="3">
        <v>46.17</v>
      </c>
      <c r="H1367" t="str">
        <f t="shared" si="22"/>
        <v>GUARDIAN</v>
      </c>
    </row>
    <row r="1368" spans="5:8" x14ac:dyDescent="0.25">
      <c r="E1368" t="str">
        <f>""</f>
        <v/>
      </c>
      <c r="F1368" t="str">
        <f>""</f>
        <v/>
      </c>
      <c r="G1368" s="3">
        <v>55.71</v>
      </c>
      <c r="H1368" t="str">
        <f t="shared" si="22"/>
        <v>GUARDIAN</v>
      </c>
    </row>
    <row r="1369" spans="5:8" x14ac:dyDescent="0.25">
      <c r="E1369" t="str">
        <f>"GDC202108175280"</f>
        <v>GDC202108175280</v>
      </c>
      <c r="F1369" t="str">
        <f>"GUARDIAN"</f>
        <v>GUARDIAN</v>
      </c>
      <c r="G1369" s="3">
        <v>14.67</v>
      </c>
      <c r="H1369" t="str">
        <f t="shared" si="22"/>
        <v>GUARDIAN</v>
      </c>
    </row>
    <row r="1370" spans="5:8" x14ac:dyDescent="0.25">
      <c r="E1370" t="str">
        <f>""</f>
        <v/>
      </c>
      <c r="F1370" t="str">
        <f>""</f>
        <v/>
      </c>
      <c r="G1370" s="3">
        <v>30.78</v>
      </c>
      <c r="H1370" t="str">
        <f t="shared" si="22"/>
        <v>GUARDIAN</v>
      </c>
    </row>
    <row r="1371" spans="5:8" x14ac:dyDescent="0.25">
      <c r="E1371" t="str">
        <f>""</f>
        <v/>
      </c>
      <c r="F1371" t="str">
        <f>""</f>
        <v/>
      </c>
      <c r="G1371" s="3">
        <v>46.17</v>
      </c>
      <c r="H1371" t="str">
        <f t="shared" si="22"/>
        <v>GUARDIAN</v>
      </c>
    </row>
    <row r="1372" spans="5:8" x14ac:dyDescent="0.25">
      <c r="E1372" t="str">
        <f>""</f>
        <v/>
      </c>
      <c r="F1372" t="str">
        <f>""</f>
        <v/>
      </c>
      <c r="G1372" s="3">
        <v>15.39</v>
      </c>
      <c r="H1372" t="str">
        <f t="shared" si="22"/>
        <v>GUARDIAN</v>
      </c>
    </row>
    <row r="1373" spans="5:8" x14ac:dyDescent="0.25">
      <c r="E1373" t="str">
        <f>""</f>
        <v/>
      </c>
      <c r="F1373" t="str">
        <f>""</f>
        <v/>
      </c>
      <c r="G1373" s="3">
        <v>13.21</v>
      </c>
      <c r="H1373" t="str">
        <f t="shared" si="22"/>
        <v>GUARDIAN</v>
      </c>
    </row>
    <row r="1374" spans="5:8" x14ac:dyDescent="0.25">
      <c r="E1374" t="str">
        <f>""</f>
        <v/>
      </c>
      <c r="F1374" t="str">
        <f>""</f>
        <v/>
      </c>
      <c r="G1374" s="3">
        <v>15.39</v>
      </c>
      <c r="H1374" t="str">
        <f t="shared" si="22"/>
        <v>GUARDIAN</v>
      </c>
    </row>
    <row r="1375" spans="5:8" x14ac:dyDescent="0.25">
      <c r="E1375" t="str">
        <f>""</f>
        <v/>
      </c>
      <c r="F1375" t="str">
        <f>""</f>
        <v/>
      </c>
      <c r="G1375" s="3">
        <v>61.56</v>
      </c>
      <c r="H1375" t="str">
        <f t="shared" si="22"/>
        <v>GUARDIAN</v>
      </c>
    </row>
    <row r="1376" spans="5:8" x14ac:dyDescent="0.25">
      <c r="E1376" t="str">
        <f>""</f>
        <v/>
      </c>
      <c r="F1376" t="str">
        <f>""</f>
        <v/>
      </c>
      <c r="G1376" s="3">
        <v>15.39</v>
      </c>
      <c r="H1376" t="str">
        <f t="shared" si="22"/>
        <v>GUARDIAN</v>
      </c>
    </row>
    <row r="1377" spans="5:8" x14ac:dyDescent="0.25">
      <c r="E1377" t="str">
        <f>""</f>
        <v/>
      </c>
      <c r="F1377" t="str">
        <f>""</f>
        <v/>
      </c>
      <c r="G1377" s="3">
        <v>30.78</v>
      </c>
      <c r="H1377" t="str">
        <f t="shared" si="22"/>
        <v>GUARDIAN</v>
      </c>
    </row>
    <row r="1378" spans="5:8" x14ac:dyDescent="0.25">
      <c r="E1378" t="str">
        <f>""</f>
        <v/>
      </c>
      <c r="F1378" t="str">
        <f>""</f>
        <v/>
      </c>
      <c r="G1378" s="3">
        <v>15.18</v>
      </c>
      <c r="H1378" t="str">
        <f t="shared" si="22"/>
        <v>GUARDIAN</v>
      </c>
    </row>
    <row r="1379" spans="5:8" x14ac:dyDescent="0.25">
      <c r="E1379" t="str">
        <f>""</f>
        <v/>
      </c>
      <c r="F1379" t="str">
        <f>""</f>
        <v/>
      </c>
      <c r="G1379" s="3">
        <v>46.17</v>
      </c>
      <c r="H1379" t="str">
        <f t="shared" si="22"/>
        <v>GUARDIAN</v>
      </c>
    </row>
    <row r="1380" spans="5:8" x14ac:dyDescent="0.25">
      <c r="E1380" t="str">
        <f>""</f>
        <v/>
      </c>
      <c r="F1380" t="str">
        <f>""</f>
        <v/>
      </c>
      <c r="G1380" s="3">
        <v>15.39</v>
      </c>
      <c r="H1380" t="str">
        <f t="shared" si="22"/>
        <v>GUARDIAN</v>
      </c>
    </row>
    <row r="1381" spans="5:8" x14ac:dyDescent="0.25">
      <c r="E1381" t="str">
        <f>""</f>
        <v/>
      </c>
      <c r="F1381" t="str">
        <f>""</f>
        <v/>
      </c>
      <c r="G1381" s="3">
        <v>15.39</v>
      </c>
      <c r="H1381" t="str">
        <f t="shared" si="22"/>
        <v>GUARDIAN</v>
      </c>
    </row>
    <row r="1382" spans="5:8" x14ac:dyDescent="0.25">
      <c r="E1382" t="str">
        <f>""</f>
        <v/>
      </c>
      <c r="F1382" t="str">
        <f>""</f>
        <v/>
      </c>
      <c r="G1382" s="3">
        <v>46.17</v>
      </c>
      <c r="H1382" t="str">
        <f t="shared" si="22"/>
        <v>GUARDIAN</v>
      </c>
    </row>
    <row r="1383" spans="5:8" x14ac:dyDescent="0.25">
      <c r="E1383" t="str">
        <f>""</f>
        <v/>
      </c>
      <c r="F1383" t="str">
        <f>""</f>
        <v/>
      </c>
      <c r="G1383" s="3">
        <v>15.39</v>
      </c>
      <c r="H1383" t="str">
        <f t="shared" si="22"/>
        <v>GUARDIAN</v>
      </c>
    </row>
    <row r="1384" spans="5:8" x14ac:dyDescent="0.25">
      <c r="E1384" t="str">
        <f>""</f>
        <v/>
      </c>
      <c r="F1384" t="str">
        <f>""</f>
        <v/>
      </c>
      <c r="G1384" s="3">
        <v>30.78</v>
      </c>
      <c r="H1384" t="str">
        <f t="shared" si="22"/>
        <v>GUARDIAN</v>
      </c>
    </row>
    <row r="1385" spans="5:8" x14ac:dyDescent="0.25">
      <c r="E1385" t="str">
        <f>""</f>
        <v/>
      </c>
      <c r="F1385" t="str">
        <f>""</f>
        <v/>
      </c>
      <c r="G1385" s="3">
        <v>15.39</v>
      </c>
      <c r="H1385" t="str">
        <f t="shared" ref="H1385:H1448" si="23">"GUARDIAN"</f>
        <v>GUARDIAN</v>
      </c>
    </row>
    <row r="1386" spans="5:8" x14ac:dyDescent="0.25">
      <c r="E1386" t="str">
        <f>""</f>
        <v/>
      </c>
      <c r="F1386" t="str">
        <f>""</f>
        <v/>
      </c>
      <c r="G1386" s="3">
        <v>61.56</v>
      </c>
      <c r="H1386" t="str">
        <f t="shared" si="23"/>
        <v>GUARDIAN</v>
      </c>
    </row>
    <row r="1387" spans="5:8" x14ac:dyDescent="0.25">
      <c r="E1387" t="str">
        <f>""</f>
        <v/>
      </c>
      <c r="F1387" t="str">
        <f>""</f>
        <v/>
      </c>
      <c r="G1387" s="3">
        <v>15.39</v>
      </c>
      <c r="H1387" t="str">
        <f t="shared" si="23"/>
        <v>GUARDIAN</v>
      </c>
    </row>
    <row r="1388" spans="5:8" x14ac:dyDescent="0.25">
      <c r="E1388" t="str">
        <f>""</f>
        <v/>
      </c>
      <c r="F1388" t="str">
        <f>""</f>
        <v/>
      </c>
      <c r="G1388" s="3">
        <v>15.39</v>
      </c>
      <c r="H1388" t="str">
        <f t="shared" si="23"/>
        <v>GUARDIAN</v>
      </c>
    </row>
    <row r="1389" spans="5:8" x14ac:dyDescent="0.25">
      <c r="E1389" t="str">
        <f>""</f>
        <v/>
      </c>
      <c r="F1389" t="str">
        <f>""</f>
        <v/>
      </c>
      <c r="G1389" s="3">
        <v>265.45</v>
      </c>
      <c r="H1389" t="str">
        <f t="shared" si="23"/>
        <v>GUARDIAN</v>
      </c>
    </row>
    <row r="1390" spans="5:8" x14ac:dyDescent="0.25">
      <c r="E1390" t="str">
        <f>""</f>
        <v/>
      </c>
      <c r="F1390" t="str">
        <f>""</f>
        <v/>
      </c>
      <c r="G1390" s="3">
        <v>14.92</v>
      </c>
      <c r="H1390" t="str">
        <f t="shared" si="23"/>
        <v>GUARDIAN</v>
      </c>
    </row>
    <row r="1391" spans="5:8" x14ac:dyDescent="0.25">
      <c r="E1391" t="str">
        <f>""</f>
        <v/>
      </c>
      <c r="F1391" t="str">
        <f>""</f>
        <v/>
      </c>
      <c r="G1391" s="3">
        <v>242.89</v>
      </c>
      <c r="H1391" t="str">
        <f t="shared" si="23"/>
        <v>GUARDIAN</v>
      </c>
    </row>
    <row r="1392" spans="5:8" x14ac:dyDescent="0.25">
      <c r="E1392" t="str">
        <f>""</f>
        <v/>
      </c>
      <c r="F1392" t="str">
        <f>""</f>
        <v/>
      </c>
      <c r="G1392" s="3">
        <v>15.39</v>
      </c>
      <c r="H1392" t="str">
        <f t="shared" si="23"/>
        <v>GUARDIAN</v>
      </c>
    </row>
    <row r="1393" spans="5:8" x14ac:dyDescent="0.25">
      <c r="E1393" t="str">
        <f>""</f>
        <v/>
      </c>
      <c r="F1393" t="str">
        <f>""</f>
        <v/>
      </c>
      <c r="G1393" s="3">
        <v>15.39</v>
      </c>
      <c r="H1393" t="str">
        <f t="shared" si="23"/>
        <v>GUARDIAN</v>
      </c>
    </row>
    <row r="1394" spans="5:8" x14ac:dyDescent="0.25">
      <c r="E1394" t="str">
        <f>""</f>
        <v/>
      </c>
      <c r="F1394" t="str">
        <f>""</f>
        <v/>
      </c>
      <c r="G1394" s="3">
        <v>15.39</v>
      </c>
      <c r="H1394" t="str">
        <f t="shared" si="23"/>
        <v>GUARDIAN</v>
      </c>
    </row>
    <row r="1395" spans="5:8" x14ac:dyDescent="0.25">
      <c r="E1395" t="str">
        <f>""</f>
        <v/>
      </c>
      <c r="F1395" t="str">
        <f>""</f>
        <v/>
      </c>
      <c r="G1395" s="3">
        <v>0.72</v>
      </c>
      <c r="H1395" t="str">
        <f t="shared" si="23"/>
        <v>GUARDIAN</v>
      </c>
    </row>
    <row r="1396" spans="5:8" x14ac:dyDescent="0.25">
      <c r="E1396" t="str">
        <f>""</f>
        <v/>
      </c>
      <c r="F1396" t="str">
        <f>""</f>
        <v/>
      </c>
      <c r="G1396" s="3">
        <v>15.39</v>
      </c>
      <c r="H1396" t="str">
        <f t="shared" si="23"/>
        <v>GUARDIAN</v>
      </c>
    </row>
    <row r="1397" spans="5:8" x14ac:dyDescent="0.25">
      <c r="E1397" t="str">
        <f>""</f>
        <v/>
      </c>
      <c r="F1397" t="str">
        <f>""</f>
        <v/>
      </c>
      <c r="G1397" s="3">
        <v>46.17</v>
      </c>
      <c r="H1397" t="str">
        <f t="shared" si="23"/>
        <v>GUARDIAN</v>
      </c>
    </row>
    <row r="1398" spans="5:8" x14ac:dyDescent="0.25">
      <c r="E1398" t="str">
        <f>""</f>
        <v/>
      </c>
      <c r="F1398" t="str">
        <f>""</f>
        <v/>
      </c>
      <c r="G1398" s="3">
        <v>30.78</v>
      </c>
      <c r="H1398" t="str">
        <f t="shared" si="23"/>
        <v>GUARDIAN</v>
      </c>
    </row>
    <row r="1399" spans="5:8" x14ac:dyDescent="0.25">
      <c r="E1399" t="str">
        <f>""</f>
        <v/>
      </c>
      <c r="F1399" t="str">
        <f>""</f>
        <v/>
      </c>
      <c r="G1399" s="3">
        <v>30.78</v>
      </c>
      <c r="H1399" t="str">
        <f t="shared" si="23"/>
        <v>GUARDIAN</v>
      </c>
    </row>
    <row r="1400" spans="5:8" x14ac:dyDescent="0.25">
      <c r="E1400" t="str">
        <f>""</f>
        <v/>
      </c>
      <c r="F1400" t="str">
        <f>""</f>
        <v/>
      </c>
      <c r="G1400" s="3">
        <v>0.21</v>
      </c>
      <c r="H1400" t="str">
        <f t="shared" si="23"/>
        <v>GUARDIAN</v>
      </c>
    </row>
    <row r="1401" spans="5:8" x14ac:dyDescent="0.25">
      <c r="E1401" t="str">
        <f>""</f>
        <v/>
      </c>
      <c r="F1401" t="str">
        <f>""</f>
        <v/>
      </c>
      <c r="G1401" s="3">
        <v>2.1800000000000002</v>
      </c>
      <c r="H1401" t="str">
        <f t="shared" si="23"/>
        <v>GUARDIAN</v>
      </c>
    </row>
    <row r="1402" spans="5:8" x14ac:dyDescent="0.25">
      <c r="E1402" t="str">
        <f>""</f>
        <v/>
      </c>
      <c r="F1402" t="str">
        <f>""</f>
        <v/>
      </c>
      <c r="G1402" s="3">
        <v>1467.03</v>
      </c>
      <c r="H1402" t="str">
        <f t="shared" si="23"/>
        <v>GUARDIAN</v>
      </c>
    </row>
    <row r="1403" spans="5:8" x14ac:dyDescent="0.25">
      <c r="E1403" t="str">
        <f>"GDC202108175281"</f>
        <v>GDC202108175281</v>
      </c>
      <c r="F1403" t="str">
        <f>"GUARDIAN"</f>
        <v>GUARDIAN</v>
      </c>
      <c r="G1403" s="3">
        <v>46.17</v>
      </c>
      <c r="H1403" t="str">
        <f t="shared" si="23"/>
        <v>GUARDIAN</v>
      </c>
    </row>
    <row r="1404" spans="5:8" x14ac:dyDescent="0.25">
      <c r="E1404" t="str">
        <f>""</f>
        <v/>
      </c>
      <c r="F1404" t="str">
        <f>""</f>
        <v/>
      </c>
      <c r="G1404" s="3">
        <v>55.71</v>
      </c>
      <c r="H1404" t="str">
        <f t="shared" si="23"/>
        <v>GUARDIAN</v>
      </c>
    </row>
    <row r="1405" spans="5:8" x14ac:dyDescent="0.25">
      <c r="E1405" t="str">
        <f>"GDE202108045059"</f>
        <v>GDE202108045059</v>
      </c>
      <c r="F1405" t="str">
        <f>"GUARDIAN"</f>
        <v>GUARDIAN</v>
      </c>
      <c r="G1405" s="3">
        <v>30.78</v>
      </c>
      <c r="H1405" t="str">
        <f t="shared" si="23"/>
        <v>GUARDIAN</v>
      </c>
    </row>
    <row r="1406" spans="5:8" x14ac:dyDescent="0.25">
      <c r="E1406" t="str">
        <f>""</f>
        <v/>
      </c>
      <c r="F1406" t="str">
        <f>""</f>
        <v/>
      </c>
      <c r="G1406" s="3">
        <v>20.010000000000002</v>
      </c>
      <c r="H1406" t="str">
        <f t="shared" si="23"/>
        <v>GUARDIAN</v>
      </c>
    </row>
    <row r="1407" spans="5:8" x14ac:dyDescent="0.25">
      <c r="E1407" t="str">
        <f>""</f>
        <v/>
      </c>
      <c r="F1407" t="str">
        <f>""</f>
        <v/>
      </c>
      <c r="G1407" s="3">
        <v>91.4</v>
      </c>
      <c r="H1407" t="str">
        <f t="shared" si="23"/>
        <v>GUARDIAN</v>
      </c>
    </row>
    <row r="1408" spans="5:8" x14ac:dyDescent="0.25">
      <c r="E1408" t="str">
        <f>""</f>
        <v/>
      </c>
      <c r="F1408" t="str">
        <f>""</f>
        <v/>
      </c>
      <c r="G1408" s="3">
        <v>46.17</v>
      </c>
      <c r="H1408" t="str">
        <f t="shared" si="23"/>
        <v>GUARDIAN</v>
      </c>
    </row>
    <row r="1409" spans="5:8" x14ac:dyDescent="0.25">
      <c r="E1409" t="str">
        <f>""</f>
        <v/>
      </c>
      <c r="F1409" t="str">
        <f>""</f>
        <v/>
      </c>
      <c r="G1409" s="3">
        <v>30.78</v>
      </c>
      <c r="H1409" t="str">
        <f t="shared" si="23"/>
        <v>GUARDIAN</v>
      </c>
    </row>
    <row r="1410" spans="5:8" x14ac:dyDescent="0.25">
      <c r="E1410" t="str">
        <f>""</f>
        <v/>
      </c>
      <c r="F1410" t="str">
        <f>""</f>
        <v/>
      </c>
      <c r="G1410" s="3">
        <v>30.78</v>
      </c>
      <c r="H1410" t="str">
        <f t="shared" si="23"/>
        <v>GUARDIAN</v>
      </c>
    </row>
    <row r="1411" spans="5:8" x14ac:dyDescent="0.25">
      <c r="E1411" t="str">
        <f>""</f>
        <v/>
      </c>
      <c r="F1411" t="str">
        <f>""</f>
        <v/>
      </c>
      <c r="G1411" s="3">
        <v>230.85</v>
      </c>
      <c r="H1411" t="str">
        <f t="shared" si="23"/>
        <v>GUARDIAN</v>
      </c>
    </row>
    <row r="1412" spans="5:8" x14ac:dyDescent="0.25">
      <c r="E1412" t="str">
        <f>""</f>
        <v/>
      </c>
      <c r="F1412" t="str">
        <f>""</f>
        <v/>
      </c>
      <c r="G1412" s="3">
        <v>30.78</v>
      </c>
      <c r="H1412" t="str">
        <f t="shared" si="23"/>
        <v>GUARDIAN</v>
      </c>
    </row>
    <row r="1413" spans="5:8" x14ac:dyDescent="0.25">
      <c r="E1413" t="str">
        <f>""</f>
        <v/>
      </c>
      <c r="F1413" t="str">
        <f>""</f>
        <v/>
      </c>
      <c r="G1413" s="3">
        <v>46.17</v>
      </c>
      <c r="H1413" t="str">
        <f t="shared" si="23"/>
        <v>GUARDIAN</v>
      </c>
    </row>
    <row r="1414" spans="5:8" x14ac:dyDescent="0.25">
      <c r="E1414" t="str">
        <f>""</f>
        <v/>
      </c>
      <c r="F1414" t="str">
        <f>""</f>
        <v/>
      </c>
      <c r="G1414" s="3">
        <v>107.73</v>
      </c>
      <c r="H1414" t="str">
        <f t="shared" si="23"/>
        <v>GUARDIAN</v>
      </c>
    </row>
    <row r="1415" spans="5:8" x14ac:dyDescent="0.25">
      <c r="E1415" t="str">
        <f>""</f>
        <v/>
      </c>
      <c r="F1415" t="str">
        <f>""</f>
        <v/>
      </c>
      <c r="G1415" s="3">
        <v>30.78</v>
      </c>
      <c r="H1415" t="str">
        <f t="shared" si="23"/>
        <v>GUARDIAN</v>
      </c>
    </row>
    <row r="1416" spans="5:8" x14ac:dyDescent="0.25">
      <c r="E1416" t="str">
        <f>""</f>
        <v/>
      </c>
      <c r="F1416" t="str">
        <f>""</f>
        <v/>
      </c>
      <c r="G1416" s="3">
        <v>46.17</v>
      </c>
      <c r="H1416" t="str">
        <f t="shared" si="23"/>
        <v>GUARDIAN</v>
      </c>
    </row>
    <row r="1417" spans="5:8" x14ac:dyDescent="0.25">
      <c r="E1417" t="str">
        <f>""</f>
        <v/>
      </c>
      <c r="F1417" t="str">
        <f>""</f>
        <v/>
      </c>
      <c r="G1417" s="3">
        <v>30.78</v>
      </c>
      <c r="H1417" t="str">
        <f t="shared" si="23"/>
        <v>GUARDIAN</v>
      </c>
    </row>
    <row r="1418" spans="5:8" x14ac:dyDescent="0.25">
      <c r="E1418" t="str">
        <f>""</f>
        <v/>
      </c>
      <c r="F1418" t="str">
        <f>""</f>
        <v/>
      </c>
      <c r="G1418" s="3">
        <v>30.78</v>
      </c>
      <c r="H1418" t="str">
        <f t="shared" si="23"/>
        <v>GUARDIAN</v>
      </c>
    </row>
    <row r="1419" spans="5:8" x14ac:dyDescent="0.25">
      <c r="E1419" t="str">
        <f>""</f>
        <v/>
      </c>
      <c r="F1419" t="str">
        <f>""</f>
        <v/>
      </c>
      <c r="G1419" s="3">
        <v>30.78</v>
      </c>
      <c r="H1419" t="str">
        <f t="shared" si="23"/>
        <v>GUARDIAN</v>
      </c>
    </row>
    <row r="1420" spans="5:8" x14ac:dyDescent="0.25">
      <c r="E1420" t="str">
        <f>""</f>
        <v/>
      </c>
      <c r="F1420" t="str">
        <f>""</f>
        <v/>
      </c>
      <c r="G1420" s="3">
        <v>193.65</v>
      </c>
      <c r="H1420" t="str">
        <f t="shared" si="23"/>
        <v>GUARDIAN</v>
      </c>
    </row>
    <row r="1421" spans="5:8" x14ac:dyDescent="0.25">
      <c r="E1421" t="str">
        <f>""</f>
        <v/>
      </c>
      <c r="F1421" t="str">
        <f>""</f>
        <v/>
      </c>
      <c r="G1421" s="3">
        <v>30.78</v>
      </c>
      <c r="H1421" t="str">
        <f t="shared" si="23"/>
        <v>GUARDIAN</v>
      </c>
    </row>
    <row r="1422" spans="5:8" x14ac:dyDescent="0.25">
      <c r="E1422" t="str">
        <f>""</f>
        <v/>
      </c>
      <c r="F1422" t="str">
        <f>""</f>
        <v/>
      </c>
      <c r="G1422" s="3">
        <v>30.78</v>
      </c>
      <c r="H1422" t="str">
        <f t="shared" si="23"/>
        <v>GUARDIAN</v>
      </c>
    </row>
    <row r="1423" spans="5:8" x14ac:dyDescent="0.25">
      <c r="E1423" t="str">
        <f>""</f>
        <v/>
      </c>
      <c r="F1423" t="str">
        <f>""</f>
        <v/>
      </c>
      <c r="G1423" s="3">
        <v>30.78</v>
      </c>
      <c r="H1423" t="str">
        <f t="shared" si="23"/>
        <v>GUARDIAN</v>
      </c>
    </row>
    <row r="1424" spans="5:8" x14ac:dyDescent="0.25">
      <c r="E1424" t="str">
        <f>""</f>
        <v/>
      </c>
      <c r="F1424" t="str">
        <f>""</f>
        <v/>
      </c>
      <c r="G1424" s="3">
        <v>92.34</v>
      </c>
      <c r="H1424" t="str">
        <f t="shared" si="23"/>
        <v>GUARDIAN</v>
      </c>
    </row>
    <row r="1425" spans="5:8" x14ac:dyDescent="0.25">
      <c r="E1425" t="str">
        <f>""</f>
        <v/>
      </c>
      <c r="F1425" t="str">
        <f>""</f>
        <v/>
      </c>
      <c r="G1425" s="3">
        <v>30.78</v>
      </c>
      <c r="H1425" t="str">
        <f t="shared" si="23"/>
        <v>GUARDIAN</v>
      </c>
    </row>
    <row r="1426" spans="5:8" x14ac:dyDescent="0.25">
      <c r="E1426" t="str">
        <f>""</f>
        <v/>
      </c>
      <c r="F1426" t="str">
        <f>""</f>
        <v/>
      </c>
      <c r="G1426" s="3">
        <v>92.34</v>
      </c>
      <c r="H1426" t="str">
        <f t="shared" si="23"/>
        <v>GUARDIAN</v>
      </c>
    </row>
    <row r="1427" spans="5:8" x14ac:dyDescent="0.25">
      <c r="E1427" t="str">
        <f>""</f>
        <v/>
      </c>
      <c r="F1427" t="str">
        <f>""</f>
        <v/>
      </c>
      <c r="G1427" s="3">
        <v>153.9</v>
      </c>
      <c r="H1427" t="str">
        <f t="shared" si="23"/>
        <v>GUARDIAN</v>
      </c>
    </row>
    <row r="1428" spans="5:8" x14ac:dyDescent="0.25">
      <c r="E1428" t="str">
        <f>""</f>
        <v/>
      </c>
      <c r="F1428" t="str">
        <f>""</f>
        <v/>
      </c>
      <c r="G1428" s="3">
        <v>215.71</v>
      </c>
      <c r="H1428" t="str">
        <f t="shared" si="23"/>
        <v>GUARDIAN</v>
      </c>
    </row>
    <row r="1429" spans="5:8" x14ac:dyDescent="0.25">
      <c r="E1429" t="str">
        <f>""</f>
        <v/>
      </c>
      <c r="F1429" t="str">
        <f>""</f>
        <v/>
      </c>
      <c r="G1429" s="3">
        <v>15.39</v>
      </c>
      <c r="H1429" t="str">
        <f t="shared" si="23"/>
        <v>GUARDIAN</v>
      </c>
    </row>
    <row r="1430" spans="5:8" x14ac:dyDescent="0.25">
      <c r="E1430" t="str">
        <f>""</f>
        <v/>
      </c>
      <c r="F1430" t="str">
        <f>""</f>
        <v/>
      </c>
      <c r="G1430" s="3">
        <v>967.87</v>
      </c>
      <c r="H1430" t="str">
        <f t="shared" si="23"/>
        <v>GUARDIAN</v>
      </c>
    </row>
    <row r="1431" spans="5:8" x14ac:dyDescent="0.25">
      <c r="E1431" t="str">
        <f>""</f>
        <v/>
      </c>
      <c r="F1431" t="str">
        <f>""</f>
        <v/>
      </c>
      <c r="G1431" s="3">
        <v>61.09</v>
      </c>
      <c r="H1431" t="str">
        <f t="shared" si="23"/>
        <v>GUARDIAN</v>
      </c>
    </row>
    <row r="1432" spans="5:8" x14ac:dyDescent="0.25">
      <c r="E1432" t="str">
        <f>""</f>
        <v/>
      </c>
      <c r="F1432" t="str">
        <f>""</f>
        <v/>
      </c>
      <c r="G1432" s="3">
        <v>939.74</v>
      </c>
      <c r="H1432" t="str">
        <f t="shared" si="23"/>
        <v>GUARDIAN</v>
      </c>
    </row>
    <row r="1433" spans="5:8" x14ac:dyDescent="0.25">
      <c r="E1433" t="str">
        <f>""</f>
        <v/>
      </c>
      <c r="F1433" t="str">
        <f>""</f>
        <v/>
      </c>
      <c r="G1433" s="3">
        <v>261.63</v>
      </c>
      <c r="H1433" t="str">
        <f t="shared" si="23"/>
        <v>GUARDIAN</v>
      </c>
    </row>
    <row r="1434" spans="5:8" x14ac:dyDescent="0.25">
      <c r="E1434" t="str">
        <f>""</f>
        <v/>
      </c>
      <c r="F1434" t="str">
        <f>""</f>
        <v/>
      </c>
      <c r="G1434" s="3">
        <v>30.78</v>
      </c>
      <c r="H1434" t="str">
        <f t="shared" si="23"/>
        <v>GUARDIAN</v>
      </c>
    </row>
    <row r="1435" spans="5:8" x14ac:dyDescent="0.25">
      <c r="E1435" t="str">
        <f>""</f>
        <v/>
      </c>
      <c r="F1435" t="str">
        <f>""</f>
        <v/>
      </c>
      <c r="G1435" s="3">
        <v>30.78</v>
      </c>
      <c r="H1435" t="str">
        <f t="shared" si="23"/>
        <v>GUARDIAN</v>
      </c>
    </row>
    <row r="1436" spans="5:8" x14ac:dyDescent="0.25">
      <c r="E1436" t="str">
        <f>""</f>
        <v/>
      </c>
      <c r="F1436" t="str">
        <f>""</f>
        <v/>
      </c>
      <c r="G1436" s="3">
        <v>15.39</v>
      </c>
      <c r="H1436" t="str">
        <f t="shared" si="23"/>
        <v>GUARDIAN</v>
      </c>
    </row>
    <row r="1437" spans="5:8" x14ac:dyDescent="0.25">
      <c r="E1437" t="str">
        <f>""</f>
        <v/>
      </c>
      <c r="F1437" t="str">
        <f>""</f>
        <v/>
      </c>
      <c r="G1437" s="3">
        <v>30.78</v>
      </c>
      <c r="H1437" t="str">
        <f t="shared" si="23"/>
        <v>GUARDIAN</v>
      </c>
    </row>
    <row r="1438" spans="5:8" x14ac:dyDescent="0.25">
      <c r="E1438" t="str">
        <f>""</f>
        <v/>
      </c>
      <c r="F1438" t="str">
        <f>""</f>
        <v/>
      </c>
      <c r="G1438" s="3">
        <v>15.39</v>
      </c>
      <c r="H1438" t="str">
        <f t="shared" si="23"/>
        <v>GUARDIAN</v>
      </c>
    </row>
    <row r="1439" spans="5:8" x14ac:dyDescent="0.25">
      <c r="E1439" t="str">
        <f>""</f>
        <v/>
      </c>
      <c r="F1439" t="str">
        <f>""</f>
        <v/>
      </c>
      <c r="G1439" s="3">
        <v>16.329999999999998</v>
      </c>
      <c r="H1439" t="str">
        <f t="shared" si="23"/>
        <v>GUARDIAN</v>
      </c>
    </row>
    <row r="1440" spans="5:8" x14ac:dyDescent="0.25">
      <c r="E1440" t="str">
        <f>""</f>
        <v/>
      </c>
      <c r="F1440" t="str">
        <f>""</f>
        <v/>
      </c>
      <c r="G1440" s="3">
        <v>66.53</v>
      </c>
      <c r="H1440" t="str">
        <f t="shared" si="23"/>
        <v>GUARDIAN</v>
      </c>
    </row>
    <row r="1441" spans="5:8" x14ac:dyDescent="0.25">
      <c r="E1441" t="str">
        <f>""</f>
        <v/>
      </c>
      <c r="F1441" t="str">
        <f>""</f>
        <v/>
      </c>
      <c r="G1441" s="3">
        <v>89.5</v>
      </c>
      <c r="H1441" t="str">
        <f t="shared" si="23"/>
        <v>GUARDIAN</v>
      </c>
    </row>
    <row r="1442" spans="5:8" x14ac:dyDescent="0.25">
      <c r="E1442" t="str">
        <f>""</f>
        <v/>
      </c>
      <c r="F1442" t="str">
        <f>""</f>
        <v/>
      </c>
      <c r="G1442" s="3">
        <v>150.91999999999999</v>
      </c>
      <c r="H1442" t="str">
        <f t="shared" si="23"/>
        <v>GUARDIAN</v>
      </c>
    </row>
    <row r="1443" spans="5:8" x14ac:dyDescent="0.25">
      <c r="E1443" t="str">
        <f>""</f>
        <v/>
      </c>
      <c r="F1443" t="str">
        <f>""</f>
        <v/>
      </c>
      <c r="G1443" s="3">
        <v>151.16</v>
      </c>
      <c r="H1443" t="str">
        <f t="shared" si="23"/>
        <v>GUARDIAN</v>
      </c>
    </row>
    <row r="1444" spans="5:8" x14ac:dyDescent="0.25">
      <c r="E1444" t="str">
        <f>""</f>
        <v/>
      </c>
      <c r="F1444" t="str">
        <f>""</f>
        <v/>
      </c>
      <c r="G1444" s="3">
        <v>15.39</v>
      </c>
      <c r="H1444" t="str">
        <f t="shared" si="23"/>
        <v>GUARDIAN</v>
      </c>
    </row>
    <row r="1445" spans="5:8" x14ac:dyDescent="0.25">
      <c r="E1445" t="str">
        <f>""</f>
        <v/>
      </c>
      <c r="F1445" t="str">
        <f>""</f>
        <v/>
      </c>
      <c r="G1445" s="3">
        <v>5.28</v>
      </c>
      <c r="H1445" t="str">
        <f t="shared" si="23"/>
        <v>GUARDIAN</v>
      </c>
    </row>
    <row r="1446" spans="5:8" x14ac:dyDescent="0.25">
      <c r="E1446" t="str">
        <f>""</f>
        <v/>
      </c>
      <c r="F1446" t="str">
        <f>""</f>
        <v/>
      </c>
      <c r="G1446" s="3">
        <v>1.1399999999999999</v>
      </c>
      <c r="H1446" t="str">
        <f t="shared" si="23"/>
        <v>GUARDIAN</v>
      </c>
    </row>
    <row r="1447" spans="5:8" x14ac:dyDescent="0.25">
      <c r="E1447" t="str">
        <f>""</f>
        <v/>
      </c>
      <c r="F1447" t="str">
        <f>""</f>
        <v/>
      </c>
      <c r="G1447" s="3">
        <v>15.33</v>
      </c>
      <c r="H1447" t="str">
        <f t="shared" si="23"/>
        <v>GUARDIAN</v>
      </c>
    </row>
    <row r="1448" spans="5:8" x14ac:dyDescent="0.25">
      <c r="E1448" t="str">
        <f>"GDE202108045060"</f>
        <v>GDE202108045060</v>
      </c>
      <c r="F1448" t="str">
        <f>"GUARDIAN"</f>
        <v>GUARDIAN</v>
      </c>
      <c r="G1448" s="3">
        <v>153.9</v>
      </c>
      <c r="H1448" t="str">
        <f t="shared" si="23"/>
        <v>GUARDIAN</v>
      </c>
    </row>
    <row r="1449" spans="5:8" x14ac:dyDescent="0.25">
      <c r="E1449" t="str">
        <f>"GDE202108175280"</f>
        <v>GDE202108175280</v>
      </c>
      <c r="F1449" t="str">
        <f>"GUARDIAN"</f>
        <v>GUARDIAN</v>
      </c>
      <c r="G1449" s="3">
        <v>30.78</v>
      </c>
      <c r="H1449" t="str">
        <f t="shared" ref="H1449:H1512" si="24">"GUARDIAN"</f>
        <v>GUARDIAN</v>
      </c>
    </row>
    <row r="1450" spans="5:8" x14ac:dyDescent="0.25">
      <c r="E1450" t="str">
        <f>""</f>
        <v/>
      </c>
      <c r="F1450" t="str">
        <f>""</f>
        <v/>
      </c>
      <c r="G1450" s="3">
        <v>20.010000000000002</v>
      </c>
      <c r="H1450" t="str">
        <f t="shared" si="24"/>
        <v>GUARDIAN</v>
      </c>
    </row>
    <row r="1451" spans="5:8" x14ac:dyDescent="0.25">
      <c r="E1451" t="str">
        <f>""</f>
        <v/>
      </c>
      <c r="F1451" t="str">
        <f>""</f>
        <v/>
      </c>
      <c r="G1451" s="3">
        <v>91.4</v>
      </c>
      <c r="H1451" t="str">
        <f t="shared" si="24"/>
        <v>GUARDIAN</v>
      </c>
    </row>
    <row r="1452" spans="5:8" x14ac:dyDescent="0.25">
      <c r="E1452" t="str">
        <f>""</f>
        <v/>
      </c>
      <c r="F1452" t="str">
        <f>""</f>
        <v/>
      </c>
      <c r="G1452" s="3">
        <v>46.17</v>
      </c>
      <c r="H1452" t="str">
        <f t="shared" si="24"/>
        <v>GUARDIAN</v>
      </c>
    </row>
    <row r="1453" spans="5:8" x14ac:dyDescent="0.25">
      <c r="E1453" t="str">
        <f>""</f>
        <v/>
      </c>
      <c r="F1453" t="str">
        <f>""</f>
        <v/>
      </c>
      <c r="G1453" s="3">
        <v>30.78</v>
      </c>
      <c r="H1453" t="str">
        <f t="shared" si="24"/>
        <v>GUARDIAN</v>
      </c>
    </row>
    <row r="1454" spans="5:8" x14ac:dyDescent="0.25">
      <c r="E1454" t="str">
        <f>""</f>
        <v/>
      </c>
      <c r="F1454" t="str">
        <f>""</f>
        <v/>
      </c>
      <c r="G1454" s="3">
        <v>30.78</v>
      </c>
      <c r="H1454" t="str">
        <f t="shared" si="24"/>
        <v>GUARDIAN</v>
      </c>
    </row>
    <row r="1455" spans="5:8" x14ac:dyDescent="0.25">
      <c r="E1455" t="str">
        <f>""</f>
        <v/>
      </c>
      <c r="F1455" t="str">
        <f>""</f>
        <v/>
      </c>
      <c r="G1455" s="3">
        <v>215.46</v>
      </c>
      <c r="H1455" t="str">
        <f t="shared" si="24"/>
        <v>GUARDIAN</v>
      </c>
    </row>
    <row r="1456" spans="5:8" x14ac:dyDescent="0.25">
      <c r="E1456" t="str">
        <f>""</f>
        <v/>
      </c>
      <c r="F1456" t="str">
        <f>""</f>
        <v/>
      </c>
      <c r="G1456" s="3">
        <v>30.78</v>
      </c>
      <c r="H1456" t="str">
        <f t="shared" si="24"/>
        <v>GUARDIAN</v>
      </c>
    </row>
    <row r="1457" spans="5:8" x14ac:dyDescent="0.25">
      <c r="E1457" t="str">
        <f>""</f>
        <v/>
      </c>
      <c r="F1457" t="str">
        <f>""</f>
        <v/>
      </c>
      <c r="G1457" s="3">
        <v>46.17</v>
      </c>
      <c r="H1457" t="str">
        <f t="shared" si="24"/>
        <v>GUARDIAN</v>
      </c>
    </row>
    <row r="1458" spans="5:8" x14ac:dyDescent="0.25">
      <c r="E1458" t="str">
        <f>""</f>
        <v/>
      </c>
      <c r="F1458" t="str">
        <f>""</f>
        <v/>
      </c>
      <c r="G1458" s="3">
        <v>107.73</v>
      </c>
      <c r="H1458" t="str">
        <f t="shared" si="24"/>
        <v>GUARDIAN</v>
      </c>
    </row>
    <row r="1459" spans="5:8" x14ac:dyDescent="0.25">
      <c r="E1459" t="str">
        <f>""</f>
        <v/>
      </c>
      <c r="F1459" t="str">
        <f>""</f>
        <v/>
      </c>
      <c r="G1459" s="3">
        <v>30.78</v>
      </c>
      <c r="H1459" t="str">
        <f t="shared" si="24"/>
        <v>GUARDIAN</v>
      </c>
    </row>
    <row r="1460" spans="5:8" x14ac:dyDescent="0.25">
      <c r="E1460" t="str">
        <f>""</f>
        <v/>
      </c>
      <c r="F1460" t="str">
        <f>""</f>
        <v/>
      </c>
      <c r="G1460" s="3">
        <v>46.17</v>
      </c>
      <c r="H1460" t="str">
        <f t="shared" si="24"/>
        <v>GUARDIAN</v>
      </c>
    </row>
    <row r="1461" spans="5:8" x14ac:dyDescent="0.25">
      <c r="E1461" t="str">
        <f>""</f>
        <v/>
      </c>
      <c r="F1461" t="str">
        <f>""</f>
        <v/>
      </c>
      <c r="G1461" s="3">
        <v>30.78</v>
      </c>
      <c r="H1461" t="str">
        <f t="shared" si="24"/>
        <v>GUARDIAN</v>
      </c>
    </row>
    <row r="1462" spans="5:8" x14ac:dyDescent="0.25">
      <c r="E1462" t="str">
        <f>""</f>
        <v/>
      </c>
      <c r="F1462" t="str">
        <f>""</f>
        <v/>
      </c>
      <c r="G1462" s="3">
        <v>30.78</v>
      </c>
      <c r="H1462" t="str">
        <f t="shared" si="24"/>
        <v>GUARDIAN</v>
      </c>
    </row>
    <row r="1463" spans="5:8" x14ac:dyDescent="0.25">
      <c r="E1463" t="str">
        <f>""</f>
        <v/>
      </c>
      <c r="F1463" t="str">
        <f>""</f>
        <v/>
      </c>
      <c r="G1463" s="3">
        <v>30.78</v>
      </c>
      <c r="H1463" t="str">
        <f t="shared" si="24"/>
        <v>GUARDIAN</v>
      </c>
    </row>
    <row r="1464" spans="5:8" x14ac:dyDescent="0.25">
      <c r="E1464" t="str">
        <f>""</f>
        <v/>
      </c>
      <c r="F1464" t="str">
        <f>""</f>
        <v/>
      </c>
      <c r="G1464" s="3">
        <v>193.65</v>
      </c>
      <c r="H1464" t="str">
        <f t="shared" si="24"/>
        <v>GUARDIAN</v>
      </c>
    </row>
    <row r="1465" spans="5:8" x14ac:dyDescent="0.25">
      <c r="E1465" t="str">
        <f>""</f>
        <v/>
      </c>
      <c r="F1465" t="str">
        <f>""</f>
        <v/>
      </c>
      <c r="G1465" s="3">
        <v>30.78</v>
      </c>
      <c r="H1465" t="str">
        <f t="shared" si="24"/>
        <v>GUARDIAN</v>
      </c>
    </row>
    <row r="1466" spans="5:8" x14ac:dyDescent="0.25">
      <c r="E1466" t="str">
        <f>""</f>
        <v/>
      </c>
      <c r="F1466" t="str">
        <f>""</f>
        <v/>
      </c>
      <c r="G1466" s="3">
        <v>30.78</v>
      </c>
      <c r="H1466" t="str">
        <f t="shared" si="24"/>
        <v>GUARDIAN</v>
      </c>
    </row>
    <row r="1467" spans="5:8" x14ac:dyDescent="0.25">
      <c r="E1467" t="str">
        <f>""</f>
        <v/>
      </c>
      <c r="F1467" t="str">
        <f>""</f>
        <v/>
      </c>
      <c r="G1467" s="3">
        <v>30.78</v>
      </c>
      <c r="H1467" t="str">
        <f t="shared" si="24"/>
        <v>GUARDIAN</v>
      </c>
    </row>
    <row r="1468" spans="5:8" x14ac:dyDescent="0.25">
      <c r="E1468" t="str">
        <f>""</f>
        <v/>
      </c>
      <c r="F1468" t="str">
        <f>""</f>
        <v/>
      </c>
      <c r="G1468" s="3">
        <v>92.34</v>
      </c>
      <c r="H1468" t="str">
        <f t="shared" si="24"/>
        <v>GUARDIAN</v>
      </c>
    </row>
    <row r="1469" spans="5:8" x14ac:dyDescent="0.25">
      <c r="E1469" t="str">
        <f>""</f>
        <v/>
      </c>
      <c r="F1469" t="str">
        <f>""</f>
        <v/>
      </c>
      <c r="G1469" s="3">
        <v>30.78</v>
      </c>
      <c r="H1469" t="str">
        <f t="shared" si="24"/>
        <v>GUARDIAN</v>
      </c>
    </row>
    <row r="1470" spans="5:8" x14ac:dyDescent="0.25">
      <c r="E1470" t="str">
        <f>""</f>
        <v/>
      </c>
      <c r="F1470" t="str">
        <f>""</f>
        <v/>
      </c>
      <c r="G1470" s="3">
        <v>92.34</v>
      </c>
      <c r="H1470" t="str">
        <f t="shared" si="24"/>
        <v>GUARDIAN</v>
      </c>
    </row>
    <row r="1471" spans="5:8" x14ac:dyDescent="0.25">
      <c r="E1471" t="str">
        <f>""</f>
        <v/>
      </c>
      <c r="F1471" t="str">
        <f>""</f>
        <v/>
      </c>
      <c r="G1471" s="3">
        <v>153.9</v>
      </c>
      <c r="H1471" t="str">
        <f t="shared" si="24"/>
        <v>GUARDIAN</v>
      </c>
    </row>
    <row r="1472" spans="5:8" x14ac:dyDescent="0.25">
      <c r="E1472" t="str">
        <f>""</f>
        <v/>
      </c>
      <c r="F1472" t="str">
        <f>""</f>
        <v/>
      </c>
      <c r="G1472" s="3">
        <v>215.71</v>
      </c>
      <c r="H1472" t="str">
        <f t="shared" si="24"/>
        <v>GUARDIAN</v>
      </c>
    </row>
    <row r="1473" spans="5:8" x14ac:dyDescent="0.25">
      <c r="E1473" t="str">
        <f>""</f>
        <v/>
      </c>
      <c r="F1473" t="str">
        <f>""</f>
        <v/>
      </c>
      <c r="G1473" s="3">
        <v>15.39</v>
      </c>
      <c r="H1473" t="str">
        <f t="shared" si="24"/>
        <v>GUARDIAN</v>
      </c>
    </row>
    <row r="1474" spans="5:8" x14ac:dyDescent="0.25">
      <c r="E1474" t="str">
        <f>""</f>
        <v/>
      </c>
      <c r="F1474" t="str">
        <f>""</f>
        <v/>
      </c>
      <c r="G1474" s="3">
        <v>985.06</v>
      </c>
      <c r="H1474" t="str">
        <f t="shared" si="24"/>
        <v>GUARDIAN</v>
      </c>
    </row>
    <row r="1475" spans="5:8" x14ac:dyDescent="0.25">
      <c r="E1475" t="str">
        <f>""</f>
        <v/>
      </c>
      <c r="F1475" t="str">
        <f>""</f>
        <v/>
      </c>
      <c r="G1475" s="3">
        <v>61.09</v>
      </c>
      <c r="H1475" t="str">
        <f t="shared" si="24"/>
        <v>GUARDIAN</v>
      </c>
    </row>
    <row r="1476" spans="5:8" x14ac:dyDescent="0.25">
      <c r="E1476" t="str">
        <f>""</f>
        <v/>
      </c>
      <c r="F1476" t="str">
        <f>""</f>
        <v/>
      </c>
      <c r="G1476" s="3">
        <v>939.22</v>
      </c>
      <c r="H1476" t="str">
        <f t="shared" si="24"/>
        <v>GUARDIAN</v>
      </c>
    </row>
    <row r="1477" spans="5:8" x14ac:dyDescent="0.25">
      <c r="E1477" t="str">
        <f>""</f>
        <v/>
      </c>
      <c r="F1477" t="str">
        <f>""</f>
        <v/>
      </c>
      <c r="G1477" s="3">
        <v>261.63</v>
      </c>
      <c r="H1477" t="str">
        <f t="shared" si="24"/>
        <v>GUARDIAN</v>
      </c>
    </row>
    <row r="1478" spans="5:8" x14ac:dyDescent="0.25">
      <c r="E1478" t="str">
        <f>""</f>
        <v/>
      </c>
      <c r="F1478" t="str">
        <f>""</f>
        <v/>
      </c>
      <c r="G1478" s="3">
        <v>30.78</v>
      </c>
      <c r="H1478" t="str">
        <f t="shared" si="24"/>
        <v>GUARDIAN</v>
      </c>
    </row>
    <row r="1479" spans="5:8" x14ac:dyDescent="0.25">
      <c r="E1479" t="str">
        <f>""</f>
        <v/>
      </c>
      <c r="F1479" t="str">
        <f>""</f>
        <v/>
      </c>
      <c r="G1479" s="3">
        <v>30.78</v>
      </c>
      <c r="H1479" t="str">
        <f t="shared" si="24"/>
        <v>GUARDIAN</v>
      </c>
    </row>
    <row r="1480" spans="5:8" x14ac:dyDescent="0.25">
      <c r="E1480" t="str">
        <f>""</f>
        <v/>
      </c>
      <c r="F1480" t="str">
        <f>""</f>
        <v/>
      </c>
      <c r="G1480" s="3">
        <v>15.39</v>
      </c>
      <c r="H1480" t="str">
        <f t="shared" si="24"/>
        <v>GUARDIAN</v>
      </c>
    </row>
    <row r="1481" spans="5:8" x14ac:dyDescent="0.25">
      <c r="E1481" t="str">
        <f>""</f>
        <v/>
      </c>
      <c r="F1481" t="str">
        <f>""</f>
        <v/>
      </c>
      <c r="G1481" s="3">
        <v>30.78</v>
      </c>
      <c r="H1481" t="str">
        <f t="shared" si="24"/>
        <v>GUARDIAN</v>
      </c>
    </row>
    <row r="1482" spans="5:8" x14ac:dyDescent="0.25">
      <c r="E1482" t="str">
        <f>""</f>
        <v/>
      </c>
      <c r="F1482" t="str">
        <f>""</f>
        <v/>
      </c>
      <c r="G1482" s="3">
        <v>15.39</v>
      </c>
      <c r="H1482" t="str">
        <f t="shared" si="24"/>
        <v>GUARDIAN</v>
      </c>
    </row>
    <row r="1483" spans="5:8" x14ac:dyDescent="0.25">
      <c r="E1483" t="str">
        <f>""</f>
        <v/>
      </c>
      <c r="F1483" t="str">
        <f>""</f>
        <v/>
      </c>
      <c r="G1483" s="3">
        <v>16.329999999999998</v>
      </c>
      <c r="H1483" t="str">
        <f t="shared" si="24"/>
        <v>GUARDIAN</v>
      </c>
    </row>
    <row r="1484" spans="5:8" x14ac:dyDescent="0.25">
      <c r="E1484" t="str">
        <f>""</f>
        <v/>
      </c>
      <c r="F1484" t="str">
        <f>""</f>
        <v/>
      </c>
      <c r="G1484" s="3">
        <v>65.25</v>
      </c>
      <c r="H1484" t="str">
        <f t="shared" si="24"/>
        <v>GUARDIAN</v>
      </c>
    </row>
    <row r="1485" spans="5:8" x14ac:dyDescent="0.25">
      <c r="E1485" t="str">
        <f>""</f>
        <v/>
      </c>
      <c r="F1485" t="str">
        <f>""</f>
        <v/>
      </c>
      <c r="G1485" s="3">
        <v>89.5</v>
      </c>
      <c r="H1485" t="str">
        <f t="shared" si="24"/>
        <v>GUARDIAN</v>
      </c>
    </row>
    <row r="1486" spans="5:8" x14ac:dyDescent="0.25">
      <c r="E1486" t="str">
        <f>""</f>
        <v/>
      </c>
      <c r="F1486" t="str">
        <f>""</f>
        <v/>
      </c>
      <c r="G1486" s="3">
        <v>150.91999999999999</v>
      </c>
      <c r="H1486" t="str">
        <f t="shared" si="24"/>
        <v>GUARDIAN</v>
      </c>
    </row>
    <row r="1487" spans="5:8" x14ac:dyDescent="0.25">
      <c r="E1487" t="str">
        <f>""</f>
        <v/>
      </c>
      <c r="F1487" t="str">
        <f>""</f>
        <v/>
      </c>
      <c r="G1487" s="3">
        <v>151.16</v>
      </c>
      <c r="H1487" t="str">
        <f t="shared" si="24"/>
        <v>GUARDIAN</v>
      </c>
    </row>
    <row r="1488" spans="5:8" x14ac:dyDescent="0.25">
      <c r="E1488" t="str">
        <f>""</f>
        <v/>
      </c>
      <c r="F1488" t="str">
        <f>""</f>
        <v/>
      </c>
      <c r="G1488" s="3">
        <v>15.39</v>
      </c>
      <c r="H1488" t="str">
        <f t="shared" si="24"/>
        <v>GUARDIAN</v>
      </c>
    </row>
    <row r="1489" spans="5:8" x14ac:dyDescent="0.25">
      <c r="E1489" t="str">
        <f>""</f>
        <v/>
      </c>
      <c r="F1489" t="str">
        <f>""</f>
        <v/>
      </c>
      <c r="G1489" s="3">
        <v>5.28</v>
      </c>
      <c r="H1489" t="str">
        <f t="shared" si="24"/>
        <v>GUARDIAN</v>
      </c>
    </row>
    <row r="1490" spans="5:8" x14ac:dyDescent="0.25">
      <c r="E1490" t="str">
        <f>""</f>
        <v/>
      </c>
      <c r="F1490" t="str">
        <f>""</f>
        <v/>
      </c>
      <c r="G1490" s="3">
        <v>1.1399999999999999</v>
      </c>
      <c r="H1490" t="str">
        <f t="shared" si="24"/>
        <v>GUARDIAN</v>
      </c>
    </row>
    <row r="1491" spans="5:8" x14ac:dyDescent="0.25">
      <c r="E1491" t="str">
        <f>""</f>
        <v/>
      </c>
      <c r="F1491" t="str">
        <f>""</f>
        <v/>
      </c>
      <c r="G1491" s="3">
        <v>15.33</v>
      </c>
      <c r="H1491" t="str">
        <f t="shared" si="24"/>
        <v>GUARDIAN</v>
      </c>
    </row>
    <row r="1492" spans="5:8" x14ac:dyDescent="0.25">
      <c r="E1492" t="str">
        <f>"GDE202108175281"</f>
        <v>GDE202108175281</v>
      </c>
      <c r="F1492" t="str">
        <f>"GUARDIAN"</f>
        <v>GUARDIAN</v>
      </c>
      <c r="G1492" s="3">
        <v>138.51</v>
      </c>
      <c r="H1492" t="str">
        <f t="shared" si="24"/>
        <v>GUARDIAN</v>
      </c>
    </row>
    <row r="1493" spans="5:8" x14ac:dyDescent="0.25">
      <c r="E1493" t="str">
        <f>"GDF202108045059"</f>
        <v>GDF202108045059</v>
      </c>
      <c r="F1493" t="str">
        <f>"GUARDIAN"</f>
        <v>GUARDIAN</v>
      </c>
      <c r="G1493" s="3">
        <v>30.78</v>
      </c>
      <c r="H1493" t="str">
        <f t="shared" si="24"/>
        <v>GUARDIAN</v>
      </c>
    </row>
    <row r="1494" spans="5:8" x14ac:dyDescent="0.25">
      <c r="E1494" t="str">
        <f>""</f>
        <v/>
      </c>
      <c r="F1494" t="str">
        <f>""</f>
        <v/>
      </c>
      <c r="G1494" s="3">
        <v>30.78</v>
      </c>
      <c r="H1494" t="str">
        <f t="shared" si="24"/>
        <v>GUARDIAN</v>
      </c>
    </row>
    <row r="1495" spans="5:8" x14ac:dyDescent="0.25">
      <c r="E1495" t="str">
        <f>""</f>
        <v/>
      </c>
      <c r="F1495" t="str">
        <f>""</f>
        <v/>
      </c>
      <c r="G1495" s="3">
        <v>30.78</v>
      </c>
      <c r="H1495" t="str">
        <f t="shared" si="24"/>
        <v>GUARDIAN</v>
      </c>
    </row>
    <row r="1496" spans="5:8" x14ac:dyDescent="0.25">
      <c r="E1496" t="str">
        <f>""</f>
        <v/>
      </c>
      <c r="F1496" t="str">
        <f>""</f>
        <v/>
      </c>
      <c r="G1496" s="3">
        <v>15.39</v>
      </c>
      <c r="H1496" t="str">
        <f t="shared" si="24"/>
        <v>GUARDIAN</v>
      </c>
    </row>
    <row r="1497" spans="5:8" x14ac:dyDescent="0.25">
      <c r="E1497" t="str">
        <f>""</f>
        <v/>
      </c>
      <c r="F1497" t="str">
        <f>""</f>
        <v/>
      </c>
      <c r="G1497" s="3">
        <v>30.78</v>
      </c>
      <c r="H1497" t="str">
        <f t="shared" si="24"/>
        <v>GUARDIAN</v>
      </c>
    </row>
    <row r="1498" spans="5:8" x14ac:dyDescent="0.25">
      <c r="E1498" t="str">
        <f>""</f>
        <v/>
      </c>
      <c r="F1498" t="str">
        <f>""</f>
        <v/>
      </c>
      <c r="G1498" s="3">
        <v>15.39</v>
      </c>
      <c r="H1498" t="str">
        <f t="shared" si="24"/>
        <v>GUARDIAN</v>
      </c>
    </row>
    <row r="1499" spans="5:8" x14ac:dyDescent="0.25">
      <c r="E1499" t="str">
        <f>""</f>
        <v/>
      </c>
      <c r="F1499" t="str">
        <f>""</f>
        <v/>
      </c>
      <c r="G1499" s="3">
        <v>15.39</v>
      </c>
      <c r="H1499" t="str">
        <f t="shared" si="24"/>
        <v>GUARDIAN</v>
      </c>
    </row>
    <row r="1500" spans="5:8" x14ac:dyDescent="0.25">
      <c r="E1500" t="str">
        <f>""</f>
        <v/>
      </c>
      <c r="F1500" t="str">
        <f>""</f>
        <v/>
      </c>
      <c r="G1500" s="3">
        <v>15.39</v>
      </c>
      <c r="H1500" t="str">
        <f t="shared" si="24"/>
        <v>GUARDIAN</v>
      </c>
    </row>
    <row r="1501" spans="5:8" x14ac:dyDescent="0.25">
      <c r="E1501" t="str">
        <f>""</f>
        <v/>
      </c>
      <c r="F1501" t="str">
        <f>""</f>
        <v/>
      </c>
      <c r="G1501" s="3">
        <v>15.39</v>
      </c>
      <c r="H1501" t="str">
        <f t="shared" si="24"/>
        <v>GUARDIAN</v>
      </c>
    </row>
    <row r="1502" spans="5:8" x14ac:dyDescent="0.25">
      <c r="E1502" t="str">
        <f>""</f>
        <v/>
      </c>
      <c r="F1502" t="str">
        <f>""</f>
        <v/>
      </c>
      <c r="G1502" s="3">
        <v>15.39</v>
      </c>
      <c r="H1502" t="str">
        <f t="shared" si="24"/>
        <v>GUARDIAN</v>
      </c>
    </row>
    <row r="1503" spans="5:8" x14ac:dyDescent="0.25">
      <c r="E1503" t="str">
        <f>""</f>
        <v/>
      </c>
      <c r="F1503" t="str">
        <f>""</f>
        <v/>
      </c>
      <c r="G1503" s="3">
        <v>15.39</v>
      </c>
      <c r="H1503" t="str">
        <f t="shared" si="24"/>
        <v>GUARDIAN</v>
      </c>
    </row>
    <row r="1504" spans="5:8" x14ac:dyDescent="0.25">
      <c r="E1504" t="str">
        <f>""</f>
        <v/>
      </c>
      <c r="F1504" t="str">
        <f>""</f>
        <v/>
      </c>
      <c r="G1504" s="3">
        <v>15.39</v>
      </c>
      <c r="H1504" t="str">
        <f t="shared" si="24"/>
        <v>GUARDIAN</v>
      </c>
    </row>
    <row r="1505" spans="5:8" x14ac:dyDescent="0.25">
      <c r="E1505" t="str">
        <f>""</f>
        <v/>
      </c>
      <c r="F1505" t="str">
        <f>""</f>
        <v/>
      </c>
      <c r="G1505" s="3">
        <v>30.78</v>
      </c>
      <c r="H1505" t="str">
        <f t="shared" si="24"/>
        <v>GUARDIAN</v>
      </c>
    </row>
    <row r="1506" spans="5:8" x14ac:dyDescent="0.25">
      <c r="E1506" t="str">
        <f>""</f>
        <v/>
      </c>
      <c r="F1506" t="str">
        <f>""</f>
        <v/>
      </c>
      <c r="G1506" s="3">
        <v>15.39</v>
      </c>
      <c r="H1506" t="str">
        <f t="shared" si="24"/>
        <v>GUARDIAN</v>
      </c>
    </row>
    <row r="1507" spans="5:8" x14ac:dyDescent="0.25">
      <c r="E1507" t="str">
        <f>""</f>
        <v/>
      </c>
      <c r="F1507" t="str">
        <f>""</f>
        <v/>
      </c>
      <c r="G1507" s="3">
        <v>30.78</v>
      </c>
      <c r="H1507" t="str">
        <f t="shared" si="24"/>
        <v>GUARDIAN</v>
      </c>
    </row>
    <row r="1508" spans="5:8" x14ac:dyDescent="0.25">
      <c r="E1508" t="str">
        <f>""</f>
        <v/>
      </c>
      <c r="F1508" t="str">
        <f>""</f>
        <v/>
      </c>
      <c r="G1508" s="3">
        <v>30.78</v>
      </c>
      <c r="H1508" t="str">
        <f t="shared" si="24"/>
        <v>GUARDIAN</v>
      </c>
    </row>
    <row r="1509" spans="5:8" x14ac:dyDescent="0.25">
      <c r="E1509" t="str">
        <f>""</f>
        <v/>
      </c>
      <c r="F1509" t="str">
        <f>""</f>
        <v/>
      </c>
      <c r="G1509" s="3">
        <v>140.13</v>
      </c>
      <c r="H1509" t="str">
        <f t="shared" si="24"/>
        <v>GUARDIAN</v>
      </c>
    </row>
    <row r="1510" spans="5:8" x14ac:dyDescent="0.25">
      <c r="E1510" t="str">
        <f>""</f>
        <v/>
      </c>
      <c r="F1510" t="str">
        <f>""</f>
        <v/>
      </c>
      <c r="G1510" s="3">
        <v>121.5</v>
      </c>
      <c r="H1510" t="str">
        <f t="shared" si="24"/>
        <v>GUARDIAN</v>
      </c>
    </row>
    <row r="1511" spans="5:8" x14ac:dyDescent="0.25">
      <c r="E1511" t="str">
        <f>""</f>
        <v/>
      </c>
      <c r="F1511" t="str">
        <f>""</f>
        <v/>
      </c>
      <c r="G1511" s="3">
        <v>15.39</v>
      </c>
      <c r="H1511" t="str">
        <f t="shared" si="24"/>
        <v>GUARDIAN</v>
      </c>
    </row>
    <row r="1512" spans="5:8" x14ac:dyDescent="0.25">
      <c r="E1512" t="str">
        <f>""</f>
        <v/>
      </c>
      <c r="F1512" t="str">
        <f>""</f>
        <v/>
      </c>
      <c r="G1512" s="3">
        <v>15.39</v>
      </c>
      <c r="H1512" t="str">
        <f t="shared" si="24"/>
        <v>GUARDIAN</v>
      </c>
    </row>
    <row r="1513" spans="5:8" x14ac:dyDescent="0.25">
      <c r="E1513" t="str">
        <f>""</f>
        <v/>
      </c>
      <c r="F1513" t="str">
        <f>""</f>
        <v/>
      </c>
      <c r="G1513" s="3">
        <v>15.39</v>
      </c>
      <c r="H1513" t="str">
        <f t="shared" ref="H1513:H1576" si="25">"GUARDIAN"</f>
        <v>GUARDIAN</v>
      </c>
    </row>
    <row r="1514" spans="5:8" x14ac:dyDescent="0.25">
      <c r="E1514" t="str">
        <f>""</f>
        <v/>
      </c>
      <c r="F1514" t="str">
        <f>""</f>
        <v/>
      </c>
      <c r="G1514" s="3">
        <v>15.39</v>
      </c>
      <c r="H1514" t="str">
        <f t="shared" si="25"/>
        <v>GUARDIAN</v>
      </c>
    </row>
    <row r="1515" spans="5:8" x14ac:dyDescent="0.25">
      <c r="E1515" t="str">
        <f>""</f>
        <v/>
      </c>
      <c r="F1515" t="str">
        <f>""</f>
        <v/>
      </c>
      <c r="G1515" s="3">
        <v>15.39</v>
      </c>
      <c r="H1515" t="str">
        <f t="shared" si="25"/>
        <v>GUARDIAN</v>
      </c>
    </row>
    <row r="1516" spans="5:8" x14ac:dyDescent="0.25">
      <c r="E1516" t="str">
        <f>""</f>
        <v/>
      </c>
      <c r="F1516" t="str">
        <f>""</f>
        <v/>
      </c>
      <c r="G1516" s="3">
        <v>1566.9</v>
      </c>
      <c r="H1516" t="str">
        <f t="shared" si="25"/>
        <v>GUARDIAN</v>
      </c>
    </row>
    <row r="1517" spans="5:8" x14ac:dyDescent="0.25">
      <c r="E1517" t="str">
        <f>"GDF202108045060"</f>
        <v>GDF202108045060</v>
      </c>
      <c r="F1517" t="str">
        <f>"GUARDIAN"</f>
        <v>GUARDIAN</v>
      </c>
      <c r="G1517" s="3">
        <v>30.78</v>
      </c>
      <c r="H1517" t="str">
        <f t="shared" si="25"/>
        <v>GUARDIAN</v>
      </c>
    </row>
    <row r="1518" spans="5:8" x14ac:dyDescent="0.25">
      <c r="E1518" t="str">
        <f>""</f>
        <v/>
      </c>
      <c r="F1518" t="str">
        <f>""</f>
        <v/>
      </c>
      <c r="G1518" s="3">
        <v>69.64</v>
      </c>
      <c r="H1518" t="str">
        <f t="shared" si="25"/>
        <v>GUARDIAN</v>
      </c>
    </row>
    <row r="1519" spans="5:8" x14ac:dyDescent="0.25">
      <c r="E1519" t="str">
        <f>"GDF202108175280"</f>
        <v>GDF202108175280</v>
      </c>
      <c r="F1519" t="str">
        <f>"GUARDIAN"</f>
        <v>GUARDIAN</v>
      </c>
      <c r="G1519" s="3">
        <v>30.78</v>
      </c>
      <c r="H1519" t="str">
        <f t="shared" si="25"/>
        <v>GUARDIAN</v>
      </c>
    </row>
    <row r="1520" spans="5:8" x14ac:dyDescent="0.25">
      <c r="E1520" t="str">
        <f>""</f>
        <v/>
      </c>
      <c r="F1520" t="str">
        <f>""</f>
        <v/>
      </c>
      <c r="G1520" s="3">
        <v>30.78</v>
      </c>
      <c r="H1520" t="str">
        <f t="shared" si="25"/>
        <v>GUARDIAN</v>
      </c>
    </row>
    <row r="1521" spans="5:8" x14ac:dyDescent="0.25">
      <c r="E1521" t="str">
        <f>""</f>
        <v/>
      </c>
      <c r="F1521" t="str">
        <f>""</f>
        <v/>
      </c>
      <c r="G1521" s="3">
        <v>30.78</v>
      </c>
      <c r="H1521" t="str">
        <f t="shared" si="25"/>
        <v>GUARDIAN</v>
      </c>
    </row>
    <row r="1522" spans="5:8" x14ac:dyDescent="0.25">
      <c r="E1522" t="str">
        <f>""</f>
        <v/>
      </c>
      <c r="F1522" t="str">
        <f>""</f>
        <v/>
      </c>
      <c r="G1522" s="3">
        <v>15.39</v>
      </c>
      <c r="H1522" t="str">
        <f t="shared" si="25"/>
        <v>GUARDIAN</v>
      </c>
    </row>
    <row r="1523" spans="5:8" x14ac:dyDescent="0.25">
      <c r="E1523" t="str">
        <f>""</f>
        <v/>
      </c>
      <c r="F1523" t="str">
        <f>""</f>
        <v/>
      </c>
      <c r="G1523" s="3">
        <v>30.78</v>
      </c>
      <c r="H1523" t="str">
        <f t="shared" si="25"/>
        <v>GUARDIAN</v>
      </c>
    </row>
    <row r="1524" spans="5:8" x14ac:dyDescent="0.25">
      <c r="E1524" t="str">
        <f>""</f>
        <v/>
      </c>
      <c r="F1524" t="str">
        <f>""</f>
        <v/>
      </c>
      <c r="G1524" s="3">
        <v>15.39</v>
      </c>
      <c r="H1524" t="str">
        <f t="shared" si="25"/>
        <v>GUARDIAN</v>
      </c>
    </row>
    <row r="1525" spans="5:8" x14ac:dyDescent="0.25">
      <c r="E1525" t="str">
        <f>""</f>
        <v/>
      </c>
      <c r="F1525" t="str">
        <f>""</f>
        <v/>
      </c>
      <c r="G1525" s="3">
        <v>15.39</v>
      </c>
      <c r="H1525" t="str">
        <f t="shared" si="25"/>
        <v>GUARDIAN</v>
      </c>
    </row>
    <row r="1526" spans="5:8" x14ac:dyDescent="0.25">
      <c r="E1526" t="str">
        <f>""</f>
        <v/>
      </c>
      <c r="F1526" t="str">
        <f>""</f>
        <v/>
      </c>
      <c r="G1526" s="3">
        <v>15.39</v>
      </c>
      <c r="H1526" t="str">
        <f t="shared" si="25"/>
        <v>GUARDIAN</v>
      </c>
    </row>
    <row r="1527" spans="5:8" x14ac:dyDescent="0.25">
      <c r="E1527" t="str">
        <f>""</f>
        <v/>
      </c>
      <c r="F1527" t="str">
        <f>""</f>
        <v/>
      </c>
      <c r="G1527" s="3">
        <v>15.39</v>
      </c>
      <c r="H1527" t="str">
        <f t="shared" si="25"/>
        <v>GUARDIAN</v>
      </c>
    </row>
    <row r="1528" spans="5:8" x14ac:dyDescent="0.25">
      <c r="E1528" t="str">
        <f>""</f>
        <v/>
      </c>
      <c r="F1528" t="str">
        <f>""</f>
        <v/>
      </c>
      <c r="G1528" s="3">
        <v>15.39</v>
      </c>
      <c r="H1528" t="str">
        <f t="shared" si="25"/>
        <v>GUARDIAN</v>
      </c>
    </row>
    <row r="1529" spans="5:8" x14ac:dyDescent="0.25">
      <c r="E1529" t="str">
        <f>""</f>
        <v/>
      </c>
      <c r="F1529" t="str">
        <f>""</f>
        <v/>
      </c>
      <c r="G1529" s="3">
        <v>15.39</v>
      </c>
      <c r="H1529" t="str">
        <f t="shared" si="25"/>
        <v>GUARDIAN</v>
      </c>
    </row>
    <row r="1530" spans="5:8" x14ac:dyDescent="0.25">
      <c r="E1530" t="str">
        <f>""</f>
        <v/>
      </c>
      <c r="F1530" t="str">
        <f>""</f>
        <v/>
      </c>
      <c r="G1530" s="3">
        <v>15.39</v>
      </c>
      <c r="H1530" t="str">
        <f t="shared" si="25"/>
        <v>GUARDIAN</v>
      </c>
    </row>
    <row r="1531" spans="5:8" x14ac:dyDescent="0.25">
      <c r="E1531" t="str">
        <f>""</f>
        <v/>
      </c>
      <c r="F1531" t="str">
        <f>""</f>
        <v/>
      </c>
      <c r="G1531" s="3">
        <v>30.78</v>
      </c>
      <c r="H1531" t="str">
        <f t="shared" si="25"/>
        <v>GUARDIAN</v>
      </c>
    </row>
    <row r="1532" spans="5:8" x14ac:dyDescent="0.25">
      <c r="E1532" t="str">
        <f>""</f>
        <v/>
      </c>
      <c r="F1532" t="str">
        <f>""</f>
        <v/>
      </c>
      <c r="G1532" s="3">
        <v>15.39</v>
      </c>
      <c r="H1532" t="str">
        <f t="shared" si="25"/>
        <v>GUARDIAN</v>
      </c>
    </row>
    <row r="1533" spans="5:8" x14ac:dyDescent="0.25">
      <c r="E1533" t="str">
        <f>""</f>
        <v/>
      </c>
      <c r="F1533" t="str">
        <f>""</f>
        <v/>
      </c>
      <c r="G1533" s="3">
        <v>30.78</v>
      </c>
      <c r="H1533" t="str">
        <f t="shared" si="25"/>
        <v>GUARDIAN</v>
      </c>
    </row>
    <row r="1534" spans="5:8" x14ac:dyDescent="0.25">
      <c r="E1534" t="str">
        <f>""</f>
        <v/>
      </c>
      <c r="F1534" t="str">
        <f>""</f>
        <v/>
      </c>
      <c r="G1534" s="3">
        <v>30.78</v>
      </c>
      <c r="H1534" t="str">
        <f t="shared" si="25"/>
        <v>GUARDIAN</v>
      </c>
    </row>
    <row r="1535" spans="5:8" x14ac:dyDescent="0.25">
      <c r="E1535" t="str">
        <f>""</f>
        <v/>
      </c>
      <c r="F1535" t="str">
        <f>""</f>
        <v/>
      </c>
      <c r="G1535" s="3">
        <v>140.13</v>
      </c>
      <c r="H1535" t="str">
        <f t="shared" si="25"/>
        <v>GUARDIAN</v>
      </c>
    </row>
    <row r="1536" spans="5:8" x14ac:dyDescent="0.25">
      <c r="E1536" t="str">
        <f>""</f>
        <v/>
      </c>
      <c r="F1536" t="str">
        <f>""</f>
        <v/>
      </c>
      <c r="G1536" s="3">
        <v>121.5</v>
      </c>
      <c r="H1536" t="str">
        <f t="shared" si="25"/>
        <v>GUARDIAN</v>
      </c>
    </row>
    <row r="1537" spans="5:8" x14ac:dyDescent="0.25">
      <c r="E1537" t="str">
        <f>""</f>
        <v/>
      </c>
      <c r="F1537" t="str">
        <f>""</f>
        <v/>
      </c>
      <c r="G1537" s="3">
        <v>15.39</v>
      </c>
      <c r="H1537" t="str">
        <f t="shared" si="25"/>
        <v>GUARDIAN</v>
      </c>
    </row>
    <row r="1538" spans="5:8" x14ac:dyDescent="0.25">
      <c r="E1538" t="str">
        <f>""</f>
        <v/>
      </c>
      <c r="F1538" t="str">
        <f>""</f>
        <v/>
      </c>
      <c r="G1538" s="3">
        <v>15.39</v>
      </c>
      <c r="H1538" t="str">
        <f t="shared" si="25"/>
        <v>GUARDIAN</v>
      </c>
    </row>
    <row r="1539" spans="5:8" x14ac:dyDescent="0.25">
      <c r="E1539" t="str">
        <f>""</f>
        <v/>
      </c>
      <c r="F1539" t="str">
        <f>""</f>
        <v/>
      </c>
      <c r="G1539" s="3">
        <v>15.39</v>
      </c>
      <c r="H1539" t="str">
        <f t="shared" si="25"/>
        <v>GUARDIAN</v>
      </c>
    </row>
    <row r="1540" spans="5:8" x14ac:dyDescent="0.25">
      <c r="E1540" t="str">
        <f>""</f>
        <v/>
      </c>
      <c r="F1540" t="str">
        <f>""</f>
        <v/>
      </c>
      <c r="G1540" s="3">
        <v>15.39</v>
      </c>
      <c r="H1540" t="str">
        <f t="shared" si="25"/>
        <v>GUARDIAN</v>
      </c>
    </row>
    <row r="1541" spans="5:8" x14ac:dyDescent="0.25">
      <c r="E1541" t="str">
        <f>""</f>
        <v/>
      </c>
      <c r="F1541" t="str">
        <f>""</f>
        <v/>
      </c>
      <c r="G1541" s="3">
        <v>15.39</v>
      </c>
      <c r="H1541" t="str">
        <f t="shared" si="25"/>
        <v>GUARDIAN</v>
      </c>
    </row>
    <row r="1542" spans="5:8" x14ac:dyDescent="0.25">
      <c r="E1542" t="str">
        <f>""</f>
        <v/>
      </c>
      <c r="F1542" t="str">
        <f>""</f>
        <v/>
      </c>
      <c r="G1542" s="3">
        <v>1566.9</v>
      </c>
      <c r="H1542" t="str">
        <f t="shared" si="25"/>
        <v>GUARDIAN</v>
      </c>
    </row>
    <row r="1543" spans="5:8" x14ac:dyDescent="0.25">
      <c r="E1543" t="str">
        <f>"GDF202108175281"</f>
        <v>GDF202108175281</v>
      </c>
      <c r="F1543" t="str">
        <f>"GUARDIAN"</f>
        <v>GUARDIAN</v>
      </c>
      <c r="G1543" s="3">
        <v>30.78</v>
      </c>
      <c r="H1543" t="str">
        <f t="shared" si="25"/>
        <v>GUARDIAN</v>
      </c>
    </row>
    <row r="1544" spans="5:8" x14ac:dyDescent="0.25">
      <c r="E1544" t="str">
        <f>""</f>
        <v/>
      </c>
      <c r="F1544" t="str">
        <f>""</f>
        <v/>
      </c>
      <c r="G1544" s="3">
        <v>69.64</v>
      </c>
      <c r="H1544" t="str">
        <f t="shared" si="25"/>
        <v>GUARDIAN</v>
      </c>
    </row>
    <row r="1545" spans="5:8" x14ac:dyDescent="0.25">
      <c r="E1545" t="str">
        <f>"GDS202108045059"</f>
        <v>GDS202108045059</v>
      </c>
      <c r="F1545" t="str">
        <f>"GUARDIAN"</f>
        <v>GUARDIAN</v>
      </c>
      <c r="G1545" s="3">
        <v>15.39</v>
      </c>
      <c r="H1545" t="str">
        <f t="shared" si="25"/>
        <v>GUARDIAN</v>
      </c>
    </row>
    <row r="1546" spans="5:8" x14ac:dyDescent="0.25">
      <c r="E1546" t="str">
        <f>""</f>
        <v/>
      </c>
      <c r="F1546" t="str">
        <f>""</f>
        <v/>
      </c>
      <c r="G1546" s="3">
        <v>6.67</v>
      </c>
      <c r="H1546" t="str">
        <f t="shared" si="25"/>
        <v>GUARDIAN</v>
      </c>
    </row>
    <row r="1547" spans="5:8" x14ac:dyDescent="0.25">
      <c r="E1547" t="str">
        <f>""</f>
        <v/>
      </c>
      <c r="F1547" t="str">
        <f>""</f>
        <v/>
      </c>
      <c r="G1547" s="3">
        <v>15.39</v>
      </c>
      <c r="H1547" t="str">
        <f t="shared" si="25"/>
        <v>GUARDIAN</v>
      </c>
    </row>
    <row r="1548" spans="5:8" x14ac:dyDescent="0.25">
      <c r="E1548" t="str">
        <f>""</f>
        <v/>
      </c>
      <c r="F1548" t="str">
        <f>""</f>
        <v/>
      </c>
      <c r="G1548" s="3">
        <v>61.56</v>
      </c>
      <c r="H1548" t="str">
        <f t="shared" si="25"/>
        <v>GUARDIAN</v>
      </c>
    </row>
    <row r="1549" spans="5:8" x14ac:dyDescent="0.25">
      <c r="E1549" t="str">
        <f>""</f>
        <v/>
      </c>
      <c r="F1549" t="str">
        <f>""</f>
        <v/>
      </c>
      <c r="G1549" s="3">
        <v>15.39</v>
      </c>
      <c r="H1549" t="str">
        <f t="shared" si="25"/>
        <v>GUARDIAN</v>
      </c>
    </row>
    <row r="1550" spans="5:8" x14ac:dyDescent="0.25">
      <c r="E1550" t="str">
        <f>""</f>
        <v/>
      </c>
      <c r="F1550" t="str">
        <f>""</f>
        <v/>
      </c>
      <c r="G1550" s="3">
        <v>29.98</v>
      </c>
      <c r="H1550" t="str">
        <f t="shared" si="25"/>
        <v>GUARDIAN</v>
      </c>
    </row>
    <row r="1551" spans="5:8" x14ac:dyDescent="0.25">
      <c r="E1551" t="str">
        <f>""</f>
        <v/>
      </c>
      <c r="F1551" t="str">
        <f>""</f>
        <v/>
      </c>
      <c r="G1551" s="3">
        <v>30.78</v>
      </c>
      <c r="H1551" t="str">
        <f t="shared" si="25"/>
        <v>GUARDIAN</v>
      </c>
    </row>
    <row r="1552" spans="5:8" x14ac:dyDescent="0.25">
      <c r="E1552" t="str">
        <f>""</f>
        <v/>
      </c>
      <c r="F1552" t="str">
        <f>""</f>
        <v/>
      </c>
      <c r="G1552" s="3">
        <v>46.17</v>
      </c>
      <c r="H1552" t="str">
        <f t="shared" si="25"/>
        <v>GUARDIAN</v>
      </c>
    </row>
    <row r="1553" spans="5:8" x14ac:dyDescent="0.25">
      <c r="E1553" t="str">
        <f>""</f>
        <v/>
      </c>
      <c r="F1553" t="str">
        <f>""</f>
        <v/>
      </c>
      <c r="G1553" s="3">
        <v>30.78</v>
      </c>
      <c r="H1553" t="str">
        <f t="shared" si="25"/>
        <v>GUARDIAN</v>
      </c>
    </row>
    <row r="1554" spans="5:8" x14ac:dyDescent="0.25">
      <c r="E1554" t="str">
        <f>""</f>
        <v/>
      </c>
      <c r="F1554" t="str">
        <f>""</f>
        <v/>
      </c>
      <c r="G1554" s="3">
        <v>46.17</v>
      </c>
      <c r="H1554" t="str">
        <f t="shared" si="25"/>
        <v>GUARDIAN</v>
      </c>
    </row>
    <row r="1555" spans="5:8" x14ac:dyDescent="0.25">
      <c r="E1555" t="str">
        <f>""</f>
        <v/>
      </c>
      <c r="F1555" t="str">
        <f>""</f>
        <v/>
      </c>
      <c r="G1555" s="3">
        <v>15.39</v>
      </c>
      <c r="H1555" t="str">
        <f t="shared" si="25"/>
        <v>GUARDIAN</v>
      </c>
    </row>
    <row r="1556" spans="5:8" x14ac:dyDescent="0.25">
      <c r="E1556" t="str">
        <f>""</f>
        <v/>
      </c>
      <c r="F1556" t="str">
        <f>""</f>
        <v/>
      </c>
      <c r="G1556" s="3">
        <v>46.17</v>
      </c>
      <c r="H1556" t="str">
        <f t="shared" si="25"/>
        <v>GUARDIAN</v>
      </c>
    </row>
    <row r="1557" spans="5:8" x14ac:dyDescent="0.25">
      <c r="E1557" t="str">
        <f>""</f>
        <v/>
      </c>
      <c r="F1557" t="str">
        <f>""</f>
        <v/>
      </c>
      <c r="G1557" s="3">
        <v>15.39</v>
      </c>
      <c r="H1557" t="str">
        <f t="shared" si="25"/>
        <v>GUARDIAN</v>
      </c>
    </row>
    <row r="1558" spans="5:8" x14ac:dyDescent="0.25">
      <c r="E1558" t="str">
        <f>""</f>
        <v/>
      </c>
      <c r="F1558" t="str">
        <f>""</f>
        <v/>
      </c>
      <c r="G1558" s="3">
        <v>139.63</v>
      </c>
      <c r="H1558" t="str">
        <f t="shared" si="25"/>
        <v>GUARDIAN</v>
      </c>
    </row>
    <row r="1559" spans="5:8" x14ac:dyDescent="0.25">
      <c r="E1559" t="str">
        <f>""</f>
        <v/>
      </c>
      <c r="F1559" t="str">
        <f>""</f>
        <v/>
      </c>
      <c r="G1559" s="3">
        <v>91.22</v>
      </c>
      <c r="H1559" t="str">
        <f t="shared" si="25"/>
        <v>GUARDIAN</v>
      </c>
    </row>
    <row r="1560" spans="5:8" x14ac:dyDescent="0.25">
      <c r="E1560" t="str">
        <f>""</f>
        <v/>
      </c>
      <c r="F1560" t="str">
        <f>""</f>
        <v/>
      </c>
      <c r="G1560" s="3">
        <v>15.39</v>
      </c>
      <c r="H1560" t="str">
        <f t="shared" si="25"/>
        <v>GUARDIAN</v>
      </c>
    </row>
    <row r="1561" spans="5:8" x14ac:dyDescent="0.25">
      <c r="E1561" t="str">
        <f>""</f>
        <v/>
      </c>
      <c r="F1561" t="str">
        <f>""</f>
        <v/>
      </c>
      <c r="G1561" s="3">
        <v>3.94</v>
      </c>
      <c r="H1561" t="str">
        <f t="shared" si="25"/>
        <v>GUARDIAN</v>
      </c>
    </row>
    <row r="1562" spans="5:8" x14ac:dyDescent="0.25">
      <c r="E1562" t="str">
        <f>""</f>
        <v/>
      </c>
      <c r="F1562" t="str">
        <f>""</f>
        <v/>
      </c>
      <c r="G1562" s="3">
        <v>15.39</v>
      </c>
      <c r="H1562" t="str">
        <f t="shared" si="25"/>
        <v>GUARDIAN</v>
      </c>
    </row>
    <row r="1563" spans="5:8" x14ac:dyDescent="0.25">
      <c r="E1563" t="str">
        <f>""</f>
        <v/>
      </c>
      <c r="F1563" t="str">
        <f>""</f>
        <v/>
      </c>
      <c r="G1563" s="3">
        <v>85.67</v>
      </c>
      <c r="H1563" t="str">
        <f t="shared" si="25"/>
        <v>GUARDIAN</v>
      </c>
    </row>
    <row r="1564" spans="5:8" x14ac:dyDescent="0.25">
      <c r="E1564" t="str">
        <f>""</f>
        <v/>
      </c>
      <c r="F1564" t="str">
        <f>""</f>
        <v/>
      </c>
      <c r="G1564" s="3">
        <v>76.95</v>
      </c>
      <c r="H1564" t="str">
        <f t="shared" si="25"/>
        <v>GUARDIAN</v>
      </c>
    </row>
    <row r="1565" spans="5:8" x14ac:dyDescent="0.25">
      <c r="E1565" t="str">
        <f>""</f>
        <v/>
      </c>
      <c r="F1565" t="str">
        <f>""</f>
        <v/>
      </c>
      <c r="G1565" s="3">
        <v>30.78</v>
      </c>
      <c r="H1565" t="str">
        <f t="shared" si="25"/>
        <v>GUARDIAN</v>
      </c>
    </row>
    <row r="1566" spans="5:8" x14ac:dyDescent="0.25">
      <c r="E1566" t="str">
        <f>""</f>
        <v/>
      </c>
      <c r="F1566" t="str">
        <f>""</f>
        <v/>
      </c>
      <c r="G1566" s="3">
        <v>61.56</v>
      </c>
      <c r="H1566" t="str">
        <f t="shared" si="25"/>
        <v>GUARDIAN</v>
      </c>
    </row>
    <row r="1567" spans="5:8" x14ac:dyDescent="0.25">
      <c r="E1567" t="str">
        <f>""</f>
        <v/>
      </c>
      <c r="F1567" t="str">
        <f>""</f>
        <v/>
      </c>
      <c r="G1567" s="3">
        <v>26.84</v>
      </c>
      <c r="H1567" t="str">
        <f t="shared" si="25"/>
        <v>GUARDIAN</v>
      </c>
    </row>
    <row r="1568" spans="5:8" x14ac:dyDescent="0.25">
      <c r="E1568" t="str">
        <f>""</f>
        <v/>
      </c>
      <c r="F1568" t="str">
        <f>""</f>
        <v/>
      </c>
      <c r="G1568" s="3">
        <v>0.8</v>
      </c>
      <c r="H1568" t="str">
        <f t="shared" si="25"/>
        <v>GUARDIAN</v>
      </c>
    </row>
    <row r="1569" spans="5:8" x14ac:dyDescent="0.25">
      <c r="E1569" t="str">
        <f>""</f>
        <v/>
      </c>
      <c r="F1569" t="str">
        <f>""</f>
        <v/>
      </c>
      <c r="G1569" s="3">
        <v>937.8</v>
      </c>
      <c r="H1569" t="str">
        <f t="shared" si="25"/>
        <v>GUARDIAN</v>
      </c>
    </row>
    <row r="1570" spans="5:8" x14ac:dyDescent="0.25">
      <c r="E1570" t="str">
        <f>"GDS202108175280"</f>
        <v>GDS202108175280</v>
      </c>
      <c r="F1570" t="str">
        <f>"GUARDIAN"</f>
        <v>GUARDIAN</v>
      </c>
      <c r="G1570" s="3">
        <v>15.39</v>
      </c>
      <c r="H1570" t="str">
        <f t="shared" si="25"/>
        <v>GUARDIAN</v>
      </c>
    </row>
    <row r="1571" spans="5:8" x14ac:dyDescent="0.25">
      <c r="E1571" t="str">
        <f>""</f>
        <v/>
      </c>
      <c r="F1571" t="str">
        <f>""</f>
        <v/>
      </c>
      <c r="G1571" s="3">
        <v>6.67</v>
      </c>
      <c r="H1571" t="str">
        <f t="shared" si="25"/>
        <v>GUARDIAN</v>
      </c>
    </row>
    <row r="1572" spans="5:8" x14ac:dyDescent="0.25">
      <c r="E1572" t="str">
        <f>""</f>
        <v/>
      </c>
      <c r="F1572" t="str">
        <f>""</f>
        <v/>
      </c>
      <c r="G1572" s="3">
        <v>15.39</v>
      </c>
      <c r="H1572" t="str">
        <f t="shared" si="25"/>
        <v>GUARDIAN</v>
      </c>
    </row>
    <row r="1573" spans="5:8" x14ac:dyDescent="0.25">
      <c r="E1573" t="str">
        <f>""</f>
        <v/>
      </c>
      <c r="F1573" t="str">
        <f>""</f>
        <v/>
      </c>
      <c r="G1573" s="3">
        <v>61.56</v>
      </c>
      <c r="H1573" t="str">
        <f t="shared" si="25"/>
        <v>GUARDIAN</v>
      </c>
    </row>
    <row r="1574" spans="5:8" x14ac:dyDescent="0.25">
      <c r="E1574" t="str">
        <f>""</f>
        <v/>
      </c>
      <c r="F1574" t="str">
        <f>""</f>
        <v/>
      </c>
      <c r="G1574" s="3">
        <v>15.39</v>
      </c>
      <c r="H1574" t="str">
        <f t="shared" si="25"/>
        <v>GUARDIAN</v>
      </c>
    </row>
    <row r="1575" spans="5:8" x14ac:dyDescent="0.25">
      <c r="E1575" t="str">
        <f>""</f>
        <v/>
      </c>
      <c r="F1575" t="str">
        <f>""</f>
        <v/>
      </c>
      <c r="G1575" s="3">
        <v>29.98</v>
      </c>
      <c r="H1575" t="str">
        <f t="shared" si="25"/>
        <v>GUARDIAN</v>
      </c>
    </row>
    <row r="1576" spans="5:8" x14ac:dyDescent="0.25">
      <c r="E1576" t="str">
        <f>""</f>
        <v/>
      </c>
      <c r="F1576" t="str">
        <f>""</f>
        <v/>
      </c>
      <c r="G1576" s="3">
        <v>30.78</v>
      </c>
      <c r="H1576" t="str">
        <f t="shared" si="25"/>
        <v>GUARDIAN</v>
      </c>
    </row>
    <row r="1577" spans="5:8" x14ac:dyDescent="0.25">
      <c r="E1577" t="str">
        <f>""</f>
        <v/>
      </c>
      <c r="F1577" t="str">
        <f>""</f>
        <v/>
      </c>
      <c r="G1577" s="3">
        <v>46.17</v>
      </c>
      <c r="H1577" t="str">
        <f t="shared" ref="H1577:H1594" si="26">"GUARDIAN"</f>
        <v>GUARDIAN</v>
      </c>
    </row>
    <row r="1578" spans="5:8" x14ac:dyDescent="0.25">
      <c r="E1578" t="str">
        <f>""</f>
        <v/>
      </c>
      <c r="F1578" t="str">
        <f>""</f>
        <v/>
      </c>
      <c r="G1578" s="3">
        <v>30.78</v>
      </c>
      <c r="H1578" t="str">
        <f t="shared" si="26"/>
        <v>GUARDIAN</v>
      </c>
    </row>
    <row r="1579" spans="5:8" x14ac:dyDescent="0.25">
      <c r="E1579" t="str">
        <f>""</f>
        <v/>
      </c>
      <c r="F1579" t="str">
        <f>""</f>
        <v/>
      </c>
      <c r="G1579" s="3">
        <v>46.17</v>
      </c>
      <c r="H1579" t="str">
        <f t="shared" si="26"/>
        <v>GUARDIAN</v>
      </c>
    </row>
    <row r="1580" spans="5:8" x14ac:dyDescent="0.25">
      <c r="E1580" t="str">
        <f>""</f>
        <v/>
      </c>
      <c r="F1580" t="str">
        <f>""</f>
        <v/>
      </c>
      <c r="G1580" s="3">
        <v>15.39</v>
      </c>
      <c r="H1580" t="str">
        <f t="shared" si="26"/>
        <v>GUARDIAN</v>
      </c>
    </row>
    <row r="1581" spans="5:8" x14ac:dyDescent="0.25">
      <c r="E1581" t="str">
        <f>""</f>
        <v/>
      </c>
      <c r="F1581" t="str">
        <f>""</f>
        <v/>
      </c>
      <c r="G1581" s="3">
        <v>46.17</v>
      </c>
      <c r="H1581" t="str">
        <f t="shared" si="26"/>
        <v>GUARDIAN</v>
      </c>
    </row>
    <row r="1582" spans="5:8" x14ac:dyDescent="0.25">
      <c r="E1582" t="str">
        <f>""</f>
        <v/>
      </c>
      <c r="F1582" t="str">
        <f>""</f>
        <v/>
      </c>
      <c r="G1582" s="3">
        <v>15.39</v>
      </c>
      <c r="H1582" t="str">
        <f t="shared" si="26"/>
        <v>GUARDIAN</v>
      </c>
    </row>
    <row r="1583" spans="5:8" x14ac:dyDescent="0.25">
      <c r="E1583" t="str">
        <f>""</f>
        <v/>
      </c>
      <c r="F1583" t="str">
        <f>""</f>
        <v/>
      </c>
      <c r="G1583" s="3">
        <v>139.75</v>
      </c>
      <c r="H1583" t="str">
        <f t="shared" si="26"/>
        <v>GUARDIAN</v>
      </c>
    </row>
    <row r="1584" spans="5:8" x14ac:dyDescent="0.25">
      <c r="E1584" t="str">
        <f>""</f>
        <v/>
      </c>
      <c r="F1584" t="str">
        <f>""</f>
        <v/>
      </c>
      <c r="G1584" s="3">
        <v>91.1</v>
      </c>
      <c r="H1584" t="str">
        <f t="shared" si="26"/>
        <v>GUARDIAN</v>
      </c>
    </row>
    <row r="1585" spans="5:8" x14ac:dyDescent="0.25">
      <c r="E1585" t="str">
        <f>""</f>
        <v/>
      </c>
      <c r="F1585" t="str">
        <f>""</f>
        <v/>
      </c>
      <c r="G1585" s="3">
        <v>15.39</v>
      </c>
      <c r="H1585" t="str">
        <f t="shared" si="26"/>
        <v>GUARDIAN</v>
      </c>
    </row>
    <row r="1586" spans="5:8" x14ac:dyDescent="0.25">
      <c r="E1586" t="str">
        <f>""</f>
        <v/>
      </c>
      <c r="F1586" t="str">
        <f>""</f>
        <v/>
      </c>
      <c r="G1586" s="3">
        <v>3.94</v>
      </c>
      <c r="H1586" t="str">
        <f t="shared" si="26"/>
        <v>GUARDIAN</v>
      </c>
    </row>
    <row r="1587" spans="5:8" x14ac:dyDescent="0.25">
      <c r="E1587" t="str">
        <f>""</f>
        <v/>
      </c>
      <c r="F1587" t="str">
        <f>""</f>
        <v/>
      </c>
      <c r="G1587" s="3">
        <v>15.39</v>
      </c>
      <c r="H1587" t="str">
        <f t="shared" si="26"/>
        <v>GUARDIAN</v>
      </c>
    </row>
    <row r="1588" spans="5:8" x14ac:dyDescent="0.25">
      <c r="E1588" t="str">
        <f>""</f>
        <v/>
      </c>
      <c r="F1588" t="str">
        <f>""</f>
        <v/>
      </c>
      <c r="G1588" s="3">
        <v>85.67</v>
      </c>
      <c r="H1588" t="str">
        <f t="shared" si="26"/>
        <v>GUARDIAN</v>
      </c>
    </row>
    <row r="1589" spans="5:8" x14ac:dyDescent="0.25">
      <c r="E1589" t="str">
        <f>""</f>
        <v/>
      </c>
      <c r="F1589" t="str">
        <f>""</f>
        <v/>
      </c>
      <c r="G1589" s="3">
        <v>76.95</v>
      </c>
      <c r="H1589" t="str">
        <f t="shared" si="26"/>
        <v>GUARDIAN</v>
      </c>
    </row>
    <row r="1590" spans="5:8" x14ac:dyDescent="0.25">
      <c r="E1590" t="str">
        <f>""</f>
        <v/>
      </c>
      <c r="F1590" t="str">
        <f>""</f>
        <v/>
      </c>
      <c r="G1590" s="3">
        <v>30.78</v>
      </c>
      <c r="H1590" t="str">
        <f t="shared" si="26"/>
        <v>GUARDIAN</v>
      </c>
    </row>
    <row r="1591" spans="5:8" x14ac:dyDescent="0.25">
      <c r="E1591" t="str">
        <f>""</f>
        <v/>
      </c>
      <c r="F1591" t="str">
        <f>""</f>
        <v/>
      </c>
      <c r="G1591" s="3">
        <v>61.56</v>
      </c>
      <c r="H1591" t="str">
        <f t="shared" si="26"/>
        <v>GUARDIAN</v>
      </c>
    </row>
    <row r="1592" spans="5:8" x14ac:dyDescent="0.25">
      <c r="E1592" t="str">
        <f>""</f>
        <v/>
      </c>
      <c r="F1592" t="str">
        <f>""</f>
        <v/>
      </c>
      <c r="G1592" s="3">
        <v>26.84</v>
      </c>
      <c r="H1592" t="str">
        <f t="shared" si="26"/>
        <v>GUARDIAN</v>
      </c>
    </row>
    <row r="1593" spans="5:8" x14ac:dyDescent="0.25">
      <c r="E1593" t="str">
        <f>""</f>
        <v/>
      </c>
      <c r="F1593" t="str">
        <f>""</f>
        <v/>
      </c>
      <c r="G1593" s="3">
        <v>0.8</v>
      </c>
      <c r="H1593" t="str">
        <f t="shared" si="26"/>
        <v>GUARDIAN</v>
      </c>
    </row>
    <row r="1594" spans="5:8" x14ac:dyDescent="0.25">
      <c r="E1594" t="str">
        <f>""</f>
        <v/>
      </c>
      <c r="F1594" t="str">
        <f>""</f>
        <v/>
      </c>
      <c r="G1594" s="3">
        <v>937.8</v>
      </c>
      <c r="H1594" t="str">
        <f t="shared" si="26"/>
        <v>GUARDIAN</v>
      </c>
    </row>
    <row r="1595" spans="5:8" x14ac:dyDescent="0.25">
      <c r="E1595" t="str">
        <f>"GV1202108045059"</f>
        <v>GV1202108045059</v>
      </c>
      <c r="F1595" t="str">
        <f>"GUARDIAN VISION"</f>
        <v>GUARDIAN VISION</v>
      </c>
      <c r="G1595" s="3">
        <v>425.6</v>
      </c>
      <c r="H1595" t="str">
        <f>"GUARDIAN VISION"</f>
        <v>GUARDIAN VISION</v>
      </c>
    </row>
    <row r="1596" spans="5:8" x14ac:dyDescent="0.25">
      <c r="E1596" t="str">
        <f>"GV1202108045060"</f>
        <v>GV1202108045060</v>
      </c>
      <c r="F1596" t="str">
        <f>"GUARDIAN VISION"</f>
        <v>GUARDIAN VISION</v>
      </c>
      <c r="G1596" s="3">
        <v>5.6</v>
      </c>
      <c r="H1596" t="str">
        <f>"GUARDIAN VISION"</f>
        <v>GUARDIAN VISION</v>
      </c>
    </row>
    <row r="1597" spans="5:8" x14ac:dyDescent="0.25">
      <c r="E1597" t="str">
        <f>"GV1202108175280"</f>
        <v>GV1202108175280</v>
      </c>
      <c r="F1597" t="str">
        <f>"GUARDIAN VISION"</f>
        <v>GUARDIAN VISION</v>
      </c>
      <c r="G1597" s="3">
        <v>425.6</v>
      </c>
      <c r="H1597" t="str">
        <f>"GUARDIAN VISION"</f>
        <v>GUARDIAN VISION</v>
      </c>
    </row>
    <row r="1598" spans="5:8" x14ac:dyDescent="0.25">
      <c r="E1598" t="str">
        <f>"GV1202108175281"</f>
        <v>GV1202108175281</v>
      </c>
      <c r="F1598" t="str">
        <f>"GUARDIAN VISION"</f>
        <v>GUARDIAN VISION</v>
      </c>
      <c r="G1598" s="3">
        <v>5.6</v>
      </c>
      <c r="H1598" t="str">
        <f>"GUARDIAN VISION"</f>
        <v>GUARDIAN VISION</v>
      </c>
    </row>
    <row r="1599" spans="5:8" x14ac:dyDescent="0.25">
      <c r="E1599" t="str">
        <f>"GVE202108045059"</f>
        <v>GVE202108045059</v>
      </c>
      <c r="F1599" t="str">
        <f>"GUARDIAN VISION VENDOR"</f>
        <v>GUARDIAN VISION VENDOR</v>
      </c>
      <c r="G1599" s="3">
        <v>660.51</v>
      </c>
      <c r="H1599" t="str">
        <f>"GUARDIAN VISION VENDOR"</f>
        <v>GUARDIAN VISION VENDOR</v>
      </c>
    </row>
    <row r="1600" spans="5:8" x14ac:dyDescent="0.25">
      <c r="E1600" t="str">
        <f>"GVE202108045060"</f>
        <v>GVE202108045060</v>
      </c>
      <c r="F1600" t="str">
        <f>"GUARDIAN VISION VENDOR"</f>
        <v>GUARDIAN VISION VENDOR</v>
      </c>
      <c r="G1600" s="3">
        <v>29.52</v>
      </c>
      <c r="H1600" t="str">
        <f>"GUARDIAN VISION VENDOR"</f>
        <v>GUARDIAN VISION VENDOR</v>
      </c>
    </row>
    <row r="1601" spans="5:8" x14ac:dyDescent="0.25">
      <c r="E1601" t="str">
        <f>"GVE202108175280"</f>
        <v>GVE202108175280</v>
      </c>
      <c r="F1601" t="str">
        <f>"GUARDIAN VISION VENDOR"</f>
        <v>GUARDIAN VISION VENDOR</v>
      </c>
      <c r="G1601" s="3">
        <v>660.51</v>
      </c>
      <c r="H1601" t="str">
        <f>"GUARDIAN VISION VENDOR"</f>
        <v>GUARDIAN VISION VENDOR</v>
      </c>
    </row>
    <row r="1602" spans="5:8" x14ac:dyDescent="0.25">
      <c r="E1602" t="str">
        <f>"GVE202108175281"</f>
        <v>GVE202108175281</v>
      </c>
      <c r="F1602" t="str">
        <f>"GUARDIAN VISION VENDOR"</f>
        <v>GUARDIAN VISION VENDOR</v>
      </c>
      <c r="G1602" s="3">
        <v>29.52</v>
      </c>
      <c r="H1602" t="str">
        <f>"GUARDIAN VISION VENDOR"</f>
        <v>GUARDIAN VISION VENDOR</v>
      </c>
    </row>
    <row r="1603" spans="5:8" x14ac:dyDescent="0.25">
      <c r="E1603" t="str">
        <f>"GVF202108045059"</f>
        <v>GVF202108045059</v>
      </c>
      <c r="F1603" t="str">
        <f>"GUARDIAN VISION"</f>
        <v>GUARDIAN VISION</v>
      </c>
      <c r="G1603" s="3">
        <v>541.75</v>
      </c>
      <c r="H1603" t="str">
        <f>"GUARDIAN VISION"</f>
        <v>GUARDIAN VISION</v>
      </c>
    </row>
    <row r="1604" spans="5:8" x14ac:dyDescent="0.25">
      <c r="E1604" t="str">
        <f>"GVF202108045060"</f>
        <v>GVF202108045060</v>
      </c>
      <c r="F1604" t="str">
        <f>"GUARDIAN VISION VENDOR"</f>
        <v>GUARDIAN VISION VENDOR</v>
      </c>
      <c r="G1604" s="3">
        <v>19.7</v>
      </c>
      <c r="H1604" t="str">
        <f>"GUARDIAN VISION VENDOR"</f>
        <v>GUARDIAN VISION VENDOR</v>
      </c>
    </row>
    <row r="1605" spans="5:8" x14ac:dyDescent="0.25">
      <c r="E1605" t="str">
        <f>"GVF202108175280"</f>
        <v>GVF202108175280</v>
      </c>
      <c r="F1605" t="str">
        <f>"GUARDIAN VISION"</f>
        <v>GUARDIAN VISION</v>
      </c>
      <c r="G1605" s="3">
        <v>541.75</v>
      </c>
      <c r="H1605" t="str">
        <f>"GUARDIAN VISION"</f>
        <v>GUARDIAN VISION</v>
      </c>
    </row>
    <row r="1606" spans="5:8" x14ac:dyDescent="0.25">
      <c r="E1606" t="str">
        <f>"GVF202108175281"</f>
        <v>GVF202108175281</v>
      </c>
      <c r="F1606" t="str">
        <f>"GUARDIAN VISION VENDOR"</f>
        <v>GUARDIAN VISION VENDOR</v>
      </c>
      <c r="G1606" s="3">
        <v>19.7</v>
      </c>
      <c r="H1606" t="str">
        <f>"GUARDIAN VISION VENDOR"</f>
        <v>GUARDIAN VISION VENDOR</v>
      </c>
    </row>
    <row r="1607" spans="5:8" x14ac:dyDescent="0.25">
      <c r="E1607" t="str">
        <f>"LIA202108045059"</f>
        <v>LIA202108045059</v>
      </c>
      <c r="F1607" t="str">
        <f>"GUARDIAN"</f>
        <v>GUARDIAN</v>
      </c>
      <c r="G1607" s="3">
        <v>0.86</v>
      </c>
      <c r="H1607" t="str">
        <f t="shared" ref="H1607:H1638" si="27">"GUARDIAN"</f>
        <v>GUARDIAN</v>
      </c>
    </row>
    <row r="1608" spans="5:8" x14ac:dyDescent="0.25">
      <c r="E1608" t="str">
        <f>""</f>
        <v/>
      </c>
      <c r="F1608" t="str">
        <f>""</f>
        <v/>
      </c>
      <c r="G1608" s="3">
        <v>0.74</v>
      </c>
      <c r="H1608" t="str">
        <f t="shared" si="27"/>
        <v>GUARDIAN</v>
      </c>
    </row>
    <row r="1609" spans="5:8" x14ac:dyDescent="0.25">
      <c r="E1609" t="str">
        <f>""</f>
        <v/>
      </c>
      <c r="F1609" t="str">
        <f>""</f>
        <v/>
      </c>
      <c r="G1609" s="3">
        <v>1.4</v>
      </c>
      <c r="H1609" t="str">
        <f t="shared" si="27"/>
        <v>GUARDIAN</v>
      </c>
    </row>
    <row r="1610" spans="5:8" x14ac:dyDescent="0.25">
      <c r="E1610" t="str">
        <f>""</f>
        <v/>
      </c>
      <c r="F1610" t="str">
        <f>""</f>
        <v/>
      </c>
      <c r="G1610" s="3">
        <v>2.61</v>
      </c>
      <c r="H1610" t="str">
        <f t="shared" si="27"/>
        <v>GUARDIAN</v>
      </c>
    </row>
    <row r="1611" spans="5:8" x14ac:dyDescent="0.25">
      <c r="E1611" t="str">
        <f>""</f>
        <v/>
      </c>
      <c r="F1611" t="str">
        <f>""</f>
        <v/>
      </c>
      <c r="G1611" s="3">
        <v>6.46</v>
      </c>
      <c r="H1611" t="str">
        <f t="shared" si="27"/>
        <v>GUARDIAN</v>
      </c>
    </row>
    <row r="1612" spans="5:8" x14ac:dyDescent="0.25">
      <c r="E1612" t="str">
        <f>""</f>
        <v/>
      </c>
      <c r="F1612" t="str">
        <f>""</f>
        <v/>
      </c>
      <c r="G1612" s="3">
        <v>0.54</v>
      </c>
      <c r="H1612" t="str">
        <f t="shared" si="27"/>
        <v>GUARDIAN</v>
      </c>
    </row>
    <row r="1613" spans="5:8" x14ac:dyDescent="0.25">
      <c r="E1613" t="str">
        <f>""</f>
        <v/>
      </c>
      <c r="F1613" t="str">
        <f>""</f>
        <v/>
      </c>
      <c r="G1613" s="3">
        <v>2.73</v>
      </c>
      <c r="H1613" t="str">
        <f t="shared" si="27"/>
        <v>GUARDIAN</v>
      </c>
    </row>
    <row r="1614" spans="5:8" x14ac:dyDescent="0.25">
      <c r="E1614" t="str">
        <f>""</f>
        <v/>
      </c>
      <c r="F1614" t="str">
        <f>""</f>
        <v/>
      </c>
      <c r="G1614" s="3">
        <v>0.86</v>
      </c>
      <c r="H1614" t="str">
        <f t="shared" si="27"/>
        <v>GUARDIAN</v>
      </c>
    </row>
    <row r="1615" spans="5:8" x14ac:dyDescent="0.25">
      <c r="E1615" t="str">
        <f>""</f>
        <v/>
      </c>
      <c r="F1615" t="str">
        <f>""</f>
        <v/>
      </c>
      <c r="G1615" s="3">
        <v>1.4</v>
      </c>
      <c r="H1615" t="str">
        <f t="shared" si="27"/>
        <v>GUARDIAN</v>
      </c>
    </row>
    <row r="1616" spans="5:8" x14ac:dyDescent="0.25">
      <c r="E1616" t="str">
        <f>""</f>
        <v/>
      </c>
      <c r="F1616" t="str">
        <f>""</f>
        <v/>
      </c>
      <c r="G1616" s="3">
        <v>1.4</v>
      </c>
      <c r="H1616" t="str">
        <f t="shared" si="27"/>
        <v>GUARDIAN</v>
      </c>
    </row>
    <row r="1617" spans="5:8" x14ac:dyDescent="0.25">
      <c r="E1617" t="str">
        <f>""</f>
        <v/>
      </c>
      <c r="F1617" t="str">
        <f>""</f>
        <v/>
      </c>
      <c r="G1617" s="3">
        <v>0.22</v>
      </c>
      <c r="H1617" t="str">
        <f t="shared" si="27"/>
        <v>GUARDIAN</v>
      </c>
    </row>
    <row r="1618" spans="5:8" x14ac:dyDescent="0.25">
      <c r="E1618" t="str">
        <f>""</f>
        <v/>
      </c>
      <c r="F1618" t="str">
        <f>""</f>
        <v/>
      </c>
      <c r="G1618" s="3">
        <v>1.94</v>
      </c>
      <c r="H1618" t="str">
        <f t="shared" si="27"/>
        <v>GUARDIAN</v>
      </c>
    </row>
    <row r="1619" spans="5:8" x14ac:dyDescent="0.25">
      <c r="E1619" t="str">
        <f>""</f>
        <v/>
      </c>
      <c r="F1619" t="str">
        <f>""</f>
        <v/>
      </c>
      <c r="G1619" s="3">
        <v>0.86</v>
      </c>
      <c r="H1619" t="str">
        <f t="shared" si="27"/>
        <v>GUARDIAN</v>
      </c>
    </row>
    <row r="1620" spans="5:8" x14ac:dyDescent="0.25">
      <c r="E1620" t="str">
        <f>""</f>
        <v/>
      </c>
      <c r="F1620" t="str">
        <f>""</f>
        <v/>
      </c>
      <c r="G1620" s="3">
        <v>3.13</v>
      </c>
      <c r="H1620" t="str">
        <f t="shared" si="27"/>
        <v>GUARDIAN</v>
      </c>
    </row>
    <row r="1621" spans="5:8" x14ac:dyDescent="0.25">
      <c r="E1621" t="str">
        <f>""</f>
        <v/>
      </c>
      <c r="F1621" t="str">
        <f>""</f>
        <v/>
      </c>
      <c r="G1621" s="3">
        <v>1.4</v>
      </c>
      <c r="H1621" t="str">
        <f t="shared" si="27"/>
        <v>GUARDIAN</v>
      </c>
    </row>
    <row r="1622" spans="5:8" x14ac:dyDescent="0.25">
      <c r="E1622" t="str">
        <f>""</f>
        <v/>
      </c>
      <c r="F1622" t="str">
        <f>""</f>
        <v/>
      </c>
      <c r="G1622" s="3">
        <v>1.4</v>
      </c>
      <c r="H1622" t="str">
        <f t="shared" si="27"/>
        <v>GUARDIAN</v>
      </c>
    </row>
    <row r="1623" spans="5:8" x14ac:dyDescent="0.25">
      <c r="E1623" t="str">
        <f>""</f>
        <v/>
      </c>
      <c r="F1623" t="str">
        <f>""</f>
        <v/>
      </c>
      <c r="G1623" s="3">
        <v>0.11</v>
      </c>
      <c r="H1623" t="str">
        <f t="shared" si="27"/>
        <v>GUARDIAN</v>
      </c>
    </row>
    <row r="1624" spans="5:8" x14ac:dyDescent="0.25">
      <c r="E1624" t="str">
        <f>""</f>
        <v/>
      </c>
      <c r="F1624" t="str">
        <f>""</f>
        <v/>
      </c>
      <c r="G1624" s="3">
        <v>0.49</v>
      </c>
      <c r="H1624" t="str">
        <f t="shared" si="27"/>
        <v>GUARDIAN</v>
      </c>
    </row>
    <row r="1625" spans="5:8" x14ac:dyDescent="0.25">
      <c r="E1625" t="str">
        <f>""</f>
        <v/>
      </c>
      <c r="F1625" t="str">
        <f>""</f>
        <v/>
      </c>
      <c r="G1625" s="3">
        <v>1.4</v>
      </c>
      <c r="H1625" t="str">
        <f t="shared" si="27"/>
        <v>GUARDIAN</v>
      </c>
    </row>
    <row r="1626" spans="5:8" x14ac:dyDescent="0.25">
      <c r="E1626" t="str">
        <f>""</f>
        <v/>
      </c>
      <c r="F1626" t="str">
        <f>""</f>
        <v/>
      </c>
      <c r="G1626" s="3">
        <v>3.29</v>
      </c>
      <c r="H1626" t="str">
        <f t="shared" si="27"/>
        <v>GUARDIAN</v>
      </c>
    </row>
    <row r="1627" spans="5:8" x14ac:dyDescent="0.25">
      <c r="E1627" t="str">
        <f>""</f>
        <v/>
      </c>
      <c r="F1627" t="str">
        <f>""</f>
        <v/>
      </c>
      <c r="G1627" s="3">
        <v>0.86</v>
      </c>
      <c r="H1627" t="str">
        <f t="shared" si="27"/>
        <v>GUARDIAN</v>
      </c>
    </row>
    <row r="1628" spans="5:8" x14ac:dyDescent="0.25">
      <c r="E1628" t="str">
        <f>""</f>
        <v/>
      </c>
      <c r="F1628" t="str">
        <f>""</f>
        <v/>
      </c>
      <c r="G1628" s="3">
        <v>0.75</v>
      </c>
      <c r="H1628" t="str">
        <f t="shared" si="27"/>
        <v>GUARDIAN</v>
      </c>
    </row>
    <row r="1629" spans="5:8" x14ac:dyDescent="0.25">
      <c r="E1629" t="str">
        <f>""</f>
        <v/>
      </c>
      <c r="F1629" t="str">
        <f>""</f>
        <v/>
      </c>
      <c r="G1629" s="3">
        <v>7.0000000000000007E-2</v>
      </c>
      <c r="H1629" t="str">
        <f t="shared" si="27"/>
        <v>GUARDIAN</v>
      </c>
    </row>
    <row r="1630" spans="5:8" x14ac:dyDescent="0.25">
      <c r="E1630" t="str">
        <f>""</f>
        <v/>
      </c>
      <c r="F1630" t="str">
        <f>""</f>
        <v/>
      </c>
      <c r="G1630" s="3">
        <v>260.37</v>
      </c>
      <c r="H1630" t="str">
        <f t="shared" si="27"/>
        <v>GUARDIAN</v>
      </c>
    </row>
    <row r="1631" spans="5:8" x14ac:dyDescent="0.25">
      <c r="E1631" t="str">
        <f>"LIA202108045060"</f>
        <v>LIA202108045060</v>
      </c>
      <c r="F1631" t="str">
        <f>"GUARDIAN"</f>
        <v>GUARDIAN</v>
      </c>
      <c r="G1631" s="3">
        <v>1.4</v>
      </c>
      <c r="H1631" t="str">
        <f t="shared" si="27"/>
        <v>GUARDIAN</v>
      </c>
    </row>
    <row r="1632" spans="5:8" x14ac:dyDescent="0.25">
      <c r="E1632" t="str">
        <f>""</f>
        <v/>
      </c>
      <c r="F1632" t="str">
        <f>""</f>
        <v/>
      </c>
      <c r="G1632" s="3">
        <v>39.590000000000003</v>
      </c>
      <c r="H1632" t="str">
        <f t="shared" si="27"/>
        <v>GUARDIAN</v>
      </c>
    </row>
    <row r="1633" spans="5:8" x14ac:dyDescent="0.25">
      <c r="E1633" t="str">
        <f>"LIA202108175280"</f>
        <v>LIA202108175280</v>
      </c>
      <c r="F1633" t="str">
        <f>"GUARDIAN"</f>
        <v>GUARDIAN</v>
      </c>
      <c r="G1633" s="3">
        <v>0.86</v>
      </c>
      <c r="H1633" t="str">
        <f t="shared" si="27"/>
        <v>GUARDIAN</v>
      </c>
    </row>
    <row r="1634" spans="5:8" x14ac:dyDescent="0.25">
      <c r="E1634" t="str">
        <f>""</f>
        <v/>
      </c>
      <c r="F1634" t="str">
        <f>""</f>
        <v/>
      </c>
      <c r="G1634" s="3">
        <v>0.74</v>
      </c>
      <c r="H1634" t="str">
        <f t="shared" si="27"/>
        <v>GUARDIAN</v>
      </c>
    </row>
    <row r="1635" spans="5:8" x14ac:dyDescent="0.25">
      <c r="E1635" t="str">
        <f>""</f>
        <v/>
      </c>
      <c r="F1635" t="str">
        <f>""</f>
        <v/>
      </c>
      <c r="G1635" s="3">
        <v>1.4</v>
      </c>
      <c r="H1635" t="str">
        <f t="shared" si="27"/>
        <v>GUARDIAN</v>
      </c>
    </row>
    <row r="1636" spans="5:8" x14ac:dyDescent="0.25">
      <c r="E1636" t="str">
        <f>""</f>
        <v/>
      </c>
      <c r="F1636" t="str">
        <f>""</f>
        <v/>
      </c>
      <c r="G1636" s="3">
        <v>1.4</v>
      </c>
      <c r="H1636" t="str">
        <f t="shared" si="27"/>
        <v>GUARDIAN</v>
      </c>
    </row>
    <row r="1637" spans="5:8" x14ac:dyDescent="0.25">
      <c r="E1637" t="str">
        <f>""</f>
        <v/>
      </c>
      <c r="F1637" t="str">
        <f>""</f>
        <v/>
      </c>
      <c r="G1637" s="3">
        <v>6.46</v>
      </c>
      <c r="H1637" t="str">
        <f t="shared" si="27"/>
        <v>GUARDIAN</v>
      </c>
    </row>
    <row r="1638" spans="5:8" x14ac:dyDescent="0.25">
      <c r="E1638" t="str">
        <f>""</f>
        <v/>
      </c>
      <c r="F1638" t="str">
        <f>""</f>
        <v/>
      </c>
      <c r="G1638" s="3">
        <v>0.54</v>
      </c>
      <c r="H1638" t="str">
        <f t="shared" si="27"/>
        <v>GUARDIAN</v>
      </c>
    </row>
    <row r="1639" spans="5:8" x14ac:dyDescent="0.25">
      <c r="E1639" t="str">
        <f>""</f>
        <v/>
      </c>
      <c r="F1639" t="str">
        <f>""</f>
        <v/>
      </c>
      <c r="G1639" s="3">
        <v>2.73</v>
      </c>
      <c r="H1639" t="str">
        <f t="shared" ref="H1639:H1670" si="28">"GUARDIAN"</f>
        <v>GUARDIAN</v>
      </c>
    </row>
    <row r="1640" spans="5:8" x14ac:dyDescent="0.25">
      <c r="E1640" t="str">
        <f>""</f>
        <v/>
      </c>
      <c r="F1640" t="str">
        <f>""</f>
        <v/>
      </c>
      <c r="G1640" s="3">
        <v>0.86</v>
      </c>
      <c r="H1640" t="str">
        <f t="shared" si="28"/>
        <v>GUARDIAN</v>
      </c>
    </row>
    <row r="1641" spans="5:8" x14ac:dyDescent="0.25">
      <c r="E1641" t="str">
        <f>""</f>
        <v/>
      </c>
      <c r="F1641" t="str">
        <f>""</f>
        <v/>
      </c>
      <c r="G1641" s="3">
        <v>1.4</v>
      </c>
      <c r="H1641" t="str">
        <f t="shared" si="28"/>
        <v>GUARDIAN</v>
      </c>
    </row>
    <row r="1642" spans="5:8" x14ac:dyDescent="0.25">
      <c r="E1642" t="str">
        <f>""</f>
        <v/>
      </c>
      <c r="F1642" t="str">
        <f>""</f>
        <v/>
      </c>
      <c r="G1642" s="3">
        <v>1.4</v>
      </c>
      <c r="H1642" t="str">
        <f t="shared" si="28"/>
        <v>GUARDIAN</v>
      </c>
    </row>
    <row r="1643" spans="5:8" x14ac:dyDescent="0.25">
      <c r="E1643" t="str">
        <f>""</f>
        <v/>
      </c>
      <c r="F1643" t="str">
        <f>""</f>
        <v/>
      </c>
      <c r="G1643" s="3">
        <v>0.22</v>
      </c>
      <c r="H1643" t="str">
        <f t="shared" si="28"/>
        <v>GUARDIAN</v>
      </c>
    </row>
    <row r="1644" spans="5:8" x14ac:dyDescent="0.25">
      <c r="E1644" t="str">
        <f>""</f>
        <v/>
      </c>
      <c r="F1644" t="str">
        <f>""</f>
        <v/>
      </c>
      <c r="G1644" s="3">
        <v>1.94</v>
      </c>
      <c r="H1644" t="str">
        <f t="shared" si="28"/>
        <v>GUARDIAN</v>
      </c>
    </row>
    <row r="1645" spans="5:8" x14ac:dyDescent="0.25">
      <c r="E1645" t="str">
        <f>""</f>
        <v/>
      </c>
      <c r="F1645" t="str">
        <f>""</f>
        <v/>
      </c>
      <c r="G1645" s="3">
        <v>0.86</v>
      </c>
      <c r="H1645" t="str">
        <f t="shared" si="28"/>
        <v>GUARDIAN</v>
      </c>
    </row>
    <row r="1646" spans="5:8" x14ac:dyDescent="0.25">
      <c r="E1646" t="str">
        <f>""</f>
        <v/>
      </c>
      <c r="F1646" t="str">
        <f>""</f>
        <v/>
      </c>
      <c r="G1646" s="3">
        <v>3.13</v>
      </c>
      <c r="H1646" t="str">
        <f t="shared" si="28"/>
        <v>GUARDIAN</v>
      </c>
    </row>
    <row r="1647" spans="5:8" x14ac:dyDescent="0.25">
      <c r="E1647" t="str">
        <f>""</f>
        <v/>
      </c>
      <c r="F1647" t="str">
        <f>""</f>
        <v/>
      </c>
      <c r="G1647" s="3">
        <v>1.4</v>
      </c>
      <c r="H1647" t="str">
        <f t="shared" si="28"/>
        <v>GUARDIAN</v>
      </c>
    </row>
    <row r="1648" spans="5:8" x14ac:dyDescent="0.25">
      <c r="E1648" t="str">
        <f>""</f>
        <v/>
      </c>
      <c r="F1648" t="str">
        <f>""</f>
        <v/>
      </c>
      <c r="G1648" s="3">
        <v>1.4</v>
      </c>
      <c r="H1648" t="str">
        <f t="shared" si="28"/>
        <v>GUARDIAN</v>
      </c>
    </row>
    <row r="1649" spans="5:8" x14ac:dyDescent="0.25">
      <c r="E1649" t="str">
        <f>""</f>
        <v/>
      </c>
      <c r="F1649" t="str">
        <f>""</f>
        <v/>
      </c>
      <c r="G1649" s="3">
        <v>0.11</v>
      </c>
      <c r="H1649" t="str">
        <f t="shared" si="28"/>
        <v>GUARDIAN</v>
      </c>
    </row>
    <row r="1650" spans="5:8" x14ac:dyDescent="0.25">
      <c r="E1650" t="str">
        <f>""</f>
        <v/>
      </c>
      <c r="F1650" t="str">
        <f>""</f>
        <v/>
      </c>
      <c r="G1650" s="3">
        <v>0.49</v>
      </c>
      <c r="H1650" t="str">
        <f t="shared" si="28"/>
        <v>GUARDIAN</v>
      </c>
    </row>
    <row r="1651" spans="5:8" x14ac:dyDescent="0.25">
      <c r="E1651" t="str">
        <f>""</f>
        <v/>
      </c>
      <c r="F1651" t="str">
        <f>""</f>
        <v/>
      </c>
      <c r="G1651" s="3">
        <v>1.4</v>
      </c>
      <c r="H1651" t="str">
        <f t="shared" si="28"/>
        <v>GUARDIAN</v>
      </c>
    </row>
    <row r="1652" spans="5:8" x14ac:dyDescent="0.25">
      <c r="E1652" t="str">
        <f>""</f>
        <v/>
      </c>
      <c r="F1652" t="str">
        <f>""</f>
        <v/>
      </c>
      <c r="G1652" s="3">
        <v>3.29</v>
      </c>
      <c r="H1652" t="str">
        <f t="shared" si="28"/>
        <v>GUARDIAN</v>
      </c>
    </row>
    <row r="1653" spans="5:8" x14ac:dyDescent="0.25">
      <c r="E1653" t="str">
        <f>""</f>
        <v/>
      </c>
      <c r="F1653" t="str">
        <f>""</f>
        <v/>
      </c>
      <c r="G1653" s="3">
        <v>0.86</v>
      </c>
      <c r="H1653" t="str">
        <f t="shared" si="28"/>
        <v>GUARDIAN</v>
      </c>
    </row>
    <row r="1654" spans="5:8" x14ac:dyDescent="0.25">
      <c r="E1654" t="str">
        <f>""</f>
        <v/>
      </c>
      <c r="F1654" t="str">
        <f>""</f>
        <v/>
      </c>
      <c r="G1654" s="3">
        <v>0.75</v>
      </c>
      <c r="H1654" t="str">
        <f t="shared" si="28"/>
        <v>GUARDIAN</v>
      </c>
    </row>
    <row r="1655" spans="5:8" x14ac:dyDescent="0.25">
      <c r="E1655" t="str">
        <f>""</f>
        <v/>
      </c>
      <c r="F1655" t="str">
        <f>""</f>
        <v/>
      </c>
      <c r="G1655" s="3">
        <v>7.0000000000000007E-2</v>
      </c>
      <c r="H1655" t="str">
        <f t="shared" si="28"/>
        <v>GUARDIAN</v>
      </c>
    </row>
    <row r="1656" spans="5:8" x14ac:dyDescent="0.25">
      <c r="E1656" t="str">
        <f>""</f>
        <v/>
      </c>
      <c r="F1656" t="str">
        <f>""</f>
        <v/>
      </c>
      <c r="G1656" s="3">
        <v>260.37</v>
      </c>
      <c r="H1656" t="str">
        <f t="shared" si="28"/>
        <v>GUARDIAN</v>
      </c>
    </row>
    <row r="1657" spans="5:8" x14ac:dyDescent="0.25">
      <c r="E1657" t="str">
        <f>"LIA202108175281"</f>
        <v>LIA202108175281</v>
      </c>
      <c r="F1657" t="str">
        <f>"GUARDIAN"</f>
        <v>GUARDIAN</v>
      </c>
      <c r="G1657" s="3">
        <v>1.4</v>
      </c>
      <c r="H1657" t="str">
        <f t="shared" si="28"/>
        <v>GUARDIAN</v>
      </c>
    </row>
    <row r="1658" spans="5:8" x14ac:dyDescent="0.25">
      <c r="E1658" t="str">
        <f>""</f>
        <v/>
      </c>
      <c r="F1658" t="str">
        <f>""</f>
        <v/>
      </c>
      <c r="G1658" s="3">
        <v>39.590000000000003</v>
      </c>
      <c r="H1658" t="str">
        <f t="shared" si="28"/>
        <v>GUARDIAN</v>
      </c>
    </row>
    <row r="1659" spans="5:8" x14ac:dyDescent="0.25">
      <c r="E1659" t="str">
        <f>"LIC202108045059"</f>
        <v>LIC202108045059</v>
      </c>
      <c r="F1659" t="str">
        <f>"GUARDIAN"</f>
        <v>GUARDIAN</v>
      </c>
      <c r="G1659" s="3">
        <v>34.93</v>
      </c>
      <c r="H1659" t="str">
        <f t="shared" si="28"/>
        <v>GUARDIAN</v>
      </c>
    </row>
    <row r="1660" spans="5:8" x14ac:dyDescent="0.25">
      <c r="E1660" t="str">
        <f>"LIC202108045060"</f>
        <v>LIC202108045060</v>
      </c>
      <c r="F1660" t="str">
        <f>"GUARDIAN"</f>
        <v>GUARDIAN</v>
      </c>
      <c r="G1660" s="3">
        <v>0.7</v>
      </c>
      <c r="H1660" t="str">
        <f t="shared" si="28"/>
        <v>GUARDIAN</v>
      </c>
    </row>
    <row r="1661" spans="5:8" x14ac:dyDescent="0.25">
      <c r="E1661" t="str">
        <f>"LIC202108175280"</f>
        <v>LIC202108175280</v>
      </c>
      <c r="F1661" t="str">
        <f>"GUARDIAN"</f>
        <v>GUARDIAN</v>
      </c>
      <c r="G1661" s="3">
        <v>34.93</v>
      </c>
      <c r="H1661" t="str">
        <f t="shared" si="28"/>
        <v>GUARDIAN</v>
      </c>
    </row>
    <row r="1662" spans="5:8" x14ac:dyDescent="0.25">
      <c r="E1662" t="str">
        <f>"LIC202108175281"</f>
        <v>LIC202108175281</v>
      </c>
      <c r="F1662" t="str">
        <f>"GUARDIAN"</f>
        <v>GUARDIAN</v>
      </c>
      <c r="G1662" s="3">
        <v>0.7</v>
      </c>
      <c r="H1662" t="str">
        <f t="shared" si="28"/>
        <v>GUARDIAN</v>
      </c>
    </row>
    <row r="1663" spans="5:8" x14ac:dyDescent="0.25">
      <c r="E1663" t="str">
        <f>"LIE202108045059"</f>
        <v>LIE202108045059</v>
      </c>
      <c r="F1663" t="str">
        <f>"GUARDIAN"</f>
        <v>GUARDIAN</v>
      </c>
      <c r="G1663" s="3">
        <v>4.3</v>
      </c>
      <c r="H1663" t="str">
        <f t="shared" si="28"/>
        <v>GUARDIAN</v>
      </c>
    </row>
    <row r="1664" spans="5:8" x14ac:dyDescent="0.25">
      <c r="E1664" t="str">
        <f>""</f>
        <v/>
      </c>
      <c r="F1664" t="str">
        <f>""</f>
        <v/>
      </c>
      <c r="G1664" s="3">
        <v>1.86</v>
      </c>
      <c r="H1664" t="str">
        <f t="shared" si="28"/>
        <v>GUARDIAN</v>
      </c>
    </row>
    <row r="1665" spans="5:8" x14ac:dyDescent="0.25">
      <c r="E1665" t="str">
        <f>""</f>
        <v/>
      </c>
      <c r="F1665" t="str">
        <f>""</f>
        <v/>
      </c>
      <c r="G1665" s="3">
        <v>16.920000000000002</v>
      </c>
      <c r="H1665" t="str">
        <f t="shared" si="28"/>
        <v>GUARDIAN</v>
      </c>
    </row>
    <row r="1666" spans="5:8" x14ac:dyDescent="0.25">
      <c r="E1666" t="str">
        <f>""</f>
        <v/>
      </c>
      <c r="F1666" t="str">
        <f>""</f>
        <v/>
      </c>
      <c r="G1666" s="3">
        <v>6.45</v>
      </c>
      <c r="H1666" t="str">
        <f t="shared" si="28"/>
        <v>GUARDIAN</v>
      </c>
    </row>
    <row r="1667" spans="5:8" x14ac:dyDescent="0.25">
      <c r="E1667" t="str">
        <f>""</f>
        <v/>
      </c>
      <c r="F1667" t="str">
        <f>""</f>
        <v/>
      </c>
      <c r="G1667" s="3">
        <v>4.3</v>
      </c>
      <c r="H1667" t="str">
        <f t="shared" si="28"/>
        <v>GUARDIAN</v>
      </c>
    </row>
    <row r="1668" spans="5:8" x14ac:dyDescent="0.25">
      <c r="E1668" t="str">
        <f>""</f>
        <v/>
      </c>
      <c r="F1668" t="str">
        <f>""</f>
        <v/>
      </c>
      <c r="G1668" s="3">
        <v>12.9</v>
      </c>
      <c r="H1668" t="str">
        <f t="shared" si="28"/>
        <v>GUARDIAN</v>
      </c>
    </row>
    <row r="1669" spans="5:8" x14ac:dyDescent="0.25">
      <c r="E1669" t="str">
        <f>""</f>
        <v/>
      </c>
      <c r="F1669" t="str">
        <f>""</f>
        <v/>
      </c>
      <c r="G1669" s="3">
        <v>43</v>
      </c>
      <c r="H1669" t="str">
        <f t="shared" si="28"/>
        <v>GUARDIAN</v>
      </c>
    </row>
    <row r="1670" spans="5:8" x14ac:dyDescent="0.25">
      <c r="E1670" t="str">
        <f>""</f>
        <v/>
      </c>
      <c r="F1670" t="str">
        <f>""</f>
        <v/>
      </c>
      <c r="G1670" s="3">
        <v>2.15</v>
      </c>
      <c r="H1670" t="str">
        <f t="shared" si="28"/>
        <v>GUARDIAN</v>
      </c>
    </row>
    <row r="1671" spans="5:8" x14ac:dyDescent="0.25">
      <c r="E1671" t="str">
        <f>""</f>
        <v/>
      </c>
      <c r="F1671" t="str">
        <f>""</f>
        <v/>
      </c>
      <c r="G1671" s="3">
        <v>6.15</v>
      </c>
      <c r="H1671" t="str">
        <f t="shared" ref="H1671:H1702" si="29">"GUARDIAN"</f>
        <v>GUARDIAN</v>
      </c>
    </row>
    <row r="1672" spans="5:8" x14ac:dyDescent="0.25">
      <c r="E1672" t="str">
        <f>""</f>
        <v/>
      </c>
      <c r="F1672" t="str">
        <f>""</f>
        <v/>
      </c>
      <c r="G1672" s="3">
        <v>10.75</v>
      </c>
      <c r="H1672" t="str">
        <f t="shared" si="29"/>
        <v>GUARDIAN</v>
      </c>
    </row>
    <row r="1673" spans="5:8" x14ac:dyDescent="0.25">
      <c r="E1673" t="str">
        <f>""</f>
        <v/>
      </c>
      <c r="F1673" t="str">
        <f>""</f>
        <v/>
      </c>
      <c r="G1673" s="3">
        <v>23.65</v>
      </c>
      <c r="H1673" t="str">
        <f t="shared" si="29"/>
        <v>GUARDIAN</v>
      </c>
    </row>
    <row r="1674" spans="5:8" x14ac:dyDescent="0.25">
      <c r="E1674" t="str">
        <f>""</f>
        <v/>
      </c>
      <c r="F1674" t="str">
        <f>""</f>
        <v/>
      </c>
      <c r="G1674" s="3">
        <v>8.6</v>
      </c>
      <c r="H1674" t="str">
        <f t="shared" si="29"/>
        <v>GUARDIAN</v>
      </c>
    </row>
    <row r="1675" spans="5:8" x14ac:dyDescent="0.25">
      <c r="E1675" t="str">
        <f>""</f>
        <v/>
      </c>
      <c r="F1675" t="str">
        <f>""</f>
        <v/>
      </c>
      <c r="G1675" s="3">
        <v>6.45</v>
      </c>
      <c r="H1675" t="str">
        <f t="shared" si="29"/>
        <v>GUARDIAN</v>
      </c>
    </row>
    <row r="1676" spans="5:8" x14ac:dyDescent="0.25">
      <c r="E1676" t="str">
        <f>""</f>
        <v/>
      </c>
      <c r="F1676" t="str">
        <f>""</f>
        <v/>
      </c>
      <c r="G1676" s="3">
        <v>8.6</v>
      </c>
      <c r="H1676" t="str">
        <f t="shared" si="29"/>
        <v>GUARDIAN</v>
      </c>
    </row>
    <row r="1677" spans="5:8" x14ac:dyDescent="0.25">
      <c r="E1677" t="str">
        <f>""</f>
        <v/>
      </c>
      <c r="F1677" t="str">
        <f>""</f>
        <v/>
      </c>
      <c r="G1677" s="3">
        <v>6.45</v>
      </c>
      <c r="H1677" t="str">
        <f t="shared" si="29"/>
        <v>GUARDIAN</v>
      </c>
    </row>
    <row r="1678" spans="5:8" x14ac:dyDescent="0.25">
      <c r="E1678" t="str">
        <f>""</f>
        <v/>
      </c>
      <c r="F1678" t="str">
        <f>""</f>
        <v/>
      </c>
      <c r="G1678" s="3">
        <v>4.3</v>
      </c>
      <c r="H1678" t="str">
        <f t="shared" si="29"/>
        <v>GUARDIAN</v>
      </c>
    </row>
    <row r="1679" spans="5:8" x14ac:dyDescent="0.25">
      <c r="E1679" t="str">
        <f>""</f>
        <v/>
      </c>
      <c r="F1679" t="str">
        <f>""</f>
        <v/>
      </c>
      <c r="G1679" s="3">
        <v>31.31</v>
      </c>
      <c r="H1679" t="str">
        <f t="shared" si="29"/>
        <v>GUARDIAN</v>
      </c>
    </row>
    <row r="1680" spans="5:8" x14ac:dyDescent="0.25">
      <c r="E1680" t="str">
        <f>""</f>
        <v/>
      </c>
      <c r="F1680" t="str">
        <f>""</f>
        <v/>
      </c>
      <c r="G1680" s="3">
        <v>15.05</v>
      </c>
      <c r="H1680" t="str">
        <f t="shared" si="29"/>
        <v>GUARDIAN</v>
      </c>
    </row>
    <row r="1681" spans="5:8" x14ac:dyDescent="0.25">
      <c r="E1681" t="str">
        <f>""</f>
        <v/>
      </c>
      <c r="F1681" t="str">
        <f>""</f>
        <v/>
      </c>
      <c r="G1681" s="3">
        <v>8.6</v>
      </c>
      <c r="H1681" t="str">
        <f t="shared" si="29"/>
        <v>GUARDIAN</v>
      </c>
    </row>
    <row r="1682" spans="5:8" x14ac:dyDescent="0.25">
      <c r="E1682" t="str">
        <f>""</f>
        <v/>
      </c>
      <c r="F1682" t="str">
        <f>""</f>
        <v/>
      </c>
      <c r="G1682" s="3">
        <v>8.6</v>
      </c>
      <c r="H1682" t="str">
        <f t="shared" si="29"/>
        <v>GUARDIAN</v>
      </c>
    </row>
    <row r="1683" spans="5:8" x14ac:dyDescent="0.25">
      <c r="E1683" t="str">
        <f>""</f>
        <v/>
      </c>
      <c r="F1683" t="str">
        <f>""</f>
        <v/>
      </c>
      <c r="G1683" s="3">
        <v>27.95</v>
      </c>
      <c r="H1683" t="str">
        <f t="shared" si="29"/>
        <v>GUARDIAN</v>
      </c>
    </row>
    <row r="1684" spans="5:8" x14ac:dyDescent="0.25">
      <c r="E1684" t="str">
        <f>""</f>
        <v/>
      </c>
      <c r="F1684" t="str">
        <f>""</f>
        <v/>
      </c>
      <c r="G1684" s="3">
        <v>12.9</v>
      </c>
      <c r="H1684" t="str">
        <f t="shared" si="29"/>
        <v>GUARDIAN</v>
      </c>
    </row>
    <row r="1685" spans="5:8" x14ac:dyDescent="0.25">
      <c r="E1685" t="str">
        <f>""</f>
        <v/>
      </c>
      <c r="F1685" t="str">
        <f>""</f>
        <v/>
      </c>
      <c r="G1685" s="3">
        <v>23.65</v>
      </c>
      <c r="H1685" t="str">
        <f t="shared" si="29"/>
        <v>GUARDIAN</v>
      </c>
    </row>
    <row r="1686" spans="5:8" x14ac:dyDescent="0.25">
      <c r="E1686" t="str">
        <f>""</f>
        <v/>
      </c>
      <c r="F1686" t="str">
        <f>""</f>
        <v/>
      </c>
      <c r="G1686" s="3">
        <v>27.95</v>
      </c>
      <c r="H1686" t="str">
        <f t="shared" si="29"/>
        <v>GUARDIAN</v>
      </c>
    </row>
    <row r="1687" spans="5:8" x14ac:dyDescent="0.25">
      <c r="E1687" t="str">
        <f>""</f>
        <v/>
      </c>
      <c r="F1687" t="str">
        <f>""</f>
        <v/>
      </c>
      <c r="G1687" s="3">
        <v>45.18</v>
      </c>
      <c r="H1687" t="str">
        <f t="shared" si="29"/>
        <v>GUARDIAN</v>
      </c>
    </row>
    <row r="1688" spans="5:8" x14ac:dyDescent="0.25">
      <c r="E1688" t="str">
        <f>""</f>
        <v/>
      </c>
      <c r="F1688" t="str">
        <f>""</f>
        <v/>
      </c>
      <c r="G1688" s="3">
        <v>2.15</v>
      </c>
      <c r="H1688" t="str">
        <f t="shared" si="29"/>
        <v>GUARDIAN</v>
      </c>
    </row>
    <row r="1689" spans="5:8" x14ac:dyDescent="0.25">
      <c r="E1689" t="str">
        <f>""</f>
        <v/>
      </c>
      <c r="F1689" t="str">
        <f>""</f>
        <v/>
      </c>
      <c r="G1689" s="3">
        <v>2.15</v>
      </c>
      <c r="H1689" t="str">
        <f t="shared" si="29"/>
        <v>GUARDIAN</v>
      </c>
    </row>
    <row r="1690" spans="5:8" x14ac:dyDescent="0.25">
      <c r="E1690" t="str">
        <f>""</f>
        <v/>
      </c>
      <c r="F1690" t="str">
        <f>""</f>
        <v/>
      </c>
      <c r="G1690" s="3">
        <v>2.15</v>
      </c>
      <c r="H1690" t="str">
        <f t="shared" si="29"/>
        <v>GUARDIAN</v>
      </c>
    </row>
    <row r="1691" spans="5:8" x14ac:dyDescent="0.25">
      <c r="E1691" t="str">
        <f>""</f>
        <v/>
      </c>
      <c r="F1691" t="str">
        <f>""</f>
        <v/>
      </c>
      <c r="G1691" s="3">
        <v>200.64</v>
      </c>
      <c r="H1691" t="str">
        <f t="shared" si="29"/>
        <v>GUARDIAN</v>
      </c>
    </row>
    <row r="1692" spans="5:8" x14ac:dyDescent="0.25">
      <c r="E1692" t="str">
        <f>""</f>
        <v/>
      </c>
      <c r="F1692" t="str">
        <f>""</f>
        <v/>
      </c>
      <c r="G1692" s="3">
        <v>8.4700000000000006</v>
      </c>
      <c r="H1692" t="str">
        <f t="shared" si="29"/>
        <v>GUARDIAN</v>
      </c>
    </row>
    <row r="1693" spans="5:8" x14ac:dyDescent="0.25">
      <c r="E1693" t="str">
        <f>""</f>
        <v/>
      </c>
      <c r="F1693" t="str">
        <f>""</f>
        <v/>
      </c>
      <c r="G1693" s="3">
        <v>194.91</v>
      </c>
      <c r="H1693" t="str">
        <f t="shared" si="29"/>
        <v>GUARDIAN</v>
      </c>
    </row>
    <row r="1694" spans="5:8" x14ac:dyDescent="0.25">
      <c r="E1694" t="str">
        <f>""</f>
        <v/>
      </c>
      <c r="F1694" t="str">
        <f>""</f>
        <v/>
      </c>
      <c r="G1694" s="3">
        <v>40.85</v>
      </c>
      <c r="H1694" t="str">
        <f t="shared" si="29"/>
        <v>GUARDIAN</v>
      </c>
    </row>
    <row r="1695" spans="5:8" x14ac:dyDescent="0.25">
      <c r="E1695" t="str">
        <f>""</f>
        <v/>
      </c>
      <c r="F1695" t="str">
        <f>""</f>
        <v/>
      </c>
      <c r="G1695" s="3">
        <v>2.15</v>
      </c>
      <c r="H1695" t="str">
        <f t="shared" si="29"/>
        <v>GUARDIAN</v>
      </c>
    </row>
    <row r="1696" spans="5:8" x14ac:dyDescent="0.25">
      <c r="E1696" t="str">
        <f>""</f>
        <v/>
      </c>
      <c r="F1696" t="str">
        <f>""</f>
        <v/>
      </c>
      <c r="G1696" s="3">
        <v>6.45</v>
      </c>
      <c r="H1696" t="str">
        <f t="shared" si="29"/>
        <v>GUARDIAN</v>
      </c>
    </row>
    <row r="1697" spans="5:8" x14ac:dyDescent="0.25">
      <c r="E1697" t="str">
        <f>""</f>
        <v/>
      </c>
      <c r="F1697" t="str">
        <f>""</f>
        <v/>
      </c>
      <c r="G1697" s="3">
        <v>0.26</v>
      </c>
      <c r="H1697" t="str">
        <f t="shared" si="29"/>
        <v>GUARDIAN</v>
      </c>
    </row>
    <row r="1698" spans="5:8" x14ac:dyDescent="0.25">
      <c r="E1698" t="str">
        <f>""</f>
        <v/>
      </c>
      <c r="F1698" t="str">
        <f>""</f>
        <v/>
      </c>
      <c r="G1698" s="3">
        <v>6.45</v>
      </c>
      <c r="H1698" t="str">
        <f t="shared" si="29"/>
        <v>GUARDIAN</v>
      </c>
    </row>
    <row r="1699" spans="5:8" x14ac:dyDescent="0.25">
      <c r="E1699" t="str">
        <f>""</f>
        <v/>
      </c>
      <c r="F1699" t="str">
        <f>""</f>
        <v/>
      </c>
      <c r="G1699" s="3">
        <v>2.15</v>
      </c>
      <c r="H1699" t="str">
        <f t="shared" si="29"/>
        <v>GUARDIAN</v>
      </c>
    </row>
    <row r="1700" spans="5:8" x14ac:dyDescent="0.25">
      <c r="E1700" t="str">
        <f>""</f>
        <v/>
      </c>
      <c r="F1700" t="str">
        <f>""</f>
        <v/>
      </c>
      <c r="G1700" s="3">
        <v>6.45</v>
      </c>
      <c r="H1700" t="str">
        <f t="shared" si="29"/>
        <v>GUARDIAN</v>
      </c>
    </row>
    <row r="1701" spans="5:8" x14ac:dyDescent="0.25">
      <c r="E1701" t="str">
        <f>""</f>
        <v/>
      </c>
      <c r="F1701" t="str">
        <f>""</f>
        <v/>
      </c>
      <c r="G1701" s="3">
        <v>4.3</v>
      </c>
      <c r="H1701" t="str">
        <f t="shared" si="29"/>
        <v>GUARDIAN</v>
      </c>
    </row>
    <row r="1702" spans="5:8" x14ac:dyDescent="0.25">
      <c r="E1702" t="str">
        <f>""</f>
        <v/>
      </c>
      <c r="F1702" t="str">
        <f>""</f>
        <v/>
      </c>
      <c r="G1702" s="3">
        <v>2.4300000000000002</v>
      </c>
      <c r="H1702" t="str">
        <f t="shared" si="29"/>
        <v>GUARDIAN</v>
      </c>
    </row>
    <row r="1703" spans="5:8" x14ac:dyDescent="0.25">
      <c r="E1703" t="str">
        <f>""</f>
        <v/>
      </c>
      <c r="F1703" t="str">
        <f>""</f>
        <v/>
      </c>
      <c r="G1703" s="3">
        <v>22.21</v>
      </c>
      <c r="H1703" t="str">
        <f t="shared" ref="H1703:H1734" si="30">"GUARDIAN"</f>
        <v>GUARDIAN</v>
      </c>
    </row>
    <row r="1704" spans="5:8" x14ac:dyDescent="0.25">
      <c r="E1704" t="str">
        <f>""</f>
        <v/>
      </c>
      <c r="F1704" t="str">
        <f>""</f>
        <v/>
      </c>
      <c r="G1704" s="3">
        <v>29.71</v>
      </c>
      <c r="H1704" t="str">
        <f t="shared" si="30"/>
        <v>GUARDIAN</v>
      </c>
    </row>
    <row r="1705" spans="5:8" x14ac:dyDescent="0.25">
      <c r="E1705" t="str">
        <f>""</f>
        <v/>
      </c>
      <c r="F1705" t="str">
        <f>""</f>
        <v/>
      </c>
      <c r="G1705" s="3">
        <v>27.54</v>
      </c>
      <c r="H1705" t="str">
        <f t="shared" si="30"/>
        <v>GUARDIAN</v>
      </c>
    </row>
    <row r="1706" spans="5:8" x14ac:dyDescent="0.25">
      <c r="E1706" t="str">
        <f>""</f>
        <v/>
      </c>
      <c r="F1706" t="str">
        <f>""</f>
        <v/>
      </c>
      <c r="G1706" s="3">
        <v>28.49</v>
      </c>
      <c r="H1706" t="str">
        <f t="shared" si="30"/>
        <v>GUARDIAN</v>
      </c>
    </row>
    <row r="1707" spans="5:8" x14ac:dyDescent="0.25">
      <c r="E1707" t="str">
        <f>""</f>
        <v/>
      </c>
      <c r="F1707" t="str">
        <f>""</f>
        <v/>
      </c>
      <c r="G1707" s="3">
        <v>4.3</v>
      </c>
      <c r="H1707" t="str">
        <f t="shared" si="30"/>
        <v>GUARDIAN</v>
      </c>
    </row>
    <row r="1708" spans="5:8" x14ac:dyDescent="0.25">
      <c r="E1708" t="str">
        <f>""</f>
        <v/>
      </c>
      <c r="F1708" t="str">
        <f>""</f>
        <v/>
      </c>
      <c r="G1708" s="3">
        <v>1.89</v>
      </c>
      <c r="H1708" t="str">
        <f t="shared" si="30"/>
        <v>GUARDIAN</v>
      </c>
    </row>
    <row r="1709" spans="5:8" x14ac:dyDescent="0.25">
      <c r="E1709" t="str">
        <f>""</f>
        <v/>
      </c>
      <c r="F1709" t="str">
        <f>""</f>
        <v/>
      </c>
      <c r="G1709" s="3">
        <v>0.77</v>
      </c>
      <c r="H1709" t="str">
        <f t="shared" si="30"/>
        <v>GUARDIAN</v>
      </c>
    </row>
    <row r="1710" spans="5:8" x14ac:dyDescent="0.25">
      <c r="E1710" t="str">
        <f>""</f>
        <v/>
      </c>
      <c r="F1710" t="str">
        <f>""</f>
        <v/>
      </c>
      <c r="G1710" s="3">
        <v>0.17</v>
      </c>
      <c r="H1710" t="str">
        <f t="shared" si="30"/>
        <v>GUARDIAN</v>
      </c>
    </row>
    <row r="1711" spans="5:8" x14ac:dyDescent="0.25">
      <c r="E1711" t="str">
        <f>""</f>
        <v/>
      </c>
      <c r="F1711" t="str">
        <f>""</f>
        <v/>
      </c>
      <c r="G1711" s="3">
        <v>0.3</v>
      </c>
      <c r="H1711" t="str">
        <f t="shared" si="30"/>
        <v>GUARDIAN</v>
      </c>
    </row>
    <row r="1712" spans="5:8" x14ac:dyDescent="0.25">
      <c r="E1712" t="str">
        <f>""</f>
        <v/>
      </c>
      <c r="F1712" t="str">
        <f>""</f>
        <v/>
      </c>
      <c r="G1712" s="3">
        <v>2.14</v>
      </c>
      <c r="H1712" t="str">
        <f t="shared" si="30"/>
        <v>GUARDIAN</v>
      </c>
    </row>
    <row r="1713" spans="5:8" x14ac:dyDescent="0.25">
      <c r="E1713" t="str">
        <f>""</f>
        <v/>
      </c>
      <c r="F1713" t="str">
        <f>""</f>
        <v/>
      </c>
      <c r="G1713" s="3">
        <v>2630.15</v>
      </c>
      <c r="H1713" t="str">
        <f t="shared" si="30"/>
        <v>GUARDIAN</v>
      </c>
    </row>
    <row r="1714" spans="5:8" x14ac:dyDescent="0.25">
      <c r="E1714" t="str">
        <f>"LIE202108045060"</f>
        <v>LIE202108045060</v>
      </c>
      <c r="F1714" t="str">
        <f>"GUARDIAN"</f>
        <v>GUARDIAN</v>
      </c>
      <c r="G1714" s="3">
        <v>30.1</v>
      </c>
      <c r="H1714" t="str">
        <f t="shared" si="30"/>
        <v>GUARDIAN</v>
      </c>
    </row>
    <row r="1715" spans="5:8" x14ac:dyDescent="0.25">
      <c r="E1715" t="str">
        <f>""</f>
        <v/>
      </c>
      <c r="F1715" t="str">
        <f>""</f>
        <v/>
      </c>
      <c r="G1715" s="3">
        <v>45</v>
      </c>
      <c r="H1715" t="str">
        <f t="shared" si="30"/>
        <v>GUARDIAN</v>
      </c>
    </row>
    <row r="1716" spans="5:8" x14ac:dyDescent="0.25">
      <c r="E1716" t="str">
        <f>"LIE202108175280"</f>
        <v>LIE202108175280</v>
      </c>
      <c r="F1716" t="str">
        <f>"GUARDIAN"</f>
        <v>GUARDIAN</v>
      </c>
      <c r="G1716" s="3">
        <v>4.3</v>
      </c>
      <c r="H1716" t="str">
        <f t="shared" si="30"/>
        <v>GUARDIAN</v>
      </c>
    </row>
    <row r="1717" spans="5:8" x14ac:dyDescent="0.25">
      <c r="E1717" t="str">
        <f>""</f>
        <v/>
      </c>
      <c r="F1717" t="str">
        <f>""</f>
        <v/>
      </c>
      <c r="G1717" s="3">
        <v>1.86</v>
      </c>
      <c r="H1717" t="str">
        <f t="shared" si="30"/>
        <v>GUARDIAN</v>
      </c>
    </row>
    <row r="1718" spans="5:8" x14ac:dyDescent="0.25">
      <c r="E1718" t="str">
        <f>""</f>
        <v/>
      </c>
      <c r="F1718" t="str">
        <f>""</f>
        <v/>
      </c>
      <c r="G1718" s="3">
        <v>16.96</v>
      </c>
      <c r="H1718" t="str">
        <f t="shared" si="30"/>
        <v>GUARDIAN</v>
      </c>
    </row>
    <row r="1719" spans="5:8" x14ac:dyDescent="0.25">
      <c r="E1719" t="str">
        <f>""</f>
        <v/>
      </c>
      <c r="F1719" t="str">
        <f>""</f>
        <v/>
      </c>
      <c r="G1719" s="3">
        <v>6.45</v>
      </c>
      <c r="H1719" t="str">
        <f t="shared" si="30"/>
        <v>GUARDIAN</v>
      </c>
    </row>
    <row r="1720" spans="5:8" x14ac:dyDescent="0.25">
      <c r="E1720" t="str">
        <f>""</f>
        <v/>
      </c>
      <c r="F1720" t="str">
        <f>""</f>
        <v/>
      </c>
      <c r="G1720" s="3">
        <v>4.3</v>
      </c>
      <c r="H1720" t="str">
        <f t="shared" si="30"/>
        <v>GUARDIAN</v>
      </c>
    </row>
    <row r="1721" spans="5:8" x14ac:dyDescent="0.25">
      <c r="E1721" t="str">
        <f>""</f>
        <v/>
      </c>
      <c r="F1721" t="str">
        <f>""</f>
        <v/>
      </c>
      <c r="G1721" s="3">
        <v>12.9</v>
      </c>
      <c r="H1721" t="str">
        <f t="shared" si="30"/>
        <v>GUARDIAN</v>
      </c>
    </row>
    <row r="1722" spans="5:8" x14ac:dyDescent="0.25">
      <c r="E1722" t="str">
        <f>""</f>
        <v/>
      </c>
      <c r="F1722" t="str">
        <f>""</f>
        <v/>
      </c>
      <c r="G1722" s="3">
        <v>40.85</v>
      </c>
      <c r="H1722" t="str">
        <f t="shared" si="30"/>
        <v>GUARDIAN</v>
      </c>
    </row>
    <row r="1723" spans="5:8" x14ac:dyDescent="0.25">
      <c r="E1723" t="str">
        <f>""</f>
        <v/>
      </c>
      <c r="F1723" t="str">
        <f>""</f>
        <v/>
      </c>
      <c r="G1723" s="3">
        <v>2.15</v>
      </c>
      <c r="H1723" t="str">
        <f t="shared" si="30"/>
        <v>GUARDIAN</v>
      </c>
    </row>
    <row r="1724" spans="5:8" x14ac:dyDescent="0.25">
      <c r="E1724" t="str">
        <f>""</f>
        <v/>
      </c>
      <c r="F1724" t="str">
        <f>""</f>
        <v/>
      </c>
      <c r="G1724" s="3">
        <v>6.15</v>
      </c>
      <c r="H1724" t="str">
        <f t="shared" si="30"/>
        <v>GUARDIAN</v>
      </c>
    </row>
    <row r="1725" spans="5:8" x14ac:dyDescent="0.25">
      <c r="E1725" t="str">
        <f>""</f>
        <v/>
      </c>
      <c r="F1725" t="str">
        <f>""</f>
        <v/>
      </c>
      <c r="G1725" s="3">
        <v>10.75</v>
      </c>
      <c r="H1725" t="str">
        <f t="shared" si="30"/>
        <v>GUARDIAN</v>
      </c>
    </row>
    <row r="1726" spans="5:8" x14ac:dyDescent="0.25">
      <c r="E1726" t="str">
        <f>""</f>
        <v/>
      </c>
      <c r="F1726" t="str">
        <f>""</f>
        <v/>
      </c>
      <c r="G1726" s="3">
        <v>23.65</v>
      </c>
      <c r="H1726" t="str">
        <f t="shared" si="30"/>
        <v>GUARDIAN</v>
      </c>
    </row>
    <row r="1727" spans="5:8" x14ac:dyDescent="0.25">
      <c r="E1727" t="str">
        <f>""</f>
        <v/>
      </c>
      <c r="F1727" t="str">
        <f>""</f>
        <v/>
      </c>
      <c r="G1727" s="3">
        <v>8.6</v>
      </c>
      <c r="H1727" t="str">
        <f t="shared" si="30"/>
        <v>GUARDIAN</v>
      </c>
    </row>
    <row r="1728" spans="5:8" x14ac:dyDescent="0.25">
      <c r="E1728" t="str">
        <f>""</f>
        <v/>
      </c>
      <c r="F1728" t="str">
        <f>""</f>
        <v/>
      </c>
      <c r="G1728" s="3">
        <v>6.45</v>
      </c>
      <c r="H1728" t="str">
        <f t="shared" si="30"/>
        <v>GUARDIAN</v>
      </c>
    </row>
    <row r="1729" spans="5:8" x14ac:dyDescent="0.25">
      <c r="E1729" t="str">
        <f>""</f>
        <v/>
      </c>
      <c r="F1729" t="str">
        <f>""</f>
        <v/>
      </c>
      <c r="G1729" s="3">
        <v>8.6</v>
      </c>
      <c r="H1729" t="str">
        <f t="shared" si="30"/>
        <v>GUARDIAN</v>
      </c>
    </row>
    <row r="1730" spans="5:8" x14ac:dyDescent="0.25">
      <c r="E1730" t="str">
        <f>""</f>
        <v/>
      </c>
      <c r="F1730" t="str">
        <f>""</f>
        <v/>
      </c>
      <c r="G1730" s="3">
        <v>6.45</v>
      </c>
      <c r="H1730" t="str">
        <f t="shared" si="30"/>
        <v>GUARDIAN</v>
      </c>
    </row>
    <row r="1731" spans="5:8" x14ac:dyDescent="0.25">
      <c r="E1731" t="str">
        <f>""</f>
        <v/>
      </c>
      <c r="F1731" t="str">
        <f>""</f>
        <v/>
      </c>
      <c r="G1731" s="3">
        <v>4.3</v>
      </c>
      <c r="H1731" t="str">
        <f t="shared" si="30"/>
        <v>GUARDIAN</v>
      </c>
    </row>
    <row r="1732" spans="5:8" x14ac:dyDescent="0.25">
      <c r="E1732" t="str">
        <f>""</f>
        <v/>
      </c>
      <c r="F1732" t="str">
        <f>""</f>
        <v/>
      </c>
      <c r="G1732" s="3">
        <v>31.31</v>
      </c>
      <c r="H1732" t="str">
        <f t="shared" si="30"/>
        <v>GUARDIAN</v>
      </c>
    </row>
    <row r="1733" spans="5:8" x14ac:dyDescent="0.25">
      <c r="E1733" t="str">
        <f>""</f>
        <v/>
      </c>
      <c r="F1733" t="str">
        <f>""</f>
        <v/>
      </c>
      <c r="G1733" s="3">
        <v>15.05</v>
      </c>
      <c r="H1733" t="str">
        <f t="shared" si="30"/>
        <v>GUARDIAN</v>
      </c>
    </row>
    <row r="1734" spans="5:8" x14ac:dyDescent="0.25">
      <c r="E1734" t="str">
        <f>""</f>
        <v/>
      </c>
      <c r="F1734" t="str">
        <f>""</f>
        <v/>
      </c>
      <c r="G1734" s="3">
        <v>8.6</v>
      </c>
      <c r="H1734" t="str">
        <f t="shared" si="30"/>
        <v>GUARDIAN</v>
      </c>
    </row>
    <row r="1735" spans="5:8" x14ac:dyDescent="0.25">
      <c r="E1735" t="str">
        <f>""</f>
        <v/>
      </c>
      <c r="F1735" t="str">
        <f>""</f>
        <v/>
      </c>
      <c r="G1735" s="3">
        <v>8.6</v>
      </c>
      <c r="H1735" t="str">
        <f t="shared" ref="H1735:H1766" si="31">"GUARDIAN"</f>
        <v>GUARDIAN</v>
      </c>
    </row>
    <row r="1736" spans="5:8" x14ac:dyDescent="0.25">
      <c r="E1736" t="str">
        <f>""</f>
        <v/>
      </c>
      <c r="F1736" t="str">
        <f>""</f>
        <v/>
      </c>
      <c r="G1736" s="3">
        <v>27.95</v>
      </c>
      <c r="H1736" t="str">
        <f t="shared" si="31"/>
        <v>GUARDIAN</v>
      </c>
    </row>
    <row r="1737" spans="5:8" x14ac:dyDescent="0.25">
      <c r="E1737" t="str">
        <f>""</f>
        <v/>
      </c>
      <c r="F1737" t="str">
        <f>""</f>
        <v/>
      </c>
      <c r="G1737" s="3">
        <v>12.9</v>
      </c>
      <c r="H1737" t="str">
        <f t="shared" si="31"/>
        <v>GUARDIAN</v>
      </c>
    </row>
    <row r="1738" spans="5:8" x14ac:dyDescent="0.25">
      <c r="E1738" t="str">
        <f>""</f>
        <v/>
      </c>
      <c r="F1738" t="str">
        <f>""</f>
        <v/>
      </c>
      <c r="G1738" s="3">
        <v>23.65</v>
      </c>
      <c r="H1738" t="str">
        <f t="shared" si="31"/>
        <v>GUARDIAN</v>
      </c>
    </row>
    <row r="1739" spans="5:8" x14ac:dyDescent="0.25">
      <c r="E1739" t="str">
        <f>""</f>
        <v/>
      </c>
      <c r="F1739" t="str">
        <f>""</f>
        <v/>
      </c>
      <c r="G1739" s="3">
        <v>27.95</v>
      </c>
      <c r="H1739" t="str">
        <f t="shared" si="31"/>
        <v>GUARDIAN</v>
      </c>
    </row>
    <row r="1740" spans="5:8" x14ac:dyDescent="0.25">
      <c r="E1740" t="str">
        <f>""</f>
        <v/>
      </c>
      <c r="F1740" t="str">
        <f>""</f>
        <v/>
      </c>
      <c r="G1740" s="3">
        <v>45.18</v>
      </c>
      <c r="H1740" t="str">
        <f t="shared" si="31"/>
        <v>GUARDIAN</v>
      </c>
    </row>
    <row r="1741" spans="5:8" x14ac:dyDescent="0.25">
      <c r="E1741" t="str">
        <f>""</f>
        <v/>
      </c>
      <c r="F1741" t="str">
        <f>""</f>
        <v/>
      </c>
      <c r="G1741" s="3">
        <v>2.15</v>
      </c>
      <c r="H1741" t="str">
        <f t="shared" si="31"/>
        <v>GUARDIAN</v>
      </c>
    </row>
    <row r="1742" spans="5:8" x14ac:dyDescent="0.25">
      <c r="E1742" t="str">
        <f>""</f>
        <v/>
      </c>
      <c r="F1742" t="str">
        <f>""</f>
        <v/>
      </c>
      <c r="G1742" s="3">
        <v>2.15</v>
      </c>
      <c r="H1742" t="str">
        <f t="shared" si="31"/>
        <v>GUARDIAN</v>
      </c>
    </row>
    <row r="1743" spans="5:8" x14ac:dyDescent="0.25">
      <c r="E1743" t="str">
        <f>""</f>
        <v/>
      </c>
      <c r="F1743" t="str">
        <f>""</f>
        <v/>
      </c>
      <c r="G1743" s="3">
        <v>2.15</v>
      </c>
      <c r="H1743" t="str">
        <f t="shared" si="31"/>
        <v>GUARDIAN</v>
      </c>
    </row>
    <row r="1744" spans="5:8" x14ac:dyDescent="0.25">
      <c r="E1744" t="str">
        <f>""</f>
        <v/>
      </c>
      <c r="F1744" t="str">
        <f>""</f>
        <v/>
      </c>
      <c r="G1744" s="3">
        <v>203.09</v>
      </c>
      <c r="H1744" t="str">
        <f t="shared" si="31"/>
        <v>GUARDIAN</v>
      </c>
    </row>
    <row r="1745" spans="5:8" x14ac:dyDescent="0.25">
      <c r="E1745" t="str">
        <f>""</f>
        <v/>
      </c>
      <c r="F1745" t="str">
        <f>""</f>
        <v/>
      </c>
      <c r="G1745" s="3">
        <v>8.4700000000000006</v>
      </c>
      <c r="H1745" t="str">
        <f t="shared" si="31"/>
        <v>GUARDIAN</v>
      </c>
    </row>
    <row r="1746" spans="5:8" x14ac:dyDescent="0.25">
      <c r="E1746" t="str">
        <f>""</f>
        <v/>
      </c>
      <c r="F1746" t="str">
        <f>""</f>
        <v/>
      </c>
      <c r="G1746" s="3">
        <v>194.8</v>
      </c>
      <c r="H1746" t="str">
        <f t="shared" si="31"/>
        <v>GUARDIAN</v>
      </c>
    </row>
    <row r="1747" spans="5:8" x14ac:dyDescent="0.25">
      <c r="E1747" t="str">
        <f>""</f>
        <v/>
      </c>
      <c r="F1747" t="str">
        <f>""</f>
        <v/>
      </c>
      <c r="G1747" s="3">
        <v>40.85</v>
      </c>
      <c r="H1747" t="str">
        <f t="shared" si="31"/>
        <v>GUARDIAN</v>
      </c>
    </row>
    <row r="1748" spans="5:8" x14ac:dyDescent="0.25">
      <c r="E1748" t="str">
        <f>""</f>
        <v/>
      </c>
      <c r="F1748" t="str">
        <f>""</f>
        <v/>
      </c>
      <c r="G1748" s="3">
        <v>2.15</v>
      </c>
      <c r="H1748" t="str">
        <f t="shared" si="31"/>
        <v>GUARDIAN</v>
      </c>
    </row>
    <row r="1749" spans="5:8" x14ac:dyDescent="0.25">
      <c r="E1749" t="str">
        <f>""</f>
        <v/>
      </c>
      <c r="F1749" t="str">
        <f>""</f>
        <v/>
      </c>
      <c r="G1749" s="3">
        <v>6.45</v>
      </c>
      <c r="H1749" t="str">
        <f t="shared" si="31"/>
        <v>GUARDIAN</v>
      </c>
    </row>
    <row r="1750" spans="5:8" x14ac:dyDescent="0.25">
      <c r="E1750" t="str">
        <f>""</f>
        <v/>
      </c>
      <c r="F1750" t="str">
        <f>""</f>
        <v/>
      </c>
      <c r="G1750" s="3">
        <v>0.26</v>
      </c>
      <c r="H1750" t="str">
        <f t="shared" si="31"/>
        <v>GUARDIAN</v>
      </c>
    </row>
    <row r="1751" spans="5:8" x14ac:dyDescent="0.25">
      <c r="E1751" t="str">
        <f>""</f>
        <v/>
      </c>
      <c r="F1751" t="str">
        <f>""</f>
        <v/>
      </c>
      <c r="G1751" s="3">
        <v>6.45</v>
      </c>
      <c r="H1751" t="str">
        <f t="shared" si="31"/>
        <v>GUARDIAN</v>
      </c>
    </row>
    <row r="1752" spans="5:8" x14ac:dyDescent="0.25">
      <c r="E1752" t="str">
        <f>""</f>
        <v/>
      </c>
      <c r="F1752" t="str">
        <f>""</f>
        <v/>
      </c>
      <c r="G1752" s="3">
        <v>2.15</v>
      </c>
      <c r="H1752" t="str">
        <f t="shared" si="31"/>
        <v>GUARDIAN</v>
      </c>
    </row>
    <row r="1753" spans="5:8" x14ac:dyDescent="0.25">
      <c r="E1753" t="str">
        <f>""</f>
        <v/>
      </c>
      <c r="F1753" t="str">
        <f>""</f>
        <v/>
      </c>
      <c r="G1753" s="3">
        <v>6.45</v>
      </c>
      <c r="H1753" t="str">
        <f t="shared" si="31"/>
        <v>GUARDIAN</v>
      </c>
    </row>
    <row r="1754" spans="5:8" x14ac:dyDescent="0.25">
      <c r="E1754" t="str">
        <f>""</f>
        <v/>
      </c>
      <c r="F1754" t="str">
        <f>""</f>
        <v/>
      </c>
      <c r="G1754" s="3">
        <v>4.3</v>
      </c>
      <c r="H1754" t="str">
        <f t="shared" si="31"/>
        <v>GUARDIAN</v>
      </c>
    </row>
    <row r="1755" spans="5:8" x14ac:dyDescent="0.25">
      <c r="E1755" t="str">
        <f>""</f>
        <v/>
      </c>
      <c r="F1755" t="str">
        <f>""</f>
        <v/>
      </c>
      <c r="G1755" s="3">
        <v>2.39</v>
      </c>
      <c r="H1755" t="str">
        <f t="shared" si="31"/>
        <v>GUARDIAN</v>
      </c>
    </row>
    <row r="1756" spans="5:8" x14ac:dyDescent="0.25">
      <c r="E1756" t="str">
        <f>""</f>
        <v/>
      </c>
      <c r="F1756" t="str">
        <f>""</f>
        <v/>
      </c>
      <c r="G1756" s="3">
        <v>22.02</v>
      </c>
      <c r="H1756" t="str">
        <f t="shared" si="31"/>
        <v>GUARDIAN</v>
      </c>
    </row>
    <row r="1757" spans="5:8" x14ac:dyDescent="0.25">
      <c r="E1757" t="str">
        <f>""</f>
        <v/>
      </c>
      <c r="F1757" t="str">
        <f>""</f>
        <v/>
      </c>
      <c r="G1757" s="3">
        <v>29.71</v>
      </c>
      <c r="H1757" t="str">
        <f t="shared" si="31"/>
        <v>GUARDIAN</v>
      </c>
    </row>
    <row r="1758" spans="5:8" x14ac:dyDescent="0.25">
      <c r="E1758" t="str">
        <f>""</f>
        <v/>
      </c>
      <c r="F1758" t="str">
        <f>""</f>
        <v/>
      </c>
      <c r="G1758" s="3">
        <v>27.54</v>
      </c>
      <c r="H1758" t="str">
        <f t="shared" si="31"/>
        <v>GUARDIAN</v>
      </c>
    </row>
    <row r="1759" spans="5:8" x14ac:dyDescent="0.25">
      <c r="E1759" t="str">
        <f>""</f>
        <v/>
      </c>
      <c r="F1759" t="str">
        <f>""</f>
        <v/>
      </c>
      <c r="G1759" s="3">
        <v>28.49</v>
      </c>
      <c r="H1759" t="str">
        <f t="shared" si="31"/>
        <v>GUARDIAN</v>
      </c>
    </row>
    <row r="1760" spans="5:8" x14ac:dyDescent="0.25">
      <c r="E1760" t="str">
        <f>""</f>
        <v/>
      </c>
      <c r="F1760" t="str">
        <f>""</f>
        <v/>
      </c>
      <c r="G1760" s="3">
        <v>4.3</v>
      </c>
      <c r="H1760" t="str">
        <f t="shared" si="31"/>
        <v>GUARDIAN</v>
      </c>
    </row>
    <row r="1761" spans="1:8" x14ac:dyDescent="0.25">
      <c r="E1761" t="str">
        <f>""</f>
        <v/>
      </c>
      <c r="F1761" t="str">
        <f>""</f>
        <v/>
      </c>
      <c r="G1761" s="3">
        <v>1.89</v>
      </c>
      <c r="H1761" t="str">
        <f t="shared" si="31"/>
        <v>GUARDIAN</v>
      </c>
    </row>
    <row r="1762" spans="1:8" x14ac:dyDescent="0.25">
      <c r="E1762" t="str">
        <f>""</f>
        <v/>
      </c>
      <c r="F1762" t="str">
        <f>""</f>
        <v/>
      </c>
      <c r="G1762" s="3">
        <v>0.77</v>
      </c>
      <c r="H1762" t="str">
        <f t="shared" si="31"/>
        <v>GUARDIAN</v>
      </c>
    </row>
    <row r="1763" spans="1:8" x14ac:dyDescent="0.25">
      <c r="E1763" t="str">
        <f>""</f>
        <v/>
      </c>
      <c r="F1763" t="str">
        <f>""</f>
        <v/>
      </c>
      <c r="G1763" s="3">
        <v>0.17</v>
      </c>
      <c r="H1763" t="str">
        <f t="shared" si="31"/>
        <v>GUARDIAN</v>
      </c>
    </row>
    <row r="1764" spans="1:8" x14ac:dyDescent="0.25">
      <c r="E1764" t="str">
        <f>""</f>
        <v/>
      </c>
      <c r="F1764" t="str">
        <f>""</f>
        <v/>
      </c>
      <c r="G1764" s="3">
        <v>0.3</v>
      </c>
      <c r="H1764" t="str">
        <f t="shared" si="31"/>
        <v>GUARDIAN</v>
      </c>
    </row>
    <row r="1765" spans="1:8" x14ac:dyDescent="0.25">
      <c r="E1765" t="str">
        <f>""</f>
        <v/>
      </c>
      <c r="F1765" t="str">
        <f>""</f>
        <v/>
      </c>
      <c r="G1765" s="3">
        <v>2.14</v>
      </c>
      <c r="H1765" t="str">
        <f t="shared" si="31"/>
        <v>GUARDIAN</v>
      </c>
    </row>
    <row r="1766" spans="1:8" x14ac:dyDescent="0.25">
      <c r="E1766" t="str">
        <f>""</f>
        <v/>
      </c>
      <c r="F1766" t="str">
        <f>""</f>
        <v/>
      </c>
      <c r="G1766" s="3">
        <v>2630.15</v>
      </c>
      <c r="H1766" t="str">
        <f t="shared" si="31"/>
        <v>GUARDIAN</v>
      </c>
    </row>
    <row r="1767" spans="1:8" x14ac:dyDescent="0.25">
      <c r="E1767" t="str">
        <f>"LIE202108175281"</f>
        <v>LIE202108175281</v>
      </c>
      <c r="F1767" t="str">
        <f>"GUARDIAN"</f>
        <v>GUARDIAN</v>
      </c>
      <c r="G1767" s="3">
        <v>27.95</v>
      </c>
      <c r="H1767" t="str">
        <f t="shared" ref="H1767:H1778" si="32">"GUARDIAN"</f>
        <v>GUARDIAN</v>
      </c>
    </row>
    <row r="1768" spans="1:8" x14ac:dyDescent="0.25">
      <c r="E1768" t="str">
        <f>""</f>
        <v/>
      </c>
      <c r="F1768" t="str">
        <f>""</f>
        <v/>
      </c>
      <c r="G1768" s="3">
        <v>45</v>
      </c>
      <c r="H1768" t="str">
        <f t="shared" si="32"/>
        <v>GUARDIAN</v>
      </c>
    </row>
    <row r="1769" spans="1:8" x14ac:dyDescent="0.25">
      <c r="E1769" t="str">
        <f>"LIS202108045059"</f>
        <v>LIS202108045059</v>
      </c>
      <c r="F1769" t="str">
        <f t="shared" ref="F1769:F1778" si="33">"GUARDIAN"</f>
        <v>GUARDIAN</v>
      </c>
      <c r="G1769" s="3">
        <v>491.4</v>
      </c>
      <c r="H1769" t="str">
        <f t="shared" si="32"/>
        <v>GUARDIAN</v>
      </c>
    </row>
    <row r="1770" spans="1:8" x14ac:dyDescent="0.25">
      <c r="E1770" t="str">
        <f>"LIS202108045060"</f>
        <v>LIS202108045060</v>
      </c>
      <c r="F1770" t="str">
        <f t="shared" si="33"/>
        <v>GUARDIAN</v>
      </c>
      <c r="G1770" s="3">
        <v>36.15</v>
      </c>
      <c r="H1770" t="str">
        <f t="shared" si="32"/>
        <v>GUARDIAN</v>
      </c>
    </row>
    <row r="1771" spans="1:8" x14ac:dyDescent="0.25">
      <c r="E1771" t="str">
        <f>"LIS202108175280"</f>
        <v>LIS202108175280</v>
      </c>
      <c r="F1771" t="str">
        <f t="shared" si="33"/>
        <v>GUARDIAN</v>
      </c>
      <c r="G1771" s="3">
        <v>491.4</v>
      </c>
      <c r="H1771" t="str">
        <f t="shared" si="32"/>
        <v>GUARDIAN</v>
      </c>
    </row>
    <row r="1772" spans="1:8" x14ac:dyDescent="0.25">
      <c r="E1772" t="str">
        <f>"LIS202108175281"</f>
        <v>LIS202108175281</v>
      </c>
      <c r="F1772" t="str">
        <f t="shared" si="33"/>
        <v>GUARDIAN</v>
      </c>
      <c r="G1772" s="3">
        <v>36.15</v>
      </c>
      <c r="H1772" t="str">
        <f t="shared" si="32"/>
        <v>GUARDIAN</v>
      </c>
    </row>
    <row r="1773" spans="1:8" x14ac:dyDescent="0.25">
      <c r="E1773" t="str">
        <f>"LTD202108045059"</f>
        <v>LTD202108045059</v>
      </c>
      <c r="F1773" t="str">
        <f t="shared" si="33"/>
        <v>GUARDIAN</v>
      </c>
      <c r="G1773" s="3">
        <v>999.36</v>
      </c>
      <c r="H1773" t="str">
        <f t="shared" si="32"/>
        <v>GUARDIAN</v>
      </c>
    </row>
    <row r="1774" spans="1:8" x14ac:dyDescent="0.25">
      <c r="E1774" t="str">
        <f>"LTD202108175280"</f>
        <v>LTD202108175280</v>
      </c>
      <c r="F1774" t="str">
        <f t="shared" si="33"/>
        <v>GUARDIAN</v>
      </c>
      <c r="G1774" s="3">
        <v>999.36</v>
      </c>
      <c r="H1774" t="str">
        <f t="shared" si="32"/>
        <v>GUARDIAN</v>
      </c>
    </row>
    <row r="1775" spans="1:8" x14ac:dyDescent="0.25">
      <c r="A1775" t="s">
        <v>400</v>
      </c>
      <c r="B1775">
        <v>1276</v>
      </c>
      <c r="C1775" s="3">
        <v>97.24</v>
      </c>
      <c r="D1775" s="6">
        <v>44435</v>
      </c>
      <c r="E1775" t="str">
        <f>"AEG202108045059"</f>
        <v>AEG202108045059</v>
      </c>
      <c r="F1775" t="str">
        <f t="shared" si="33"/>
        <v>GUARDIAN</v>
      </c>
      <c r="G1775" s="3">
        <v>12.48</v>
      </c>
      <c r="H1775" t="str">
        <f t="shared" si="32"/>
        <v>GUARDIAN</v>
      </c>
    </row>
    <row r="1776" spans="1:8" x14ac:dyDescent="0.25">
      <c r="E1776" t="str">
        <f>"AEG202108175280"</f>
        <v>AEG202108175280</v>
      </c>
      <c r="F1776" t="str">
        <f t="shared" si="33"/>
        <v>GUARDIAN</v>
      </c>
      <c r="G1776" s="3">
        <v>12.48</v>
      </c>
      <c r="H1776" t="str">
        <f t="shared" si="32"/>
        <v>GUARDIAN</v>
      </c>
    </row>
    <row r="1777" spans="1:8" x14ac:dyDescent="0.25">
      <c r="E1777" t="str">
        <f>"AFG202108045059"</f>
        <v>AFG202108045059</v>
      </c>
      <c r="F1777" t="str">
        <f t="shared" si="33"/>
        <v>GUARDIAN</v>
      </c>
      <c r="G1777" s="3">
        <v>36.14</v>
      </c>
      <c r="H1777" t="str">
        <f t="shared" si="32"/>
        <v>GUARDIAN</v>
      </c>
    </row>
    <row r="1778" spans="1:8" x14ac:dyDescent="0.25">
      <c r="E1778" t="str">
        <f>"AFG202108175280"</f>
        <v>AFG202108175280</v>
      </c>
      <c r="F1778" t="str">
        <f t="shared" si="33"/>
        <v>GUARDIAN</v>
      </c>
      <c r="G1778" s="3">
        <v>36.14</v>
      </c>
      <c r="H1778" t="str">
        <f t="shared" si="32"/>
        <v>GUARDIAN</v>
      </c>
    </row>
    <row r="1779" spans="1:8" x14ac:dyDescent="0.25">
      <c r="A1779" t="s">
        <v>401</v>
      </c>
      <c r="B1779">
        <v>1218</v>
      </c>
      <c r="C1779" s="3">
        <v>374</v>
      </c>
      <c r="D1779" s="6">
        <v>44414</v>
      </c>
      <c r="E1779" t="str">
        <f>"C92202108045059"</f>
        <v>C92202108045059</v>
      </c>
      <c r="F1779" t="str">
        <f>"0007959844"</f>
        <v>0007959844</v>
      </c>
      <c r="G1779" s="3">
        <v>374</v>
      </c>
      <c r="H1779" t="str">
        <f>"0007959844"</f>
        <v>0007959844</v>
      </c>
    </row>
    <row r="1780" spans="1:8" x14ac:dyDescent="0.25">
      <c r="A1780" t="s">
        <v>401</v>
      </c>
      <c r="B1780">
        <v>1266</v>
      </c>
      <c r="C1780" s="3">
        <v>374</v>
      </c>
      <c r="D1780" s="6">
        <v>44428</v>
      </c>
      <c r="E1780" t="str">
        <f>"C92202108175280"</f>
        <v>C92202108175280</v>
      </c>
      <c r="F1780" t="str">
        <f>"0007959844"</f>
        <v>0007959844</v>
      </c>
      <c r="G1780" s="3">
        <v>374</v>
      </c>
      <c r="H1780" t="str">
        <f>"0007959844"</f>
        <v>0007959844</v>
      </c>
    </row>
    <row r="1781" spans="1:8" x14ac:dyDescent="0.25">
      <c r="A1781" t="s">
        <v>402</v>
      </c>
      <c r="B1781">
        <v>1219</v>
      </c>
      <c r="C1781" s="3">
        <v>250046.32</v>
      </c>
      <c r="D1781" s="6">
        <v>44414</v>
      </c>
      <c r="E1781" t="str">
        <f>"T1 202108045059"</f>
        <v>T1 202108045059</v>
      </c>
      <c r="F1781" t="str">
        <f>"FEDERAL WITHHOLDING"</f>
        <v>FEDERAL WITHHOLDING</v>
      </c>
      <c r="G1781" s="3">
        <v>83894.45</v>
      </c>
      <c r="H1781" t="str">
        <f>"FEDERAL WITHHOLDING"</f>
        <v>FEDERAL WITHHOLDING</v>
      </c>
    </row>
    <row r="1782" spans="1:8" x14ac:dyDescent="0.25">
      <c r="E1782" t="str">
        <f>"T1 202108045060"</f>
        <v>T1 202108045060</v>
      </c>
      <c r="F1782" t="str">
        <f>"FEDERAL WITHHOLDING"</f>
        <v>FEDERAL WITHHOLDING</v>
      </c>
      <c r="G1782" s="3">
        <v>2643.49</v>
      </c>
      <c r="H1782" t="str">
        <f>"FEDERAL WITHHOLDING"</f>
        <v>FEDERAL WITHHOLDING</v>
      </c>
    </row>
    <row r="1783" spans="1:8" x14ac:dyDescent="0.25">
      <c r="E1783" t="str">
        <f>"T1 202108045061"</f>
        <v>T1 202108045061</v>
      </c>
      <c r="F1783" t="str">
        <f>"FEDERAL WITHHOLDING"</f>
        <v>FEDERAL WITHHOLDING</v>
      </c>
      <c r="G1783" s="3">
        <v>3064.1</v>
      </c>
      <c r="H1783" t="str">
        <f>"FEDERAL WITHHOLDING"</f>
        <v>FEDERAL WITHHOLDING</v>
      </c>
    </row>
    <row r="1784" spans="1:8" x14ac:dyDescent="0.25">
      <c r="E1784" t="str">
        <f>"T3 202108045059"</f>
        <v>T3 202108045059</v>
      </c>
      <c r="F1784" t="str">
        <f>"SOCIAL SECURITY TAXES"</f>
        <v>SOCIAL SECURITY TAXES</v>
      </c>
      <c r="G1784" s="3">
        <v>518.42999999999995</v>
      </c>
      <c r="H1784" t="str">
        <f t="shared" ref="H1784:H1815" si="34">"SOCIAL SECURITY TAXES"</f>
        <v>SOCIAL SECURITY TAXES</v>
      </c>
    </row>
    <row r="1785" spans="1:8" x14ac:dyDescent="0.25">
      <c r="E1785" t="str">
        <f>""</f>
        <v/>
      </c>
      <c r="F1785" t="str">
        <f>""</f>
        <v/>
      </c>
      <c r="G1785" s="3">
        <v>374.27</v>
      </c>
      <c r="H1785" t="str">
        <f t="shared" si="34"/>
        <v>SOCIAL SECURITY TAXES</v>
      </c>
    </row>
    <row r="1786" spans="1:8" x14ac:dyDescent="0.25">
      <c r="E1786" t="str">
        <f>""</f>
        <v/>
      </c>
      <c r="F1786" t="str">
        <f>""</f>
        <v/>
      </c>
      <c r="G1786" s="3">
        <v>934.56</v>
      </c>
      <c r="H1786" t="str">
        <f t="shared" si="34"/>
        <v>SOCIAL SECURITY TAXES</v>
      </c>
    </row>
    <row r="1787" spans="1:8" x14ac:dyDescent="0.25">
      <c r="E1787" t="str">
        <f>""</f>
        <v/>
      </c>
      <c r="F1787" t="str">
        <f>""</f>
        <v/>
      </c>
      <c r="G1787" s="3">
        <v>400.73</v>
      </c>
      <c r="H1787" t="str">
        <f t="shared" si="34"/>
        <v>SOCIAL SECURITY TAXES</v>
      </c>
    </row>
    <row r="1788" spans="1:8" x14ac:dyDescent="0.25">
      <c r="E1788" t="str">
        <f>""</f>
        <v/>
      </c>
      <c r="F1788" t="str">
        <f>""</f>
        <v/>
      </c>
      <c r="G1788" s="3">
        <v>179.04</v>
      </c>
      <c r="H1788" t="str">
        <f t="shared" si="34"/>
        <v>SOCIAL SECURITY TAXES</v>
      </c>
    </row>
    <row r="1789" spans="1:8" x14ac:dyDescent="0.25">
      <c r="E1789" t="str">
        <f>""</f>
        <v/>
      </c>
      <c r="F1789" t="str">
        <f>""</f>
        <v/>
      </c>
      <c r="G1789" s="3">
        <v>692.81</v>
      </c>
      <c r="H1789" t="str">
        <f t="shared" si="34"/>
        <v>SOCIAL SECURITY TAXES</v>
      </c>
    </row>
    <row r="1790" spans="1:8" x14ac:dyDescent="0.25">
      <c r="E1790" t="str">
        <f>""</f>
        <v/>
      </c>
      <c r="F1790" t="str">
        <f>""</f>
        <v/>
      </c>
      <c r="G1790" s="3">
        <v>2664.92</v>
      </c>
      <c r="H1790" t="str">
        <f t="shared" si="34"/>
        <v>SOCIAL SECURITY TAXES</v>
      </c>
    </row>
    <row r="1791" spans="1:8" x14ac:dyDescent="0.25">
      <c r="E1791" t="str">
        <f>""</f>
        <v/>
      </c>
      <c r="F1791" t="str">
        <f>""</f>
        <v/>
      </c>
      <c r="G1791" s="3">
        <v>96.05</v>
      </c>
      <c r="H1791" t="str">
        <f t="shared" si="34"/>
        <v>SOCIAL SECURITY TAXES</v>
      </c>
    </row>
    <row r="1792" spans="1:8" x14ac:dyDescent="0.25">
      <c r="E1792" t="str">
        <f>""</f>
        <v/>
      </c>
      <c r="F1792" t="str">
        <f>""</f>
        <v/>
      </c>
      <c r="G1792" s="3">
        <v>954.44</v>
      </c>
      <c r="H1792" t="str">
        <f t="shared" si="34"/>
        <v>SOCIAL SECURITY TAXES</v>
      </c>
    </row>
    <row r="1793" spans="5:8" x14ac:dyDescent="0.25">
      <c r="E1793" t="str">
        <f>""</f>
        <v/>
      </c>
      <c r="F1793" t="str">
        <f>""</f>
        <v/>
      </c>
      <c r="G1793" s="3">
        <v>809.2</v>
      </c>
      <c r="H1793" t="str">
        <f t="shared" si="34"/>
        <v>SOCIAL SECURITY TAXES</v>
      </c>
    </row>
    <row r="1794" spans="5:8" x14ac:dyDescent="0.25">
      <c r="E1794" t="str">
        <f>""</f>
        <v/>
      </c>
      <c r="F1794" t="str">
        <f>""</f>
        <v/>
      </c>
      <c r="G1794" s="3">
        <v>1452.06</v>
      </c>
      <c r="H1794" t="str">
        <f t="shared" si="34"/>
        <v>SOCIAL SECURITY TAXES</v>
      </c>
    </row>
    <row r="1795" spans="5:8" x14ac:dyDescent="0.25">
      <c r="E1795" t="str">
        <f>""</f>
        <v/>
      </c>
      <c r="F1795" t="str">
        <f>""</f>
        <v/>
      </c>
      <c r="G1795" s="3">
        <v>426.41</v>
      </c>
      <c r="H1795" t="str">
        <f t="shared" si="34"/>
        <v>SOCIAL SECURITY TAXES</v>
      </c>
    </row>
    <row r="1796" spans="5:8" x14ac:dyDescent="0.25">
      <c r="E1796" t="str">
        <f>""</f>
        <v/>
      </c>
      <c r="F1796" t="str">
        <f>""</f>
        <v/>
      </c>
      <c r="G1796" s="3">
        <v>358.32</v>
      </c>
      <c r="H1796" t="str">
        <f t="shared" si="34"/>
        <v>SOCIAL SECURITY TAXES</v>
      </c>
    </row>
    <row r="1797" spans="5:8" x14ac:dyDescent="0.25">
      <c r="E1797" t="str">
        <f>""</f>
        <v/>
      </c>
      <c r="F1797" t="str">
        <f>""</f>
        <v/>
      </c>
      <c r="G1797" s="3">
        <v>369.94</v>
      </c>
      <c r="H1797" t="str">
        <f t="shared" si="34"/>
        <v>SOCIAL SECURITY TAXES</v>
      </c>
    </row>
    <row r="1798" spans="5:8" x14ac:dyDescent="0.25">
      <c r="E1798" t="str">
        <f>""</f>
        <v/>
      </c>
      <c r="F1798" t="str">
        <f>""</f>
        <v/>
      </c>
      <c r="G1798" s="3">
        <v>398.11</v>
      </c>
      <c r="H1798" t="str">
        <f t="shared" si="34"/>
        <v>SOCIAL SECURITY TAXES</v>
      </c>
    </row>
    <row r="1799" spans="5:8" x14ac:dyDescent="0.25">
      <c r="E1799" t="str">
        <f>""</f>
        <v/>
      </c>
      <c r="F1799" t="str">
        <f>""</f>
        <v/>
      </c>
      <c r="G1799" s="3">
        <v>218.87</v>
      </c>
      <c r="H1799" t="str">
        <f t="shared" si="34"/>
        <v>SOCIAL SECURITY TAXES</v>
      </c>
    </row>
    <row r="1800" spans="5:8" x14ac:dyDescent="0.25">
      <c r="E1800" t="str">
        <f>""</f>
        <v/>
      </c>
      <c r="F1800" t="str">
        <f>""</f>
        <v/>
      </c>
      <c r="G1800" s="3">
        <v>2598.09</v>
      </c>
      <c r="H1800" t="str">
        <f t="shared" si="34"/>
        <v>SOCIAL SECURITY TAXES</v>
      </c>
    </row>
    <row r="1801" spans="5:8" x14ac:dyDescent="0.25">
      <c r="E1801" t="str">
        <f>""</f>
        <v/>
      </c>
      <c r="F1801" t="str">
        <f>""</f>
        <v/>
      </c>
      <c r="G1801" s="3">
        <v>1002.61</v>
      </c>
      <c r="H1801" t="str">
        <f t="shared" si="34"/>
        <v>SOCIAL SECURITY TAXES</v>
      </c>
    </row>
    <row r="1802" spans="5:8" x14ac:dyDescent="0.25">
      <c r="E1802" t="str">
        <f>""</f>
        <v/>
      </c>
      <c r="F1802" t="str">
        <f>""</f>
        <v/>
      </c>
      <c r="G1802" s="3">
        <v>486.5</v>
      </c>
      <c r="H1802" t="str">
        <f t="shared" si="34"/>
        <v>SOCIAL SECURITY TAXES</v>
      </c>
    </row>
    <row r="1803" spans="5:8" x14ac:dyDescent="0.25">
      <c r="E1803" t="str">
        <f>""</f>
        <v/>
      </c>
      <c r="F1803" t="str">
        <f>""</f>
        <v/>
      </c>
      <c r="G1803" s="3">
        <v>480.86</v>
      </c>
      <c r="H1803" t="str">
        <f t="shared" si="34"/>
        <v>SOCIAL SECURITY TAXES</v>
      </c>
    </row>
    <row r="1804" spans="5:8" x14ac:dyDescent="0.25">
      <c r="E1804" t="str">
        <f>""</f>
        <v/>
      </c>
      <c r="F1804" t="str">
        <f>""</f>
        <v/>
      </c>
      <c r="G1804" s="3">
        <v>1299.2</v>
      </c>
      <c r="H1804" t="str">
        <f t="shared" si="34"/>
        <v>SOCIAL SECURITY TAXES</v>
      </c>
    </row>
    <row r="1805" spans="5:8" x14ac:dyDescent="0.25">
      <c r="E1805" t="str">
        <f>""</f>
        <v/>
      </c>
      <c r="F1805" t="str">
        <f>""</f>
        <v/>
      </c>
      <c r="G1805" s="3">
        <v>704.54</v>
      </c>
      <c r="H1805" t="str">
        <f t="shared" si="34"/>
        <v>SOCIAL SECURITY TAXES</v>
      </c>
    </row>
    <row r="1806" spans="5:8" x14ac:dyDescent="0.25">
      <c r="E1806" t="str">
        <f>""</f>
        <v/>
      </c>
      <c r="F1806" t="str">
        <f>""</f>
        <v/>
      </c>
      <c r="G1806" s="3">
        <v>1731.8</v>
      </c>
      <c r="H1806" t="str">
        <f t="shared" si="34"/>
        <v>SOCIAL SECURITY TAXES</v>
      </c>
    </row>
    <row r="1807" spans="5:8" x14ac:dyDescent="0.25">
      <c r="E1807" t="str">
        <f>""</f>
        <v/>
      </c>
      <c r="F1807" t="str">
        <f>""</f>
        <v/>
      </c>
      <c r="G1807" s="3">
        <v>1210.45</v>
      </c>
      <c r="H1807" t="str">
        <f t="shared" si="34"/>
        <v>SOCIAL SECURITY TAXES</v>
      </c>
    </row>
    <row r="1808" spans="5:8" x14ac:dyDescent="0.25">
      <c r="E1808" t="str">
        <f>""</f>
        <v/>
      </c>
      <c r="F1808" t="str">
        <f>""</f>
        <v/>
      </c>
      <c r="G1808" s="3">
        <v>2440.7800000000002</v>
      </c>
      <c r="H1808" t="str">
        <f t="shared" si="34"/>
        <v>SOCIAL SECURITY TAXES</v>
      </c>
    </row>
    <row r="1809" spans="5:8" x14ac:dyDescent="0.25">
      <c r="E1809" t="str">
        <f>""</f>
        <v/>
      </c>
      <c r="F1809" t="str">
        <f>""</f>
        <v/>
      </c>
      <c r="G1809" s="3">
        <v>121.76</v>
      </c>
      <c r="H1809" t="str">
        <f t="shared" si="34"/>
        <v>SOCIAL SECURITY TAXES</v>
      </c>
    </row>
    <row r="1810" spans="5:8" x14ac:dyDescent="0.25">
      <c r="E1810" t="str">
        <f>""</f>
        <v/>
      </c>
      <c r="F1810" t="str">
        <f>""</f>
        <v/>
      </c>
      <c r="G1810" s="3">
        <v>133.51</v>
      </c>
      <c r="H1810" t="str">
        <f t="shared" si="34"/>
        <v>SOCIAL SECURITY TAXES</v>
      </c>
    </row>
    <row r="1811" spans="5:8" x14ac:dyDescent="0.25">
      <c r="E1811" t="str">
        <f>""</f>
        <v/>
      </c>
      <c r="F1811" t="str">
        <f>""</f>
        <v/>
      </c>
      <c r="G1811" s="3">
        <v>126.55</v>
      </c>
      <c r="H1811" t="str">
        <f t="shared" si="34"/>
        <v>SOCIAL SECURITY TAXES</v>
      </c>
    </row>
    <row r="1812" spans="5:8" x14ac:dyDescent="0.25">
      <c r="E1812" t="str">
        <f>""</f>
        <v/>
      </c>
      <c r="F1812" t="str">
        <f>""</f>
        <v/>
      </c>
      <c r="G1812" s="3">
        <v>123.37</v>
      </c>
      <c r="H1812" t="str">
        <f t="shared" si="34"/>
        <v>SOCIAL SECURITY TAXES</v>
      </c>
    </row>
    <row r="1813" spans="5:8" x14ac:dyDescent="0.25">
      <c r="E1813" t="str">
        <f>""</f>
        <v/>
      </c>
      <c r="F1813" t="str">
        <f>""</f>
        <v/>
      </c>
      <c r="G1813" s="3">
        <v>13674.3</v>
      </c>
      <c r="H1813" t="str">
        <f t="shared" si="34"/>
        <v>SOCIAL SECURITY TAXES</v>
      </c>
    </row>
    <row r="1814" spans="5:8" x14ac:dyDescent="0.25">
      <c r="E1814" t="str">
        <f>""</f>
        <v/>
      </c>
      <c r="F1814" t="str">
        <f>""</f>
        <v/>
      </c>
      <c r="G1814" s="3">
        <v>595.55999999999995</v>
      </c>
      <c r="H1814" t="str">
        <f t="shared" si="34"/>
        <v>SOCIAL SECURITY TAXES</v>
      </c>
    </row>
    <row r="1815" spans="5:8" x14ac:dyDescent="0.25">
      <c r="E1815" t="str">
        <f>""</f>
        <v/>
      </c>
      <c r="F1815" t="str">
        <f>""</f>
        <v/>
      </c>
      <c r="G1815" s="3">
        <v>12055.65</v>
      </c>
      <c r="H1815" t="str">
        <f t="shared" si="34"/>
        <v>SOCIAL SECURITY TAXES</v>
      </c>
    </row>
    <row r="1816" spans="5:8" x14ac:dyDescent="0.25">
      <c r="E1816" t="str">
        <f>""</f>
        <v/>
      </c>
      <c r="F1816" t="str">
        <f>""</f>
        <v/>
      </c>
      <c r="G1816" s="3">
        <v>1727.25</v>
      </c>
      <c r="H1816" t="str">
        <f t="shared" ref="H1816:H1840" si="35">"SOCIAL SECURITY TAXES"</f>
        <v>SOCIAL SECURITY TAXES</v>
      </c>
    </row>
    <row r="1817" spans="5:8" x14ac:dyDescent="0.25">
      <c r="E1817" t="str">
        <f>""</f>
        <v/>
      </c>
      <c r="F1817" t="str">
        <f>""</f>
        <v/>
      </c>
      <c r="G1817" s="3">
        <v>119.01</v>
      </c>
      <c r="H1817" t="str">
        <f t="shared" si="35"/>
        <v>SOCIAL SECURITY TAXES</v>
      </c>
    </row>
    <row r="1818" spans="5:8" x14ac:dyDescent="0.25">
      <c r="E1818" t="str">
        <f>""</f>
        <v/>
      </c>
      <c r="F1818" t="str">
        <f>""</f>
        <v/>
      </c>
      <c r="G1818" s="3">
        <v>335.62</v>
      </c>
      <c r="H1818" t="str">
        <f t="shared" si="35"/>
        <v>SOCIAL SECURITY TAXES</v>
      </c>
    </row>
    <row r="1819" spans="5:8" x14ac:dyDescent="0.25">
      <c r="E1819" t="str">
        <f>""</f>
        <v/>
      </c>
      <c r="F1819" t="str">
        <f>""</f>
        <v/>
      </c>
      <c r="G1819" s="3">
        <v>33.409999999999997</v>
      </c>
      <c r="H1819" t="str">
        <f t="shared" si="35"/>
        <v>SOCIAL SECURITY TAXES</v>
      </c>
    </row>
    <row r="1820" spans="5:8" x14ac:dyDescent="0.25">
      <c r="E1820" t="str">
        <f>""</f>
        <v/>
      </c>
      <c r="F1820" t="str">
        <f>""</f>
        <v/>
      </c>
      <c r="G1820" s="3">
        <v>305.39</v>
      </c>
      <c r="H1820" t="str">
        <f t="shared" si="35"/>
        <v>SOCIAL SECURITY TAXES</v>
      </c>
    </row>
    <row r="1821" spans="5:8" x14ac:dyDescent="0.25">
      <c r="E1821" t="str">
        <f>""</f>
        <v/>
      </c>
      <c r="F1821" t="str">
        <f>""</f>
        <v/>
      </c>
      <c r="G1821" s="3">
        <v>115.36</v>
      </c>
      <c r="H1821" t="str">
        <f t="shared" si="35"/>
        <v>SOCIAL SECURITY TAXES</v>
      </c>
    </row>
    <row r="1822" spans="5:8" x14ac:dyDescent="0.25">
      <c r="E1822" t="str">
        <f>""</f>
        <v/>
      </c>
      <c r="F1822" t="str">
        <f>""</f>
        <v/>
      </c>
      <c r="G1822" s="3">
        <v>348.74</v>
      </c>
      <c r="H1822" t="str">
        <f t="shared" si="35"/>
        <v>SOCIAL SECURITY TAXES</v>
      </c>
    </row>
    <row r="1823" spans="5:8" x14ac:dyDescent="0.25">
      <c r="E1823" t="str">
        <f>""</f>
        <v/>
      </c>
      <c r="F1823" t="str">
        <f>""</f>
        <v/>
      </c>
      <c r="G1823" s="3">
        <v>336.6</v>
      </c>
      <c r="H1823" t="str">
        <f t="shared" si="35"/>
        <v>SOCIAL SECURITY TAXES</v>
      </c>
    </row>
    <row r="1824" spans="5:8" x14ac:dyDescent="0.25">
      <c r="E1824" t="str">
        <f>""</f>
        <v/>
      </c>
      <c r="F1824" t="str">
        <f>""</f>
        <v/>
      </c>
      <c r="G1824" s="3">
        <v>109.04</v>
      </c>
      <c r="H1824" t="str">
        <f t="shared" si="35"/>
        <v>SOCIAL SECURITY TAXES</v>
      </c>
    </row>
    <row r="1825" spans="5:8" x14ac:dyDescent="0.25">
      <c r="E1825" t="str">
        <f>""</f>
        <v/>
      </c>
      <c r="F1825" t="str">
        <f>""</f>
        <v/>
      </c>
      <c r="G1825" s="3">
        <v>1416.91</v>
      </c>
      <c r="H1825" t="str">
        <f t="shared" si="35"/>
        <v>SOCIAL SECURITY TAXES</v>
      </c>
    </row>
    <row r="1826" spans="5:8" x14ac:dyDescent="0.25">
      <c r="E1826" t="str">
        <f>""</f>
        <v/>
      </c>
      <c r="F1826" t="str">
        <f>""</f>
        <v/>
      </c>
      <c r="G1826" s="3">
        <v>1711.35</v>
      </c>
      <c r="H1826" t="str">
        <f t="shared" si="35"/>
        <v>SOCIAL SECURITY TAXES</v>
      </c>
    </row>
    <row r="1827" spans="5:8" x14ac:dyDescent="0.25">
      <c r="E1827" t="str">
        <f>""</f>
        <v/>
      </c>
      <c r="F1827" t="str">
        <f>""</f>
        <v/>
      </c>
      <c r="G1827" s="3">
        <v>1683.04</v>
      </c>
      <c r="H1827" t="str">
        <f t="shared" si="35"/>
        <v>SOCIAL SECURITY TAXES</v>
      </c>
    </row>
    <row r="1828" spans="5:8" x14ac:dyDescent="0.25">
      <c r="E1828" t="str">
        <f>""</f>
        <v/>
      </c>
      <c r="F1828" t="str">
        <f>""</f>
        <v/>
      </c>
      <c r="G1828" s="3">
        <v>2069.13</v>
      </c>
      <c r="H1828" t="str">
        <f t="shared" si="35"/>
        <v>SOCIAL SECURITY TAXES</v>
      </c>
    </row>
    <row r="1829" spans="5:8" x14ac:dyDescent="0.25">
      <c r="E1829" t="str">
        <f>""</f>
        <v/>
      </c>
      <c r="F1829" t="str">
        <f>""</f>
        <v/>
      </c>
      <c r="G1829" s="3">
        <v>297.36</v>
      </c>
      <c r="H1829" t="str">
        <f t="shared" si="35"/>
        <v>SOCIAL SECURITY TAXES</v>
      </c>
    </row>
    <row r="1830" spans="5:8" x14ac:dyDescent="0.25">
      <c r="E1830" t="str">
        <f>""</f>
        <v/>
      </c>
      <c r="F1830" t="str">
        <f>""</f>
        <v/>
      </c>
      <c r="G1830" s="3">
        <v>224.55</v>
      </c>
      <c r="H1830" t="str">
        <f t="shared" si="35"/>
        <v>SOCIAL SECURITY TAXES</v>
      </c>
    </row>
    <row r="1831" spans="5:8" x14ac:dyDescent="0.25">
      <c r="E1831" t="str">
        <f>""</f>
        <v/>
      </c>
      <c r="F1831" t="str">
        <f>""</f>
        <v/>
      </c>
      <c r="G1831" s="3">
        <v>14.46</v>
      </c>
      <c r="H1831" t="str">
        <f t="shared" si="35"/>
        <v>SOCIAL SECURITY TAXES</v>
      </c>
    </row>
    <row r="1832" spans="5:8" x14ac:dyDescent="0.25">
      <c r="E1832" t="str">
        <f>""</f>
        <v/>
      </c>
      <c r="F1832" t="str">
        <f>""</f>
        <v/>
      </c>
      <c r="G1832" s="3">
        <v>27.72</v>
      </c>
      <c r="H1832" t="str">
        <f t="shared" si="35"/>
        <v>SOCIAL SECURITY TAXES</v>
      </c>
    </row>
    <row r="1833" spans="5:8" x14ac:dyDescent="0.25">
      <c r="E1833" t="str">
        <f>""</f>
        <v/>
      </c>
      <c r="F1833" t="str">
        <f>""</f>
        <v/>
      </c>
      <c r="G1833" s="3">
        <v>15.07</v>
      </c>
      <c r="H1833" t="str">
        <f t="shared" si="35"/>
        <v>SOCIAL SECURITY TAXES</v>
      </c>
    </row>
    <row r="1834" spans="5:8" x14ac:dyDescent="0.25">
      <c r="E1834" t="str">
        <f>""</f>
        <v/>
      </c>
      <c r="F1834" t="str">
        <f>""</f>
        <v/>
      </c>
      <c r="G1834" s="3">
        <v>20.23</v>
      </c>
      <c r="H1834" t="str">
        <f t="shared" si="35"/>
        <v>SOCIAL SECURITY TAXES</v>
      </c>
    </row>
    <row r="1835" spans="5:8" x14ac:dyDescent="0.25">
      <c r="E1835" t="str">
        <f>""</f>
        <v/>
      </c>
      <c r="F1835" t="str">
        <f>""</f>
        <v/>
      </c>
      <c r="G1835" s="3">
        <v>370.13</v>
      </c>
      <c r="H1835" t="str">
        <f t="shared" si="35"/>
        <v>SOCIAL SECURITY TAXES</v>
      </c>
    </row>
    <row r="1836" spans="5:8" x14ac:dyDescent="0.25">
      <c r="E1836" t="str">
        <f>""</f>
        <v/>
      </c>
      <c r="F1836" t="str">
        <f>""</f>
        <v/>
      </c>
      <c r="G1836" s="3">
        <v>60914.06</v>
      </c>
      <c r="H1836" t="str">
        <f t="shared" si="35"/>
        <v>SOCIAL SECURITY TAXES</v>
      </c>
    </row>
    <row r="1837" spans="5:8" x14ac:dyDescent="0.25">
      <c r="E1837" t="str">
        <f>"T3 202108045060"</f>
        <v>T3 202108045060</v>
      </c>
      <c r="F1837" t="str">
        <f>"SOCIAL SECURITY TAXES"</f>
        <v>SOCIAL SECURITY TAXES</v>
      </c>
      <c r="G1837" s="3">
        <v>1872.01</v>
      </c>
      <c r="H1837" t="str">
        <f t="shared" si="35"/>
        <v>SOCIAL SECURITY TAXES</v>
      </c>
    </row>
    <row r="1838" spans="5:8" x14ac:dyDescent="0.25">
      <c r="E1838" t="str">
        <f>""</f>
        <v/>
      </c>
      <c r="F1838" t="str">
        <f>""</f>
        <v/>
      </c>
      <c r="G1838" s="3">
        <v>1872.01</v>
      </c>
      <c r="H1838" t="str">
        <f t="shared" si="35"/>
        <v>SOCIAL SECURITY TAXES</v>
      </c>
    </row>
    <row r="1839" spans="5:8" x14ac:dyDescent="0.25">
      <c r="E1839" t="str">
        <f>"T3 202108045061"</f>
        <v>T3 202108045061</v>
      </c>
      <c r="F1839" t="str">
        <f>"SOCIAL SECURITY TAXES"</f>
        <v>SOCIAL SECURITY TAXES</v>
      </c>
      <c r="G1839" s="3">
        <v>2230.52</v>
      </c>
      <c r="H1839" t="str">
        <f t="shared" si="35"/>
        <v>SOCIAL SECURITY TAXES</v>
      </c>
    </row>
    <row r="1840" spans="5:8" x14ac:dyDescent="0.25">
      <c r="E1840" t="str">
        <f>""</f>
        <v/>
      </c>
      <c r="F1840" t="str">
        <f>""</f>
        <v/>
      </c>
      <c r="G1840" s="3">
        <v>2230.52</v>
      </c>
      <c r="H1840" t="str">
        <f t="shared" si="35"/>
        <v>SOCIAL SECURITY TAXES</v>
      </c>
    </row>
    <row r="1841" spans="5:8" x14ac:dyDescent="0.25">
      <c r="E1841" t="str">
        <f>"T4 202108045059"</f>
        <v>T4 202108045059</v>
      </c>
      <c r="F1841" t="str">
        <f>"MEDICARE TAXES"</f>
        <v>MEDICARE TAXES</v>
      </c>
      <c r="G1841" s="3">
        <v>121.24</v>
      </c>
      <c r="H1841" t="str">
        <f t="shared" ref="H1841:H1872" si="36">"MEDICARE TAXES"</f>
        <v>MEDICARE TAXES</v>
      </c>
    </row>
    <row r="1842" spans="5:8" x14ac:dyDescent="0.25">
      <c r="E1842" t="str">
        <f>""</f>
        <v/>
      </c>
      <c r="F1842" t="str">
        <f>""</f>
        <v/>
      </c>
      <c r="G1842" s="3">
        <v>87.53</v>
      </c>
      <c r="H1842" t="str">
        <f t="shared" si="36"/>
        <v>MEDICARE TAXES</v>
      </c>
    </row>
    <row r="1843" spans="5:8" x14ac:dyDescent="0.25">
      <c r="E1843" t="str">
        <f>""</f>
        <v/>
      </c>
      <c r="F1843" t="str">
        <f>""</f>
        <v/>
      </c>
      <c r="G1843" s="3">
        <v>218.57</v>
      </c>
      <c r="H1843" t="str">
        <f t="shared" si="36"/>
        <v>MEDICARE TAXES</v>
      </c>
    </row>
    <row r="1844" spans="5:8" x14ac:dyDescent="0.25">
      <c r="E1844" t="str">
        <f>""</f>
        <v/>
      </c>
      <c r="F1844" t="str">
        <f>""</f>
        <v/>
      </c>
      <c r="G1844" s="3">
        <v>93.73</v>
      </c>
      <c r="H1844" t="str">
        <f t="shared" si="36"/>
        <v>MEDICARE TAXES</v>
      </c>
    </row>
    <row r="1845" spans="5:8" x14ac:dyDescent="0.25">
      <c r="E1845" t="str">
        <f>""</f>
        <v/>
      </c>
      <c r="F1845" t="str">
        <f>""</f>
        <v/>
      </c>
      <c r="G1845" s="3">
        <v>41.88</v>
      </c>
      <c r="H1845" t="str">
        <f t="shared" si="36"/>
        <v>MEDICARE TAXES</v>
      </c>
    </row>
    <row r="1846" spans="5:8" x14ac:dyDescent="0.25">
      <c r="E1846" t="str">
        <f>""</f>
        <v/>
      </c>
      <c r="F1846" t="str">
        <f>""</f>
        <v/>
      </c>
      <c r="G1846" s="3">
        <v>162.03</v>
      </c>
      <c r="H1846" t="str">
        <f t="shared" si="36"/>
        <v>MEDICARE TAXES</v>
      </c>
    </row>
    <row r="1847" spans="5:8" x14ac:dyDescent="0.25">
      <c r="E1847" t="str">
        <f>""</f>
        <v/>
      </c>
      <c r="F1847" t="str">
        <f>""</f>
        <v/>
      </c>
      <c r="G1847" s="3">
        <v>623.25</v>
      </c>
      <c r="H1847" t="str">
        <f t="shared" si="36"/>
        <v>MEDICARE TAXES</v>
      </c>
    </row>
    <row r="1848" spans="5:8" x14ac:dyDescent="0.25">
      <c r="E1848" t="str">
        <f>""</f>
        <v/>
      </c>
      <c r="F1848" t="str">
        <f>""</f>
        <v/>
      </c>
      <c r="G1848" s="3">
        <v>22.46</v>
      </c>
      <c r="H1848" t="str">
        <f t="shared" si="36"/>
        <v>MEDICARE TAXES</v>
      </c>
    </row>
    <row r="1849" spans="5:8" x14ac:dyDescent="0.25">
      <c r="E1849" t="str">
        <f>""</f>
        <v/>
      </c>
      <c r="F1849" t="str">
        <f>""</f>
        <v/>
      </c>
      <c r="G1849" s="3">
        <v>223.21</v>
      </c>
      <c r="H1849" t="str">
        <f t="shared" si="36"/>
        <v>MEDICARE TAXES</v>
      </c>
    </row>
    <row r="1850" spans="5:8" x14ac:dyDescent="0.25">
      <c r="E1850" t="str">
        <f>""</f>
        <v/>
      </c>
      <c r="F1850" t="str">
        <f>""</f>
        <v/>
      </c>
      <c r="G1850" s="3">
        <v>189.26</v>
      </c>
      <c r="H1850" t="str">
        <f t="shared" si="36"/>
        <v>MEDICARE TAXES</v>
      </c>
    </row>
    <row r="1851" spans="5:8" x14ac:dyDescent="0.25">
      <c r="E1851" t="str">
        <f>""</f>
        <v/>
      </c>
      <c r="F1851" t="str">
        <f>""</f>
        <v/>
      </c>
      <c r="G1851" s="3">
        <v>339.58</v>
      </c>
      <c r="H1851" t="str">
        <f t="shared" si="36"/>
        <v>MEDICARE TAXES</v>
      </c>
    </row>
    <row r="1852" spans="5:8" x14ac:dyDescent="0.25">
      <c r="E1852" t="str">
        <f>""</f>
        <v/>
      </c>
      <c r="F1852" t="str">
        <f>""</f>
        <v/>
      </c>
      <c r="G1852" s="3">
        <v>99.72</v>
      </c>
      <c r="H1852" t="str">
        <f t="shared" si="36"/>
        <v>MEDICARE TAXES</v>
      </c>
    </row>
    <row r="1853" spans="5:8" x14ac:dyDescent="0.25">
      <c r="E1853" t="str">
        <f>""</f>
        <v/>
      </c>
      <c r="F1853" t="str">
        <f>""</f>
        <v/>
      </c>
      <c r="G1853" s="3">
        <v>83.8</v>
      </c>
      <c r="H1853" t="str">
        <f t="shared" si="36"/>
        <v>MEDICARE TAXES</v>
      </c>
    </row>
    <row r="1854" spans="5:8" x14ac:dyDescent="0.25">
      <c r="E1854" t="str">
        <f>""</f>
        <v/>
      </c>
      <c r="F1854" t="str">
        <f>""</f>
        <v/>
      </c>
      <c r="G1854" s="3">
        <v>86.53</v>
      </c>
      <c r="H1854" t="str">
        <f t="shared" si="36"/>
        <v>MEDICARE TAXES</v>
      </c>
    </row>
    <row r="1855" spans="5:8" x14ac:dyDescent="0.25">
      <c r="E1855" t="str">
        <f>""</f>
        <v/>
      </c>
      <c r="F1855" t="str">
        <f>""</f>
        <v/>
      </c>
      <c r="G1855" s="3">
        <v>93.1</v>
      </c>
      <c r="H1855" t="str">
        <f t="shared" si="36"/>
        <v>MEDICARE TAXES</v>
      </c>
    </row>
    <row r="1856" spans="5:8" x14ac:dyDescent="0.25">
      <c r="E1856" t="str">
        <f>""</f>
        <v/>
      </c>
      <c r="F1856" t="str">
        <f>""</f>
        <v/>
      </c>
      <c r="G1856" s="3">
        <v>51.19</v>
      </c>
      <c r="H1856" t="str">
        <f t="shared" si="36"/>
        <v>MEDICARE TAXES</v>
      </c>
    </row>
    <row r="1857" spans="5:8" x14ac:dyDescent="0.25">
      <c r="E1857" t="str">
        <f>""</f>
        <v/>
      </c>
      <c r="F1857" t="str">
        <f>""</f>
        <v/>
      </c>
      <c r="G1857" s="3">
        <v>607.61</v>
      </c>
      <c r="H1857" t="str">
        <f t="shared" si="36"/>
        <v>MEDICARE TAXES</v>
      </c>
    </row>
    <row r="1858" spans="5:8" x14ac:dyDescent="0.25">
      <c r="E1858" t="str">
        <f>""</f>
        <v/>
      </c>
      <c r="F1858" t="str">
        <f>""</f>
        <v/>
      </c>
      <c r="G1858" s="3">
        <v>234.48</v>
      </c>
      <c r="H1858" t="str">
        <f t="shared" si="36"/>
        <v>MEDICARE TAXES</v>
      </c>
    </row>
    <row r="1859" spans="5:8" x14ac:dyDescent="0.25">
      <c r="E1859" t="str">
        <f>""</f>
        <v/>
      </c>
      <c r="F1859" t="str">
        <f>""</f>
        <v/>
      </c>
      <c r="G1859" s="3">
        <v>113.79</v>
      </c>
      <c r="H1859" t="str">
        <f t="shared" si="36"/>
        <v>MEDICARE TAXES</v>
      </c>
    </row>
    <row r="1860" spans="5:8" x14ac:dyDescent="0.25">
      <c r="E1860" t="str">
        <f>""</f>
        <v/>
      </c>
      <c r="F1860" t="str">
        <f>""</f>
        <v/>
      </c>
      <c r="G1860" s="3">
        <v>112.46</v>
      </c>
      <c r="H1860" t="str">
        <f t="shared" si="36"/>
        <v>MEDICARE TAXES</v>
      </c>
    </row>
    <row r="1861" spans="5:8" x14ac:dyDescent="0.25">
      <c r="E1861" t="str">
        <f>""</f>
        <v/>
      </c>
      <c r="F1861" t="str">
        <f>""</f>
        <v/>
      </c>
      <c r="G1861" s="3">
        <v>303.86</v>
      </c>
      <c r="H1861" t="str">
        <f t="shared" si="36"/>
        <v>MEDICARE TAXES</v>
      </c>
    </row>
    <row r="1862" spans="5:8" x14ac:dyDescent="0.25">
      <c r="E1862" t="str">
        <f>""</f>
        <v/>
      </c>
      <c r="F1862" t="str">
        <f>""</f>
        <v/>
      </c>
      <c r="G1862" s="3">
        <v>164.77</v>
      </c>
      <c r="H1862" t="str">
        <f t="shared" si="36"/>
        <v>MEDICARE TAXES</v>
      </c>
    </row>
    <row r="1863" spans="5:8" x14ac:dyDescent="0.25">
      <c r="E1863" t="str">
        <f>""</f>
        <v/>
      </c>
      <c r="F1863" t="str">
        <f>""</f>
        <v/>
      </c>
      <c r="G1863" s="3">
        <v>405.03</v>
      </c>
      <c r="H1863" t="str">
        <f t="shared" si="36"/>
        <v>MEDICARE TAXES</v>
      </c>
    </row>
    <row r="1864" spans="5:8" x14ac:dyDescent="0.25">
      <c r="E1864" t="str">
        <f>""</f>
        <v/>
      </c>
      <c r="F1864" t="str">
        <f>""</f>
        <v/>
      </c>
      <c r="G1864" s="3">
        <v>283.08</v>
      </c>
      <c r="H1864" t="str">
        <f t="shared" si="36"/>
        <v>MEDICARE TAXES</v>
      </c>
    </row>
    <row r="1865" spans="5:8" x14ac:dyDescent="0.25">
      <c r="E1865" t="str">
        <f>""</f>
        <v/>
      </c>
      <c r="F1865" t="str">
        <f>""</f>
        <v/>
      </c>
      <c r="G1865" s="3">
        <v>570.85</v>
      </c>
      <c r="H1865" t="str">
        <f t="shared" si="36"/>
        <v>MEDICARE TAXES</v>
      </c>
    </row>
    <row r="1866" spans="5:8" x14ac:dyDescent="0.25">
      <c r="E1866" t="str">
        <f>""</f>
        <v/>
      </c>
      <c r="F1866" t="str">
        <f>""</f>
        <v/>
      </c>
      <c r="G1866" s="3">
        <v>28.48</v>
      </c>
      <c r="H1866" t="str">
        <f t="shared" si="36"/>
        <v>MEDICARE TAXES</v>
      </c>
    </row>
    <row r="1867" spans="5:8" x14ac:dyDescent="0.25">
      <c r="E1867" t="str">
        <f>""</f>
        <v/>
      </c>
      <c r="F1867" t="str">
        <f>""</f>
        <v/>
      </c>
      <c r="G1867" s="3">
        <v>31.23</v>
      </c>
      <c r="H1867" t="str">
        <f t="shared" si="36"/>
        <v>MEDICARE TAXES</v>
      </c>
    </row>
    <row r="1868" spans="5:8" x14ac:dyDescent="0.25">
      <c r="E1868" t="str">
        <f>""</f>
        <v/>
      </c>
      <c r="F1868" t="str">
        <f>""</f>
        <v/>
      </c>
      <c r="G1868" s="3">
        <v>29.6</v>
      </c>
      <c r="H1868" t="str">
        <f t="shared" si="36"/>
        <v>MEDICARE TAXES</v>
      </c>
    </row>
    <row r="1869" spans="5:8" x14ac:dyDescent="0.25">
      <c r="E1869" t="str">
        <f>""</f>
        <v/>
      </c>
      <c r="F1869" t="str">
        <f>""</f>
        <v/>
      </c>
      <c r="G1869" s="3">
        <v>28.85</v>
      </c>
      <c r="H1869" t="str">
        <f t="shared" si="36"/>
        <v>MEDICARE TAXES</v>
      </c>
    </row>
    <row r="1870" spans="5:8" x14ac:dyDescent="0.25">
      <c r="E1870" t="str">
        <f>""</f>
        <v/>
      </c>
      <c r="F1870" t="str">
        <f>""</f>
        <v/>
      </c>
      <c r="G1870" s="3">
        <v>3197.93</v>
      </c>
      <c r="H1870" t="str">
        <f t="shared" si="36"/>
        <v>MEDICARE TAXES</v>
      </c>
    </row>
    <row r="1871" spans="5:8" x14ac:dyDescent="0.25">
      <c r="E1871" t="str">
        <f>""</f>
        <v/>
      </c>
      <c r="F1871" t="str">
        <f>""</f>
        <v/>
      </c>
      <c r="G1871" s="3">
        <v>139.28</v>
      </c>
      <c r="H1871" t="str">
        <f t="shared" si="36"/>
        <v>MEDICARE TAXES</v>
      </c>
    </row>
    <row r="1872" spans="5:8" x14ac:dyDescent="0.25">
      <c r="E1872" t="str">
        <f>""</f>
        <v/>
      </c>
      <c r="F1872" t="str">
        <f>""</f>
        <v/>
      </c>
      <c r="G1872" s="3">
        <v>2819.57</v>
      </c>
      <c r="H1872" t="str">
        <f t="shared" si="36"/>
        <v>MEDICARE TAXES</v>
      </c>
    </row>
    <row r="1873" spans="5:8" x14ac:dyDescent="0.25">
      <c r="E1873" t="str">
        <f>""</f>
        <v/>
      </c>
      <c r="F1873" t="str">
        <f>""</f>
        <v/>
      </c>
      <c r="G1873" s="3">
        <v>403.95</v>
      </c>
      <c r="H1873" t="str">
        <f t="shared" ref="H1873:H1897" si="37">"MEDICARE TAXES"</f>
        <v>MEDICARE TAXES</v>
      </c>
    </row>
    <row r="1874" spans="5:8" x14ac:dyDescent="0.25">
      <c r="E1874" t="str">
        <f>""</f>
        <v/>
      </c>
      <c r="F1874" t="str">
        <f>""</f>
        <v/>
      </c>
      <c r="G1874" s="3">
        <v>27.83</v>
      </c>
      <c r="H1874" t="str">
        <f t="shared" si="37"/>
        <v>MEDICARE TAXES</v>
      </c>
    </row>
    <row r="1875" spans="5:8" x14ac:dyDescent="0.25">
      <c r="E1875" t="str">
        <f>""</f>
        <v/>
      </c>
      <c r="F1875" t="str">
        <f>""</f>
        <v/>
      </c>
      <c r="G1875" s="3">
        <v>78.489999999999995</v>
      </c>
      <c r="H1875" t="str">
        <f t="shared" si="37"/>
        <v>MEDICARE TAXES</v>
      </c>
    </row>
    <row r="1876" spans="5:8" x14ac:dyDescent="0.25">
      <c r="E1876" t="str">
        <f>""</f>
        <v/>
      </c>
      <c r="F1876" t="str">
        <f>""</f>
        <v/>
      </c>
      <c r="G1876" s="3">
        <v>7.81</v>
      </c>
      <c r="H1876" t="str">
        <f t="shared" si="37"/>
        <v>MEDICARE TAXES</v>
      </c>
    </row>
    <row r="1877" spans="5:8" x14ac:dyDescent="0.25">
      <c r="E1877" t="str">
        <f>""</f>
        <v/>
      </c>
      <c r="F1877" t="str">
        <f>""</f>
        <v/>
      </c>
      <c r="G1877" s="3">
        <v>71.42</v>
      </c>
      <c r="H1877" t="str">
        <f t="shared" si="37"/>
        <v>MEDICARE TAXES</v>
      </c>
    </row>
    <row r="1878" spans="5:8" x14ac:dyDescent="0.25">
      <c r="E1878" t="str">
        <f>""</f>
        <v/>
      </c>
      <c r="F1878" t="str">
        <f>""</f>
        <v/>
      </c>
      <c r="G1878" s="3">
        <v>26.98</v>
      </c>
      <c r="H1878" t="str">
        <f t="shared" si="37"/>
        <v>MEDICARE TAXES</v>
      </c>
    </row>
    <row r="1879" spans="5:8" x14ac:dyDescent="0.25">
      <c r="E1879" t="str">
        <f>""</f>
        <v/>
      </c>
      <c r="F1879" t="str">
        <f>""</f>
        <v/>
      </c>
      <c r="G1879" s="3">
        <v>81.55</v>
      </c>
      <c r="H1879" t="str">
        <f t="shared" si="37"/>
        <v>MEDICARE TAXES</v>
      </c>
    </row>
    <row r="1880" spans="5:8" x14ac:dyDescent="0.25">
      <c r="E1880" t="str">
        <f>""</f>
        <v/>
      </c>
      <c r="F1880" t="str">
        <f>""</f>
        <v/>
      </c>
      <c r="G1880" s="3">
        <v>78.72</v>
      </c>
      <c r="H1880" t="str">
        <f t="shared" si="37"/>
        <v>MEDICARE TAXES</v>
      </c>
    </row>
    <row r="1881" spans="5:8" x14ac:dyDescent="0.25">
      <c r="E1881" t="str">
        <f>""</f>
        <v/>
      </c>
      <c r="F1881" t="str">
        <f>""</f>
        <v/>
      </c>
      <c r="G1881" s="3">
        <v>25.5</v>
      </c>
      <c r="H1881" t="str">
        <f t="shared" si="37"/>
        <v>MEDICARE TAXES</v>
      </c>
    </row>
    <row r="1882" spans="5:8" x14ac:dyDescent="0.25">
      <c r="E1882" t="str">
        <f>""</f>
        <v/>
      </c>
      <c r="F1882" t="str">
        <f>""</f>
        <v/>
      </c>
      <c r="G1882" s="3">
        <v>331.36</v>
      </c>
      <c r="H1882" t="str">
        <f t="shared" si="37"/>
        <v>MEDICARE TAXES</v>
      </c>
    </row>
    <row r="1883" spans="5:8" x14ac:dyDescent="0.25">
      <c r="E1883" t="str">
        <f>""</f>
        <v/>
      </c>
      <c r="F1883" t="str">
        <f>""</f>
        <v/>
      </c>
      <c r="G1883" s="3">
        <v>400.23</v>
      </c>
      <c r="H1883" t="str">
        <f t="shared" si="37"/>
        <v>MEDICARE TAXES</v>
      </c>
    </row>
    <row r="1884" spans="5:8" x14ac:dyDescent="0.25">
      <c r="E1884" t="str">
        <f>""</f>
        <v/>
      </c>
      <c r="F1884" t="str">
        <f>""</f>
        <v/>
      </c>
      <c r="G1884" s="3">
        <v>393.61</v>
      </c>
      <c r="H1884" t="str">
        <f t="shared" si="37"/>
        <v>MEDICARE TAXES</v>
      </c>
    </row>
    <row r="1885" spans="5:8" x14ac:dyDescent="0.25">
      <c r="E1885" t="str">
        <f>""</f>
        <v/>
      </c>
      <c r="F1885" t="str">
        <f>""</f>
        <v/>
      </c>
      <c r="G1885" s="3">
        <v>483.89</v>
      </c>
      <c r="H1885" t="str">
        <f t="shared" si="37"/>
        <v>MEDICARE TAXES</v>
      </c>
    </row>
    <row r="1886" spans="5:8" x14ac:dyDescent="0.25">
      <c r="E1886" t="str">
        <f>""</f>
        <v/>
      </c>
      <c r="F1886" t="str">
        <f>""</f>
        <v/>
      </c>
      <c r="G1886" s="3">
        <v>69.540000000000006</v>
      </c>
      <c r="H1886" t="str">
        <f t="shared" si="37"/>
        <v>MEDICARE TAXES</v>
      </c>
    </row>
    <row r="1887" spans="5:8" x14ac:dyDescent="0.25">
      <c r="E1887" t="str">
        <f>""</f>
        <v/>
      </c>
      <c r="F1887" t="str">
        <f>""</f>
        <v/>
      </c>
      <c r="G1887" s="3">
        <v>52.52</v>
      </c>
      <c r="H1887" t="str">
        <f t="shared" si="37"/>
        <v>MEDICARE TAXES</v>
      </c>
    </row>
    <row r="1888" spans="5:8" x14ac:dyDescent="0.25">
      <c r="E1888" t="str">
        <f>""</f>
        <v/>
      </c>
      <c r="F1888" t="str">
        <f>""</f>
        <v/>
      </c>
      <c r="G1888" s="3">
        <v>3.38</v>
      </c>
      <c r="H1888" t="str">
        <f t="shared" si="37"/>
        <v>MEDICARE TAXES</v>
      </c>
    </row>
    <row r="1889" spans="1:8" x14ac:dyDescent="0.25">
      <c r="E1889" t="str">
        <f>""</f>
        <v/>
      </c>
      <c r="F1889" t="str">
        <f>""</f>
        <v/>
      </c>
      <c r="G1889" s="3">
        <v>6.48</v>
      </c>
      <c r="H1889" t="str">
        <f t="shared" si="37"/>
        <v>MEDICARE TAXES</v>
      </c>
    </row>
    <row r="1890" spans="1:8" x14ac:dyDescent="0.25">
      <c r="E1890" t="str">
        <f>""</f>
        <v/>
      </c>
      <c r="F1890" t="str">
        <f>""</f>
        <v/>
      </c>
      <c r="G1890" s="3">
        <v>3.53</v>
      </c>
      <c r="H1890" t="str">
        <f t="shared" si="37"/>
        <v>MEDICARE TAXES</v>
      </c>
    </row>
    <row r="1891" spans="1:8" x14ac:dyDescent="0.25">
      <c r="E1891" t="str">
        <f>""</f>
        <v/>
      </c>
      <c r="F1891" t="str">
        <f>""</f>
        <v/>
      </c>
      <c r="G1891" s="3">
        <v>4.74</v>
      </c>
      <c r="H1891" t="str">
        <f t="shared" si="37"/>
        <v>MEDICARE TAXES</v>
      </c>
    </row>
    <row r="1892" spans="1:8" x14ac:dyDescent="0.25">
      <c r="E1892" t="str">
        <f>""</f>
        <v/>
      </c>
      <c r="F1892" t="str">
        <f>""</f>
        <v/>
      </c>
      <c r="G1892" s="3">
        <v>86.57</v>
      </c>
      <c r="H1892" t="str">
        <f t="shared" si="37"/>
        <v>MEDICARE TAXES</v>
      </c>
    </row>
    <row r="1893" spans="1:8" x14ac:dyDescent="0.25">
      <c r="E1893" t="str">
        <f>""</f>
        <v/>
      </c>
      <c r="F1893" t="str">
        <f>""</f>
        <v/>
      </c>
      <c r="G1893" s="3">
        <v>14246.05</v>
      </c>
      <c r="H1893" t="str">
        <f t="shared" si="37"/>
        <v>MEDICARE TAXES</v>
      </c>
    </row>
    <row r="1894" spans="1:8" x14ac:dyDescent="0.25">
      <c r="E1894" t="str">
        <f>"T4 202108045060"</f>
        <v>T4 202108045060</v>
      </c>
      <c r="F1894" t="str">
        <f>"MEDICARE TAXES"</f>
        <v>MEDICARE TAXES</v>
      </c>
      <c r="G1894" s="3">
        <v>437.83</v>
      </c>
      <c r="H1894" t="str">
        <f t="shared" si="37"/>
        <v>MEDICARE TAXES</v>
      </c>
    </row>
    <row r="1895" spans="1:8" x14ac:dyDescent="0.25">
      <c r="E1895" t="str">
        <f>""</f>
        <v/>
      </c>
      <c r="F1895" t="str">
        <f>""</f>
        <v/>
      </c>
      <c r="G1895" s="3">
        <v>437.83</v>
      </c>
      <c r="H1895" t="str">
        <f t="shared" si="37"/>
        <v>MEDICARE TAXES</v>
      </c>
    </row>
    <row r="1896" spans="1:8" x14ac:dyDescent="0.25">
      <c r="E1896" t="str">
        <f>"T4 202108045061"</f>
        <v>T4 202108045061</v>
      </c>
      <c r="F1896" t="str">
        <f>"MEDICARE TAXES"</f>
        <v>MEDICARE TAXES</v>
      </c>
      <c r="G1896" s="3">
        <v>521.66999999999996</v>
      </c>
      <c r="H1896" t="str">
        <f t="shared" si="37"/>
        <v>MEDICARE TAXES</v>
      </c>
    </row>
    <row r="1897" spans="1:8" x14ac:dyDescent="0.25">
      <c r="E1897" t="str">
        <f>""</f>
        <v/>
      </c>
      <c r="F1897" t="str">
        <f>""</f>
        <v/>
      </c>
      <c r="G1897" s="3">
        <v>521.66999999999996</v>
      </c>
      <c r="H1897" t="str">
        <f t="shared" si="37"/>
        <v>MEDICARE TAXES</v>
      </c>
    </row>
    <row r="1898" spans="1:8" x14ac:dyDescent="0.25">
      <c r="A1898" t="s">
        <v>402</v>
      </c>
      <c r="B1898">
        <v>1228</v>
      </c>
      <c r="C1898" s="3">
        <v>378.34</v>
      </c>
      <c r="D1898" s="6">
        <v>44419</v>
      </c>
      <c r="E1898" t="str">
        <f>"T3 202108095120"</f>
        <v>T3 202108095120</v>
      </c>
      <c r="F1898" t="str">
        <f>"SOCIAL SECURITY TAXES"</f>
        <v>SOCIAL SECURITY TAXES</v>
      </c>
      <c r="G1898" s="3">
        <v>29.14</v>
      </c>
      <c r="H1898" t="str">
        <f>"SOCIAL SECURITY TAXES"</f>
        <v>SOCIAL SECURITY TAXES</v>
      </c>
    </row>
    <row r="1899" spans="1:8" x14ac:dyDescent="0.25">
      <c r="E1899" t="str">
        <f>""</f>
        <v/>
      </c>
      <c r="F1899" t="str">
        <f>""</f>
        <v/>
      </c>
      <c r="G1899" s="3">
        <v>124.18</v>
      </c>
      <c r="H1899" t="str">
        <f>"SOCIAL SECURITY TAXES"</f>
        <v>SOCIAL SECURITY TAXES</v>
      </c>
    </row>
    <row r="1900" spans="1:8" x14ac:dyDescent="0.25">
      <c r="E1900" t="str">
        <f>""</f>
        <v/>
      </c>
      <c r="F1900" t="str">
        <f>""</f>
        <v/>
      </c>
      <c r="G1900" s="3">
        <v>153.32</v>
      </c>
      <c r="H1900" t="str">
        <f>"SOCIAL SECURITY TAXES"</f>
        <v>SOCIAL SECURITY TAXES</v>
      </c>
    </row>
    <row r="1901" spans="1:8" x14ac:dyDescent="0.25">
      <c r="E1901" t="str">
        <f>"T4 202108095120"</f>
        <v>T4 202108095120</v>
      </c>
      <c r="F1901" t="str">
        <f>"MEDICARE TAXES"</f>
        <v>MEDICARE TAXES</v>
      </c>
      <c r="G1901" s="3">
        <v>6.81</v>
      </c>
      <c r="H1901" t="str">
        <f>"MEDICARE TAXES"</f>
        <v>MEDICARE TAXES</v>
      </c>
    </row>
    <row r="1902" spans="1:8" x14ac:dyDescent="0.25">
      <c r="E1902" t="str">
        <f>""</f>
        <v/>
      </c>
      <c r="F1902" t="str">
        <f>""</f>
        <v/>
      </c>
      <c r="G1902" s="3">
        <v>29.04</v>
      </c>
      <c r="H1902" t="str">
        <f>"MEDICARE TAXES"</f>
        <v>MEDICARE TAXES</v>
      </c>
    </row>
    <row r="1903" spans="1:8" x14ac:dyDescent="0.25">
      <c r="E1903" t="str">
        <f>""</f>
        <v/>
      </c>
      <c r="F1903" t="str">
        <f>""</f>
        <v/>
      </c>
      <c r="G1903" s="3">
        <v>35.85</v>
      </c>
      <c r="H1903" t="str">
        <f>"MEDICARE TAXES"</f>
        <v>MEDICARE TAXES</v>
      </c>
    </row>
    <row r="1904" spans="1:8" x14ac:dyDescent="0.25">
      <c r="A1904" t="s">
        <v>402</v>
      </c>
      <c r="B1904">
        <v>1267</v>
      </c>
      <c r="C1904" s="3">
        <v>242616.79</v>
      </c>
      <c r="D1904" s="6">
        <v>44428</v>
      </c>
      <c r="E1904" t="str">
        <f>"T1 202108175280"</f>
        <v>T1 202108175280</v>
      </c>
      <c r="F1904" t="str">
        <f>"FEDERAL WITHHOLDING"</f>
        <v>FEDERAL WITHHOLDING</v>
      </c>
      <c r="G1904" s="3">
        <v>80121.919999999998</v>
      </c>
      <c r="H1904" t="str">
        <f>"FEDERAL WITHHOLDING"</f>
        <v>FEDERAL WITHHOLDING</v>
      </c>
    </row>
    <row r="1905" spans="5:8" x14ac:dyDescent="0.25">
      <c r="E1905" t="str">
        <f>"T1 202108175281"</f>
        <v>T1 202108175281</v>
      </c>
      <c r="F1905" t="str">
        <f>"FEDERAL WITHHOLDING"</f>
        <v>FEDERAL WITHHOLDING</v>
      </c>
      <c r="G1905" s="3">
        <v>2640.48</v>
      </c>
      <c r="H1905" t="str">
        <f>"FEDERAL WITHHOLDING"</f>
        <v>FEDERAL WITHHOLDING</v>
      </c>
    </row>
    <row r="1906" spans="5:8" x14ac:dyDescent="0.25">
      <c r="E1906" t="str">
        <f>"T1 202108175282"</f>
        <v>T1 202108175282</v>
      </c>
      <c r="F1906" t="str">
        <f>"FEDERAL WITHHOLDING"</f>
        <v>FEDERAL WITHHOLDING</v>
      </c>
      <c r="G1906" s="3">
        <v>3035.17</v>
      </c>
      <c r="H1906" t="str">
        <f>"FEDERAL WITHHOLDING"</f>
        <v>FEDERAL WITHHOLDING</v>
      </c>
    </row>
    <row r="1907" spans="5:8" x14ac:dyDescent="0.25">
      <c r="E1907" t="str">
        <f>"T3 202108175280"</f>
        <v>T3 202108175280</v>
      </c>
      <c r="F1907" t="str">
        <f>"SOCIAL SECURITY TAXES"</f>
        <v>SOCIAL SECURITY TAXES</v>
      </c>
      <c r="G1907" s="3">
        <v>518.42999999999995</v>
      </c>
      <c r="H1907" t="str">
        <f t="shared" ref="H1907:H1938" si="38">"SOCIAL SECURITY TAXES"</f>
        <v>SOCIAL SECURITY TAXES</v>
      </c>
    </row>
    <row r="1908" spans="5:8" x14ac:dyDescent="0.25">
      <c r="E1908" t="str">
        <f>""</f>
        <v/>
      </c>
      <c r="F1908" t="str">
        <f>""</f>
        <v/>
      </c>
      <c r="G1908" s="3">
        <v>374.27</v>
      </c>
      <c r="H1908" t="str">
        <f t="shared" si="38"/>
        <v>SOCIAL SECURITY TAXES</v>
      </c>
    </row>
    <row r="1909" spans="5:8" x14ac:dyDescent="0.25">
      <c r="E1909" t="str">
        <f>""</f>
        <v/>
      </c>
      <c r="F1909" t="str">
        <f>""</f>
        <v/>
      </c>
      <c r="G1909" s="3">
        <v>964.23</v>
      </c>
      <c r="H1909" t="str">
        <f t="shared" si="38"/>
        <v>SOCIAL SECURITY TAXES</v>
      </c>
    </row>
    <row r="1910" spans="5:8" x14ac:dyDescent="0.25">
      <c r="E1910" t="str">
        <f>""</f>
        <v/>
      </c>
      <c r="F1910" t="str">
        <f>""</f>
        <v/>
      </c>
      <c r="G1910" s="3">
        <v>403.11</v>
      </c>
      <c r="H1910" t="str">
        <f t="shared" si="38"/>
        <v>SOCIAL SECURITY TAXES</v>
      </c>
    </row>
    <row r="1911" spans="5:8" x14ac:dyDescent="0.25">
      <c r="E1911" t="str">
        <f>""</f>
        <v/>
      </c>
      <c r="F1911" t="str">
        <f>""</f>
        <v/>
      </c>
      <c r="G1911" s="3">
        <v>179.04</v>
      </c>
      <c r="H1911" t="str">
        <f t="shared" si="38"/>
        <v>SOCIAL SECURITY TAXES</v>
      </c>
    </row>
    <row r="1912" spans="5:8" x14ac:dyDescent="0.25">
      <c r="E1912" t="str">
        <f>""</f>
        <v/>
      </c>
      <c r="F1912" t="str">
        <f>""</f>
        <v/>
      </c>
      <c r="G1912" s="3">
        <v>741.69</v>
      </c>
      <c r="H1912" t="str">
        <f t="shared" si="38"/>
        <v>SOCIAL SECURITY TAXES</v>
      </c>
    </row>
    <row r="1913" spans="5:8" x14ac:dyDescent="0.25">
      <c r="E1913" t="str">
        <f>""</f>
        <v/>
      </c>
      <c r="F1913" t="str">
        <f>""</f>
        <v/>
      </c>
      <c r="G1913" s="3">
        <v>2819.24</v>
      </c>
      <c r="H1913" t="str">
        <f t="shared" si="38"/>
        <v>SOCIAL SECURITY TAXES</v>
      </c>
    </row>
    <row r="1914" spans="5:8" x14ac:dyDescent="0.25">
      <c r="E1914" t="str">
        <f>""</f>
        <v/>
      </c>
      <c r="F1914" t="str">
        <f>""</f>
        <v/>
      </c>
      <c r="G1914" s="3">
        <v>96.05</v>
      </c>
      <c r="H1914" t="str">
        <f t="shared" si="38"/>
        <v>SOCIAL SECURITY TAXES</v>
      </c>
    </row>
    <row r="1915" spans="5:8" x14ac:dyDescent="0.25">
      <c r="E1915" t="str">
        <f>""</f>
        <v/>
      </c>
      <c r="F1915" t="str">
        <f>""</f>
        <v/>
      </c>
      <c r="G1915" s="3">
        <v>845.94</v>
      </c>
      <c r="H1915" t="str">
        <f t="shared" si="38"/>
        <v>SOCIAL SECURITY TAXES</v>
      </c>
    </row>
    <row r="1916" spans="5:8" x14ac:dyDescent="0.25">
      <c r="E1916" t="str">
        <f>""</f>
        <v/>
      </c>
      <c r="F1916" t="str">
        <f>""</f>
        <v/>
      </c>
      <c r="G1916" s="3">
        <v>809.2</v>
      </c>
      <c r="H1916" t="str">
        <f t="shared" si="38"/>
        <v>SOCIAL SECURITY TAXES</v>
      </c>
    </row>
    <row r="1917" spans="5:8" x14ac:dyDescent="0.25">
      <c r="E1917" t="str">
        <f>""</f>
        <v/>
      </c>
      <c r="F1917" t="str">
        <f>""</f>
        <v/>
      </c>
      <c r="G1917" s="3">
        <v>1461.23</v>
      </c>
      <c r="H1917" t="str">
        <f t="shared" si="38"/>
        <v>SOCIAL SECURITY TAXES</v>
      </c>
    </row>
    <row r="1918" spans="5:8" x14ac:dyDescent="0.25">
      <c r="E1918" t="str">
        <f>""</f>
        <v/>
      </c>
      <c r="F1918" t="str">
        <f>""</f>
        <v/>
      </c>
      <c r="G1918" s="3">
        <v>443.45</v>
      </c>
      <c r="H1918" t="str">
        <f t="shared" si="38"/>
        <v>SOCIAL SECURITY TAXES</v>
      </c>
    </row>
    <row r="1919" spans="5:8" x14ac:dyDescent="0.25">
      <c r="E1919" t="str">
        <f>""</f>
        <v/>
      </c>
      <c r="F1919" t="str">
        <f>""</f>
        <v/>
      </c>
      <c r="G1919" s="3">
        <v>358.32</v>
      </c>
      <c r="H1919" t="str">
        <f t="shared" si="38"/>
        <v>SOCIAL SECURITY TAXES</v>
      </c>
    </row>
    <row r="1920" spans="5:8" x14ac:dyDescent="0.25">
      <c r="E1920" t="str">
        <f>""</f>
        <v/>
      </c>
      <c r="F1920" t="str">
        <f>""</f>
        <v/>
      </c>
      <c r="G1920" s="3">
        <v>373.78</v>
      </c>
      <c r="H1920" t="str">
        <f t="shared" si="38"/>
        <v>SOCIAL SECURITY TAXES</v>
      </c>
    </row>
    <row r="1921" spans="5:8" x14ac:dyDescent="0.25">
      <c r="E1921" t="str">
        <f>""</f>
        <v/>
      </c>
      <c r="F1921" t="str">
        <f>""</f>
        <v/>
      </c>
      <c r="G1921" s="3">
        <v>398.11</v>
      </c>
      <c r="H1921" t="str">
        <f t="shared" si="38"/>
        <v>SOCIAL SECURITY TAXES</v>
      </c>
    </row>
    <row r="1922" spans="5:8" x14ac:dyDescent="0.25">
      <c r="E1922" t="str">
        <f>""</f>
        <v/>
      </c>
      <c r="F1922" t="str">
        <f>""</f>
        <v/>
      </c>
      <c r="G1922" s="3">
        <v>218.87</v>
      </c>
      <c r="H1922" t="str">
        <f t="shared" si="38"/>
        <v>SOCIAL SECURITY TAXES</v>
      </c>
    </row>
    <row r="1923" spans="5:8" x14ac:dyDescent="0.25">
      <c r="E1923" t="str">
        <f>""</f>
        <v/>
      </c>
      <c r="F1923" t="str">
        <f>""</f>
        <v/>
      </c>
      <c r="G1923" s="3">
        <v>2598.09</v>
      </c>
      <c r="H1923" t="str">
        <f t="shared" si="38"/>
        <v>SOCIAL SECURITY TAXES</v>
      </c>
    </row>
    <row r="1924" spans="5:8" x14ac:dyDescent="0.25">
      <c r="E1924" t="str">
        <f>""</f>
        <v/>
      </c>
      <c r="F1924" t="str">
        <f>""</f>
        <v/>
      </c>
      <c r="G1924" s="3">
        <v>1002.61</v>
      </c>
      <c r="H1924" t="str">
        <f t="shared" si="38"/>
        <v>SOCIAL SECURITY TAXES</v>
      </c>
    </row>
    <row r="1925" spans="5:8" x14ac:dyDescent="0.25">
      <c r="E1925" t="str">
        <f>""</f>
        <v/>
      </c>
      <c r="F1925" t="str">
        <f>""</f>
        <v/>
      </c>
      <c r="G1925" s="3">
        <v>486.5</v>
      </c>
      <c r="H1925" t="str">
        <f t="shared" si="38"/>
        <v>SOCIAL SECURITY TAXES</v>
      </c>
    </row>
    <row r="1926" spans="5:8" x14ac:dyDescent="0.25">
      <c r="E1926" t="str">
        <f>""</f>
        <v/>
      </c>
      <c r="F1926" t="str">
        <f>""</f>
        <v/>
      </c>
      <c r="G1926" s="3">
        <v>480.86</v>
      </c>
      <c r="H1926" t="str">
        <f t="shared" si="38"/>
        <v>SOCIAL SECURITY TAXES</v>
      </c>
    </row>
    <row r="1927" spans="5:8" x14ac:dyDescent="0.25">
      <c r="E1927" t="str">
        <f>""</f>
        <v/>
      </c>
      <c r="F1927" t="str">
        <f>""</f>
        <v/>
      </c>
      <c r="G1927" s="3">
        <v>1299.2</v>
      </c>
      <c r="H1927" t="str">
        <f t="shared" si="38"/>
        <v>SOCIAL SECURITY TAXES</v>
      </c>
    </row>
    <row r="1928" spans="5:8" x14ac:dyDescent="0.25">
      <c r="E1928" t="str">
        <f>""</f>
        <v/>
      </c>
      <c r="F1928" t="str">
        <f>""</f>
        <v/>
      </c>
      <c r="G1928" s="3">
        <v>704.54</v>
      </c>
      <c r="H1928" t="str">
        <f t="shared" si="38"/>
        <v>SOCIAL SECURITY TAXES</v>
      </c>
    </row>
    <row r="1929" spans="5:8" x14ac:dyDescent="0.25">
      <c r="E1929" t="str">
        <f>""</f>
        <v/>
      </c>
      <c r="F1929" t="str">
        <f>""</f>
        <v/>
      </c>
      <c r="G1929" s="3">
        <v>1730.31</v>
      </c>
      <c r="H1929" t="str">
        <f t="shared" si="38"/>
        <v>SOCIAL SECURITY TAXES</v>
      </c>
    </row>
    <row r="1930" spans="5:8" x14ac:dyDescent="0.25">
      <c r="E1930" t="str">
        <f>""</f>
        <v/>
      </c>
      <c r="F1930" t="str">
        <f>""</f>
        <v/>
      </c>
      <c r="G1930" s="3">
        <v>1187.31</v>
      </c>
      <c r="H1930" t="str">
        <f t="shared" si="38"/>
        <v>SOCIAL SECURITY TAXES</v>
      </c>
    </row>
    <row r="1931" spans="5:8" x14ac:dyDescent="0.25">
      <c r="E1931" t="str">
        <f>""</f>
        <v/>
      </c>
      <c r="F1931" t="str">
        <f>""</f>
        <v/>
      </c>
      <c r="G1931" s="3">
        <v>2581.25</v>
      </c>
      <c r="H1931" t="str">
        <f t="shared" si="38"/>
        <v>SOCIAL SECURITY TAXES</v>
      </c>
    </row>
    <row r="1932" spans="5:8" x14ac:dyDescent="0.25">
      <c r="E1932" t="str">
        <f>""</f>
        <v/>
      </c>
      <c r="F1932" t="str">
        <f>""</f>
        <v/>
      </c>
      <c r="G1932" s="3">
        <v>121.76</v>
      </c>
      <c r="H1932" t="str">
        <f t="shared" si="38"/>
        <v>SOCIAL SECURITY TAXES</v>
      </c>
    </row>
    <row r="1933" spans="5:8" x14ac:dyDescent="0.25">
      <c r="E1933" t="str">
        <f>""</f>
        <v/>
      </c>
      <c r="F1933" t="str">
        <f>""</f>
        <v/>
      </c>
      <c r="G1933" s="3">
        <v>133.51</v>
      </c>
      <c r="H1933" t="str">
        <f t="shared" si="38"/>
        <v>SOCIAL SECURITY TAXES</v>
      </c>
    </row>
    <row r="1934" spans="5:8" x14ac:dyDescent="0.25">
      <c r="E1934" t="str">
        <f>""</f>
        <v/>
      </c>
      <c r="F1934" t="str">
        <f>""</f>
        <v/>
      </c>
      <c r="G1934" s="3">
        <v>126.55</v>
      </c>
      <c r="H1934" t="str">
        <f t="shared" si="38"/>
        <v>SOCIAL SECURITY TAXES</v>
      </c>
    </row>
    <row r="1935" spans="5:8" x14ac:dyDescent="0.25">
      <c r="E1935" t="str">
        <f>""</f>
        <v/>
      </c>
      <c r="F1935" t="str">
        <f>""</f>
        <v/>
      </c>
      <c r="G1935" s="3">
        <v>123.37</v>
      </c>
      <c r="H1935" t="str">
        <f t="shared" si="38"/>
        <v>SOCIAL SECURITY TAXES</v>
      </c>
    </row>
    <row r="1936" spans="5:8" x14ac:dyDescent="0.25">
      <c r="E1936" t="str">
        <f>""</f>
        <v/>
      </c>
      <c r="F1936" t="str">
        <f>""</f>
        <v/>
      </c>
      <c r="G1936" s="3">
        <v>13685.6</v>
      </c>
      <c r="H1936" t="str">
        <f t="shared" si="38"/>
        <v>SOCIAL SECURITY TAXES</v>
      </c>
    </row>
    <row r="1937" spans="5:8" x14ac:dyDescent="0.25">
      <c r="E1937" t="str">
        <f>""</f>
        <v/>
      </c>
      <c r="F1937" t="str">
        <f>""</f>
        <v/>
      </c>
      <c r="G1937" s="3">
        <v>595.55999999999995</v>
      </c>
      <c r="H1937" t="str">
        <f t="shared" si="38"/>
        <v>SOCIAL SECURITY TAXES</v>
      </c>
    </row>
    <row r="1938" spans="5:8" x14ac:dyDescent="0.25">
      <c r="E1938" t="str">
        <f>""</f>
        <v/>
      </c>
      <c r="F1938" t="str">
        <f>""</f>
        <v/>
      </c>
      <c r="G1938" s="3">
        <v>10538.09</v>
      </c>
      <c r="H1938" t="str">
        <f t="shared" si="38"/>
        <v>SOCIAL SECURITY TAXES</v>
      </c>
    </row>
    <row r="1939" spans="5:8" x14ac:dyDescent="0.25">
      <c r="E1939" t="str">
        <f>""</f>
        <v/>
      </c>
      <c r="F1939" t="str">
        <f>""</f>
        <v/>
      </c>
      <c r="G1939" s="3">
        <v>1711.94</v>
      </c>
      <c r="H1939" t="str">
        <f t="shared" ref="H1939:H1963" si="39">"SOCIAL SECURITY TAXES"</f>
        <v>SOCIAL SECURITY TAXES</v>
      </c>
    </row>
    <row r="1940" spans="5:8" x14ac:dyDescent="0.25">
      <c r="E1940" t="str">
        <f>""</f>
        <v/>
      </c>
      <c r="F1940" t="str">
        <f>""</f>
        <v/>
      </c>
      <c r="G1940" s="3">
        <v>119.01</v>
      </c>
      <c r="H1940" t="str">
        <f t="shared" si="39"/>
        <v>SOCIAL SECURITY TAXES</v>
      </c>
    </row>
    <row r="1941" spans="5:8" x14ac:dyDescent="0.25">
      <c r="E1941" t="str">
        <f>""</f>
        <v/>
      </c>
      <c r="F1941" t="str">
        <f>""</f>
        <v/>
      </c>
      <c r="G1941" s="3">
        <v>335.62</v>
      </c>
      <c r="H1941" t="str">
        <f t="shared" si="39"/>
        <v>SOCIAL SECURITY TAXES</v>
      </c>
    </row>
    <row r="1942" spans="5:8" x14ac:dyDescent="0.25">
      <c r="E1942" t="str">
        <f>""</f>
        <v/>
      </c>
      <c r="F1942" t="str">
        <f>""</f>
        <v/>
      </c>
      <c r="G1942" s="3">
        <v>33.409999999999997</v>
      </c>
      <c r="H1942" t="str">
        <f t="shared" si="39"/>
        <v>SOCIAL SECURITY TAXES</v>
      </c>
    </row>
    <row r="1943" spans="5:8" x14ac:dyDescent="0.25">
      <c r="E1943" t="str">
        <f>""</f>
        <v/>
      </c>
      <c r="F1943" t="str">
        <f>""</f>
        <v/>
      </c>
      <c r="G1943" s="3">
        <v>305.39</v>
      </c>
      <c r="H1943" t="str">
        <f t="shared" si="39"/>
        <v>SOCIAL SECURITY TAXES</v>
      </c>
    </row>
    <row r="1944" spans="5:8" x14ac:dyDescent="0.25">
      <c r="E1944" t="str">
        <f>""</f>
        <v/>
      </c>
      <c r="F1944" t="str">
        <f>""</f>
        <v/>
      </c>
      <c r="G1944" s="3">
        <v>115.36</v>
      </c>
      <c r="H1944" t="str">
        <f t="shared" si="39"/>
        <v>SOCIAL SECURITY TAXES</v>
      </c>
    </row>
    <row r="1945" spans="5:8" x14ac:dyDescent="0.25">
      <c r="E1945" t="str">
        <f>""</f>
        <v/>
      </c>
      <c r="F1945" t="str">
        <f>""</f>
        <v/>
      </c>
      <c r="G1945" s="3">
        <v>348.74</v>
      </c>
      <c r="H1945" t="str">
        <f t="shared" si="39"/>
        <v>SOCIAL SECURITY TAXES</v>
      </c>
    </row>
    <row r="1946" spans="5:8" x14ac:dyDescent="0.25">
      <c r="E1946" t="str">
        <f>""</f>
        <v/>
      </c>
      <c r="F1946" t="str">
        <f>""</f>
        <v/>
      </c>
      <c r="G1946" s="3">
        <v>336.6</v>
      </c>
      <c r="H1946" t="str">
        <f t="shared" si="39"/>
        <v>SOCIAL SECURITY TAXES</v>
      </c>
    </row>
    <row r="1947" spans="5:8" x14ac:dyDescent="0.25">
      <c r="E1947" t="str">
        <f>""</f>
        <v/>
      </c>
      <c r="F1947" t="str">
        <f>""</f>
        <v/>
      </c>
      <c r="G1947" s="3">
        <v>109.12</v>
      </c>
      <c r="H1947" t="str">
        <f t="shared" si="39"/>
        <v>SOCIAL SECURITY TAXES</v>
      </c>
    </row>
    <row r="1948" spans="5:8" x14ac:dyDescent="0.25">
      <c r="E1948" t="str">
        <f>""</f>
        <v/>
      </c>
      <c r="F1948" t="str">
        <f>""</f>
        <v/>
      </c>
      <c r="G1948" s="3">
        <v>1328.93</v>
      </c>
      <c r="H1948" t="str">
        <f t="shared" si="39"/>
        <v>SOCIAL SECURITY TAXES</v>
      </c>
    </row>
    <row r="1949" spans="5:8" x14ac:dyDescent="0.25">
      <c r="E1949" t="str">
        <f>""</f>
        <v/>
      </c>
      <c r="F1949" t="str">
        <f>""</f>
        <v/>
      </c>
      <c r="G1949" s="3">
        <v>1746.29</v>
      </c>
      <c r="H1949" t="str">
        <f t="shared" si="39"/>
        <v>SOCIAL SECURITY TAXES</v>
      </c>
    </row>
    <row r="1950" spans="5:8" x14ac:dyDescent="0.25">
      <c r="E1950" t="str">
        <f>""</f>
        <v/>
      </c>
      <c r="F1950" t="str">
        <f>""</f>
        <v/>
      </c>
      <c r="G1950" s="3">
        <v>1712.38</v>
      </c>
      <c r="H1950" t="str">
        <f t="shared" si="39"/>
        <v>SOCIAL SECURITY TAXES</v>
      </c>
    </row>
    <row r="1951" spans="5:8" x14ac:dyDescent="0.25">
      <c r="E1951" t="str">
        <f>""</f>
        <v/>
      </c>
      <c r="F1951" t="str">
        <f>""</f>
        <v/>
      </c>
      <c r="G1951" s="3">
        <v>1873.71</v>
      </c>
      <c r="H1951" t="str">
        <f t="shared" si="39"/>
        <v>SOCIAL SECURITY TAXES</v>
      </c>
    </row>
    <row r="1952" spans="5:8" x14ac:dyDescent="0.25">
      <c r="E1952" t="str">
        <f>""</f>
        <v/>
      </c>
      <c r="F1952" t="str">
        <f>""</f>
        <v/>
      </c>
      <c r="G1952" s="3">
        <v>297.36</v>
      </c>
      <c r="H1952" t="str">
        <f t="shared" si="39"/>
        <v>SOCIAL SECURITY TAXES</v>
      </c>
    </row>
    <row r="1953" spans="5:8" x14ac:dyDescent="0.25">
      <c r="E1953" t="str">
        <f>""</f>
        <v/>
      </c>
      <c r="F1953" t="str">
        <f>""</f>
        <v/>
      </c>
      <c r="G1953" s="3">
        <v>224.55</v>
      </c>
      <c r="H1953" t="str">
        <f t="shared" si="39"/>
        <v>SOCIAL SECURITY TAXES</v>
      </c>
    </row>
    <row r="1954" spans="5:8" x14ac:dyDescent="0.25">
      <c r="E1954" t="str">
        <f>""</f>
        <v/>
      </c>
      <c r="F1954" t="str">
        <f>""</f>
        <v/>
      </c>
      <c r="G1954" s="3">
        <v>14.46</v>
      </c>
      <c r="H1954" t="str">
        <f t="shared" si="39"/>
        <v>SOCIAL SECURITY TAXES</v>
      </c>
    </row>
    <row r="1955" spans="5:8" x14ac:dyDescent="0.25">
      <c r="E1955" t="str">
        <f>""</f>
        <v/>
      </c>
      <c r="F1955" t="str">
        <f>""</f>
        <v/>
      </c>
      <c r="G1955" s="3">
        <v>27.72</v>
      </c>
      <c r="H1955" t="str">
        <f t="shared" si="39"/>
        <v>SOCIAL SECURITY TAXES</v>
      </c>
    </row>
    <row r="1956" spans="5:8" x14ac:dyDescent="0.25">
      <c r="E1956" t="str">
        <f>""</f>
        <v/>
      </c>
      <c r="F1956" t="str">
        <f>""</f>
        <v/>
      </c>
      <c r="G1956" s="3">
        <v>15.07</v>
      </c>
      <c r="H1956" t="str">
        <f t="shared" si="39"/>
        <v>SOCIAL SECURITY TAXES</v>
      </c>
    </row>
    <row r="1957" spans="5:8" x14ac:dyDescent="0.25">
      <c r="E1957" t="str">
        <f>""</f>
        <v/>
      </c>
      <c r="F1957" t="str">
        <f>""</f>
        <v/>
      </c>
      <c r="G1957" s="3">
        <v>20.23</v>
      </c>
      <c r="H1957" t="str">
        <f t="shared" si="39"/>
        <v>SOCIAL SECURITY TAXES</v>
      </c>
    </row>
    <row r="1958" spans="5:8" x14ac:dyDescent="0.25">
      <c r="E1958" t="str">
        <f>""</f>
        <v/>
      </c>
      <c r="F1958" t="str">
        <f>""</f>
        <v/>
      </c>
      <c r="G1958" s="3">
        <v>370.13</v>
      </c>
      <c r="H1958" t="str">
        <f t="shared" si="39"/>
        <v>SOCIAL SECURITY TAXES</v>
      </c>
    </row>
    <row r="1959" spans="5:8" x14ac:dyDescent="0.25">
      <c r="E1959" t="str">
        <f>""</f>
        <v/>
      </c>
      <c r="F1959" t="str">
        <f>""</f>
        <v/>
      </c>
      <c r="G1959" s="3">
        <v>59446.09</v>
      </c>
      <c r="H1959" t="str">
        <f t="shared" si="39"/>
        <v>SOCIAL SECURITY TAXES</v>
      </c>
    </row>
    <row r="1960" spans="5:8" x14ac:dyDescent="0.25">
      <c r="E1960" t="str">
        <f>"T3 202108175281"</f>
        <v>T3 202108175281</v>
      </c>
      <c r="F1960" t="str">
        <f>"SOCIAL SECURITY TAXES"</f>
        <v>SOCIAL SECURITY TAXES</v>
      </c>
      <c r="G1960" s="3">
        <v>1887.99</v>
      </c>
      <c r="H1960" t="str">
        <f t="shared" si="39"/>
        <v>SOCIAL SECURITY TAXES</v>
      </c>
    </row>
    <row r="1961" spans="5:8" x14ac:dyDescent="0.25">
      <c r="E1961" t="str">
        <f>""</f>
        <v/>
      </c>
      <c r="F1961" t="str">
        <f>""</f>
        <v/>
      </c>
      <c r="G1961" s="3">
        <v>1887.99</v>
      </c>
      <c r="H1961" t="str">
        <f t="shared" si="39"/>
        <v>SOCIAL SECURITY TAXES</v>
      </c>
    </row>
    <row r="1962" spans="5:8" x14ac:dyDescent="0.25">
      <c r="E1962" t="str">
        <f>"T3 202108175282"</f>
        <v>T3 202108175282</v>
      </c>
      <c r="F1962" t="str">
        <f>"SOCIAL SECURITY TAXES"</f>
        <v>SOCIAL SECURITY TAXES</v>
      </c>
      <c r="G1962" s="3">
        <v>2213.5100000000002</v>
      </c>
      <c r="H1962" t="str">
        <f t="shared" si="39"/>
        <v>SOCIAL SECURITY TAXES</v>
      </c>
    </row>
    <row r="1963" spans="5:8" x14ac:dyDescent="0.25">
      <c r="E1963" t="str">
        <f>""</f>
        <v/>
      </c>
      <c r="F1963" t="str">
        <f>""</f>
        <v/>
      </c>
      <c r="G1963" s="3">
        <v>2213.5100000000002</v>
      </c>
      <c r="H1963" t="str">
        <f t="shared" si="39"/>
        <v>SOCIAL SECURITY TAXES</v>
      </c>
    </row>
    <row r="1964" spans="5:8" x14ac:dyDescent="0.25">
      <c r="E1964" t="str">
        <f>"T4 202108175280"</f>
        <v>T4 202108175280</v>
      </c>
      <c r="F1964" t="str">
        <f>"MEDICARE TAXES"</f>
        <v>MEDICARE TAXES</v>
      </c>
      <c r="G1964" s="3">
        <v>121.24</v>
      </c>
      <c r="H1964" t="str">
        <f t="shared" ref="H1964:H1995" si="40">"MEDICARE TAXES"</f>
        <v>MEDICARE TAXES</v>
      </c>
    </row>
    <row r="1965" spans="5:8" x14ac:dyDescent="0.25">
      <c r="E1965" t="str">
        <f>""</f>
        <v/>
      </c>
      <c r="F1965" t="str">
        <f>""</f>
        <v/>
      </c>
      <c r="G1965" s="3">
        <v>87.53</v>
      </c>
      <c r="H1965" t="str">
        <f t="shared" si="40"/>
        <v>MEDICARE TAXES</v>
      </c>
    </row>
    <row r="1966" spans="5:8" x14ac:dyDescent="0.25">
      <c r="E1966" t="str">
        <f>""</f>
        <v/>
      </c>
      <c r="F1966" t="str">
        <f>""</f>
        <v/>
      </c>
      <c r="G1966" s="3">
        <v>225.51</v>
      </c>
      <c r="H1966" t="str">
        <f t="shared" si="40"/>
        <v>MEDICARE TAXES</v>
      </c>
    </row>
    <row r="1967" spans="5:8" x14ac:dyDescent="0.25">
      <c r="E1967" t="str">
        <f>""</f>
        <v/>
      </c>
      <c r="F1967" t="str">
        <f>""</f>
        <v/>
      </c>
      <c r="G1967" s="3">
        <v>94.28</v>
      </c>
      <c r="H1967" t="str">
        <f t="shared" si="40"/>
        <v>MEDICARE TAXES</v>
      </c>
    </row>
    <row r="1968" spans="5:8" x14ac:dyDescent="0.25">
      <c r="E1968" t="str">
        <f>""</f>
        <v/>
      </c>
      <c r="F1968" t="str">
        <f>""</f>
        <v/>
      </c>
      <c r="G1968" s="3">
        <v>41.88</v>
      </c>
      <c r="H1968" t="str">
        <f t="shared" si="40"/>
        <v>MEDICARE TAXES</v>
      </c>
    </row>
    <row r="1969" spans="5:8" x14ac:dyDescent="0.25">
      <c r="E1969" t="str">
        <f>""</f>
        <v/>
      </c>
      <c r="F1969" t="str">
        <f>""</f>
        <v/>
      </c>
      <c r="G1969" s="3">
        <v>173.46</v>
      </c>
      <c r="H1969" t="str">
        <f t="shared" si="40"/>
        <v>MEDICARE TAXES</v>
      </c>
    </row>
    <row r="1970" spans="5:8" x14ac:dyDescent="0.25">
      <c r="E1970" t="str">
        <f>""</f>
        <v/>
      </c>
      <c r="F1970" t="str">
        <f>""</f>
        <v/>
      </c>
      <c r="G1970" s="3">
        <v>659.33</v>
      </c>
      <c r="H1970" t="str">
        <f t="shared" si="40"/>
        <v>MEDICARE TAXES</v>
      </c>
    </row>
    <row r="1971" spans="5:8" x14ac:dyDescent="0.25">
      <c r="E1971" t="str">
        <f>""</f>
        <v/>
      </c>
      <c r="F1971" t="str">
        <f>""</f>
        <v/>
      </c>
      <c r="G1971" s="3">
        <v>22.46</v>
      </c>
      <c r="H1971" t="str">
        <f t="shared" si="40"/>
        <v>MEDICARE TAXES</v>
      </c>
    </row>
    <row r="1972" spans="5:8" x14ac:dyDescent="0.25">
      <c r="E1972" t="str">
        <f>""</f>
        <v/>
      </c>
      <c r="F1972" t="str">
        <f>""</f>
        <v/>
      </c>
      <c r="G1972" s="3">
        <v>197.83</v>
      </c>
      <c r="H1972" t="str">
        <f t="shared" si="40"/>
        <v>MEDICARE TAXES</v>
      </c>
    </row>
    <row r="1973" spans="5:8" x14ac:dyDescent="0.25">
      <c r="E1973" t="str">
        <f>""</f>
        <v/>
      </c>
      <c r="F1973" t="str">
        <f>""</f>
        <v/>
      </c>
      <c r="G1973" s="3">
        <v>189.26</v>
      </c>
      <c r="H1973" t="str">
        <f t="shared" si="40"/>
        <v>MEDICARE TAXES</v>
      </c>
    </row>
    <row r="1974" spans="5:8" x14ac:dyDescent="0.25">
      <c r="E1974" t="str">
        <f>""</f>
        <v/>
      </c>
      <c r="F1974" t="str">
        <f>""</f>
        <v/>
      </c>
      <c r="G1974" s="3">
        <v>341.73</v>
      </c>
      <c r="H1974" t="str">
        <f t="shared" si="40"/>
        <v>MEDICARE TAXES</v>
      </c>
    </row>
    <row r="1975" spans="5:8" x14ac:dyDescent="0.25">
      <c r="E1975" t="str">
        <f>""</f>
        <v/>
      </c>
      <c r="F1975" t="str">
        <f>""</f>
        <v/>
      </c>
      <c r="G1975" s="3">
        <v>103.71</v>
      </c>
      <c r="H1975" t="str">
        <f t="shared" si="40"/>
        <v>MEDICARE TAXES</v>
      </c>
    </row>
    <row r="1976" spans="5:8" x14ac:dyDescent="0.25">
      <c r="E1976" t="str">
        <f>""</f>
        <v/>
      </c>
      <c r="F1976" t="str">
        <f>""</f>
        <v/>
      </c>
      <c r="G1976" s="3">
        <v>83.8</v>
      </c>
      <c r="H1976" t="str">
        <f t="shared" si="40"/>
        <v>MEDICARE TAXES</v>
      </c>
    </row>
    <row r="1977" spans="5:8" x14ac:dyDescent="0.25">
      <c r="E1977" t="str">
        <f>""</f>
        <v/>
      </c>
      <c r="F1977" t="str">
        <f>""</f>
        <v/>
      </c>
      <c r="G1977" s="3">
        <v>87.42</v>
      </c>
      <c r="H1977" t="str">
        <f t="shared" si="40"/>
        <v>MEDICARE TAXES</v>
      </c>
    </row>
    <row r="1978" spans="5:8" x14ac:dyDescent="0.25">
      <c r="E1978" t="str">
        <f>""</f>
        <v/>
      </c>
      <c r="F1978" t="str">
        <f>""</f>
        <v/>
      </c>
      <c r="G1978" s="3">
        <v>93.1</v>
      </c>
      <c r="H1978" t="str">
        <f t="shared" si="40"/>
        <v>MEDICARE TAXES</v>
      </c>
    </row>
    <row r="1979" spans="5:8" x14ac:dyDescent="0.25">
      <c r="E1979" t="str">
        <f>""</f>
        <v/>
      </c>
      <c r="F1979" t="str">
        <f>""</f>
        <v/>
      </c>
      <c r="G1979" s="3">
        <v>51.19</v>
      </c>
      <c r="H1979" t="str">
        <f t="shared" si="40"/>
        <v>MEDICARE TAXES</v>
      </c>
    </row>
    <row r="1980" spans="5:8" x14ac:dyDescent="0.25">
      <c r="E1980" t="str">
        <f>""</f>
        <v/>
      </c>
      <c r="F1980" t="str">
        <f>""</f>
        <v/>
      </c>
      <c r="G1980" s="3">
        <v>607.61</v>
      </c>
      <c r="H1980" t="str">
        <f t="shared" si="40"/>
        <v>MEDICARE TAXES</v>
      </c>
    </row>
    <row r="1981" spans="5:8" x14ac:dyDescent="0.25">
      <c r="E1981" t="str">
        <f>""</f>
        <v/>
      </c>
      <c r="F1981" t="str">
        <f>""</f>
        <v/>
      </c>
      <c r="G1981" s="3">
        <v>234.48</v>
      </c>
      <c r="H1981" t="str">
        <f t="shared" si="40"/>
        <v>MEDICARE TAXES</v>
      </c>
    </row>
    <row r="1982" spans="5:8" x14ac:dyDescent="0.25">
      <c r="E1982" t="str">
        <f>""</f>
        <v/>
      </c>
      <c r="F1982" t="str">
        <f>""</f>
        <v/>
      </c>
      <c r="G1982" s="3">
        <v>113.79</v>
      </c>
      <c r="H1982" t="str">
        <f t="shared" si="40"/>
        <v>MEDICARE TAXES</v>
      </c>
    </row>
    <row r="1983" spans="5:8" x14ac:dyDescent="0.25">
      <c r="E1983" t="str">
        <f>""</f>
        <v/>
      </c>
      <c r="F1983" t="str">
        <f>""</f>
        <v/>
      </c>
      <c r="G1983" s="3">
        <v>112.46</v>
      </c>
      <c r="H1983" t="str">
        <f t="shared" si="40"/>
        <v>MEDICARE TAXES</v>
      </c>
    </row>
    <row r="1984" spans="5:8" x14ac:dyDescent="0.25">
      <c r="E1984" t="str">
        <f>""</f>
        <v/>
      </c>
      <c r="F1984" t="str">
        <f>""</f>
        <v/>
      </c>
      <c r="G1984" s="3">
        <v>303.86</v>
      </c>
      <c r="H1984" t="str">
        <f t="shared" si="40"/>
        <v>MEDICARE TAXES</v>
      </c>
    </row>
    <row r="1985" spans="5:8" x14ac:dyDescent="0.25">
      <c r="E1985" t="str">
        <f>""</f>
        <v/>
      </c>
      <c r="F1985" t="str">
        <f>""</f>
        <v/>
      </c>
      <c r="G1985" s="3">
        <v>164.77</v>
      </c>
      <c r="H1985" t="str">
        <f t="shared" si="40"/>
        <v>MEDICARE TAXES</v>
      </c>
    </row>
    <row r="1986" spans="5:8" x14ac:dyDescent="0.25">
      <c r="E1986" t="str">
        <f>""</f>
        <v/>
      </c>
      <c r="F1986" t="str">
        <f>""</f>
        <v/>
      </c>
      <c r="G1986" s="3">
        <v>404.68</v>
      </c>
      <c r="H1986" t="str">
        <f t="shared" si="40"/>
        <v>MEDICARE TAXES</v>
      </c>
    </row>
    <row r="1987" spans="5:8" x14ac:dyDescent="0.25">
      <c r="E1987" t="str">
        <f>""</f>
        <v/>
      </c>
      <c r="F1987" t="str">
        <f>""</f>
        <v/>
      </c>
      <c r="G1987" s="3">
        <v>277.68</v>
      </c>
      <c r="H1987" t="str">
        <f t="shared" si="40"/>
        <v>MEDICARE TAXES</v>
      </c>
    </row>
    <row r="1988" spans="5:8" x14ac:dyDescent="0.25">
      <c r="E1988" t="str">
        <f>""</f>
        <v/>
      </c>
      <c r="F1988" t="str">
        <f>""</f>
        <v/>
      </c>
      <c r="G1988" s="3">
        <v>603.70000000000005</v>
      </c>
      <c r="H1988" t="str">
        <f t="shared" si="40"/>
        <v>MEDICARE TAXES</v>
      </c>
    </row>
    <row r="1989" spans="5:8" x14ac:dyDescent="0.25">
      <c r="E1989" t="str">
        <f>""</f>
        <v/>
      </c>
      <c r="F1989" t="str">
        <f>""</f>
        <v/>
      </c>
      <c r="G1989" s="3">
        <v>28.48</v>
      </c>
      <c r="H1989" t="str">
        <f t="shared" si="40"/>
        <v>MEDICARE TAXES</v>
      </c>
    </row>
    <row r="1990" spans="5:8" x14ac:dyDescent="0.25">
      <c r="E1990" t="str">
        <f>""</f>
        <v/>
      </c>
      <c r="F1990" t="str">
        <f>""</f>
        <v/>
      </c>
      <c r="G1990" s="3">
        <v>31.23</v>
      </c>
      <c r="H1990" t="str">
        <f t="shared" si="40"/>
        <v>MEDICARE TAXES</v>
      </c>
    </row>
    <row r="1991" spans="5:8" x14ac:dyDescent="0.25">
      <c r="E1991" t="str">
        <f>""</f>
        <v/>
      </c>
      <c r="F1991" t="str">
        <f>""</f>
        <v/>
      </c>
      <c r="G1991" s="3">
        <v>29.6</v>
      </c>
      <c r="H1991" t="str">
        <f t="shared" si="40"/>
        <v>MEDICARE TAXES</v>
      </c>
    </row>
    <row r="1992" spans="5:8" x14ac:dyDescent="0.25">
      <c r="E1992" t="str">
        <f>""</f>
        <v/>
      </c>
      <c r="F1992" t="str">
        <f>""</f>
        <v/>
      </c>
      <c r="G1992" s="3">
        <v>28.85</v>
      </c>
      <c r="H1992" t="str">
        <f t="shared" si="40"/>
        <v>MEDICARE TAXES</v>
      </c>
    </row>
    <row r="1993" spans="5:8" x14ac:dyDescent="0.25">
      <c r="E1993" t="str">
        <f>""</f>
        <v/>
      </c>
      <c r="F1993" t="str">
        <f>""</f>
        <v/>
      </c>
      <c r="G1993" s="3">
        <v>3200.58</v>
      </c>
      <c r="H1993" t="str">
        <f t="shared" si="40"/>
        <v>MEDICARE TAXES</v>
      </c>
    </row>
    <row r="1994" spans="5:8" x14ac:dyDescent="0.25">
      <c r="E1994" t="str">
        <f>""</f>
        <v/>
      </c>
      <c r="F1994" t="str">
        <f>""</f>
        <v/>
      </c>
      <c r="G1994" s="3">
        <v>139.28</v>
      </c>
      <c r="H1994" t="str">
        <f t="shared" si="40"/>
        <v>MEDICARE TAXES</v>
      </c>
    </row>
    <row r="1995" spans="5:8" x14ac:dyDescent="0.25">
      <c r="E1995" t="str">
        <f>""</f>
        <v/>
      </c>
      <c r="F1995" t="str">
        <f>""</f>
        <v/>
      </c>
      <c r="G1995" s="3">
        <v>2464.63</v>
      </c>
      <c r="H1995" t="str">
        <f t="shared" si="40"/>
        <v>MEDICARE TAXES</v>
      </c>
    </row>
    <row r="1996" spans="5:8" x14ac:dyDescent="0.25">
      <c r="E1996" t="str">
        <f>""</f>
        <v/>
      </c>
      <c r="F1996" t="str">
        <f>""</f>
        <v/>
      </c>
      <c r="G1996" s="3">
        <v>400.37</v>
      </c>
      <c r="H1996" t="str">
        <f t="shared" ref="H1996:H2020" si="41">"MEDICARE TAXES"</f>
        <v>MEDICARE TAXES</v>
      </c>
    </row>
    <row r="1997" spans="5:8" x14ac:dyDescent="0.25">
      <c r="E1997" t="str">
        <f>""</f>
        <v/>
      </c>
      <c r="F1997" t="str">
        <f>""</f>
        <v/>
      </c>
      <c r="G1997" s="3">
        <v>27.83</v>
      </c>
      <c r="H1997" t="str">
        <f t="shared" si="41"/>
        <v>MEDICARE TAXES</v>
      </c>
    </row>
    <row r="1998" spans="5:8" x14ac:dyDescent="0.25">
      <c r="E1998" t="str">
        <f>""</f>
        <v/>
      </c>
      <c r="F1998" t="str">
        <f>""</f>
        <v/>
      </c>
      <c r="G1998" s="3">
        <v>78.489999999999995</v>
      </c>
      <c r="H1998" t="str">
        <f t="shared" si="41"/>
        <v>MEDICARE TAXES</v>
      </c>
    </row>
    <row r="1999" spans="5:8" x14ac:dyDescent="0.25">
      <c r="E1999" t="str">
        <f>""</f>
        <v/>
      </c>
      <c r="F1999" t="str">
        <f>""</f>
        <v/>
      </c>
      <c r="G1999" s="3">
        <v>7.81</v>
      </c>
      <c r="H1999" t="str">
        <f t="shared" si="41"/>
        <v>MEDICARE TAXES</v>
      </c>
    </row>
    <row r="2000" spans="5:8" x14ac:dyDescent="0.25">
      <c r="E2000" t="str">
        <f>""</f>
        <v/>
      </c>
      <c r="F2000" t="str">
        <f>""</f>
        <v/>
      </c>
      <c r="G2000" s="3">
        <v>71.42</v>
      </c>
      <c r="H2000" t="str">
        <f t="shared" si="41"/>
        <v>MEDICARE TAXES</v>
      </c>
    </row>
    <row r="2001" spans="5:8" x14ac:dyDescent="0.25">
      <c r="E2001" t="str">
        <f>""</f>
        <v/>
      </c>
      <c r="F2001" t="str">
        <f>""</f>
        <v/>
      </c>
      <c r="G2001" s="3">
        <v>26.98</v>
      </c>
      <c r="H2001" t="str">
        <f t="shared" si="41"/>
        <v>MEDICARE TAXES</v>
      </c>
    </row>
    <row r="2002" spans="5:8" x14ac:dyDescent="0.25">
      <c r="E2002" t="str">
        <f>""</f>
        <v/>
      </c>
      <c r="F2002" t="str">
        <f>""</f>
        <v/>
      </c>
      <c r="G2002" s="3">
        <v>81.55</v>
      </c>
      <c r="H2002" t="str">
        <f t="shared" si="41"/>
        <v>MEDICARE TAXES</v>
      </c>
    </row>
    <row r="2003" spans="5:8" x14ac:dyDescent="0.25">
      <c r="E2003" t="str">
        <f>""</f>
        <v/>
      </c>
      <c r="F2003" t="str">
        <f>""</f>
        <v/>
      </c>
      <c r="G2003" s="3">
        <v>78.72</v>
      </c>
      <c r="H2003" t="str">
        <f t="shared" si="41"/>
        <v>MEDICARE TAXES</v>
      </c>
    </row>
    <row r="2004" spans="5:8" x14ac:dyDescent="0.25">
      <c r="E2004" t="str">
        <f>""</f>
        <v/>
      </c>
      <c r="F2004" t="str">
        <f>""</f>
        <v/>
      </c>
      <c r="G2004" s="3">
        <v>25.51</v>
      </c>
      <c r="H2004" t="str">
        <f t="shared" si="41"/>
        <v>MEDICARE TAXES</v>
      </c>
    </row>
    <row r="2005" spans="5:8" x14ac:dyDescent="0.25">
      <c r="E2005" t="str">
        <f>""</f>
        <v/>
      </c>
      <c r="F2005" t="str">
        <f>""</f>
        <v/>
      </c>
      <c r="G2005" s="3">
        <v>310.79000000000002</v>
      </c>
      <c r="H2005" t="str">
        <f t="shared" si="41"/>
        <v>MEDICARE TAXES</v>
      </c>
    </row>
    <row r="2006" spans="5:8" x14ac:dyDescent="0.25">
      <c r="E2006" t="str">
        <f>""</f>
        <v/>
      </c>
      <c r="F2006" t="str">
        <f>""</f>
        <v/>
      </c>
      <c r="G2006" s="3">
        <v>408.42</v>
      </c>
      <c r="H2006" t="str">
        <f t="shared" si="41"/>
        <v>MEDICARE TAXES</v>
      </c>
    </row>
    <row r="2007" spans="5:8" x14ac:dyDescent="0.25">
      <c r="E2007" t="str">
        <f>""</f>
        <v/>
      </c>
      <c r="F2007" t="str">
        <f>""</f>
        <v/>
      </c>
      <c r="G2007" s="3">
        <v>400.47</v>
      </c>
      <c r="H2007" t="str">
        <f t="shared" si="41"/>
        <v>MEDICARE TAXES</v>
      </c>
    </row>
    <row r="2008" spans="5:8" x14ac:dyDescent="0.25">
      <c r="E2008" t="str">
        <f>""</f>
        <v/>
      </c>
      <c r="F2008" t="str">
        <f>""</f>
        <v/>
      </c>
      <c r="G2008" s="3">
        <v>438.22</v>
      </c>
      <c r="H2008" t="str">
        <f t="shared" si="41"/>
        <v>MEDICARE TAXES</v>
      </c>
    </row>
    <row r="2009" spans="5:8" x14ac:dyDescent="0.25">
      <c r="E2009" t="str">
        <f>""</f>
        <v/>
      </c>
      <c r="F2009" t="str">
        <f>""</f>
        <v/>
      </c>
      <c r="G2009" s="3">
        <v>69.540000000000006</v>
      </c>
      <c r="H2009" t="str">
        <f t="shared" si="41"/>
        <v>MEDICARE TAXES</v>
      </c>
    </row>
    <row r="2010" spans="5:8" x14ac:dyDescent="0.25">
      <c r="E2010" t="str">
        <f>""</f>
        <v/>
      </c>
      <c r="F2010" t="str">
        <f>""</f>
        <v/>
      </c>
      <c r="G2010" s="3">
        <v>52.52</v>
      </c>
      <c r="H2010" t="str">
        <f t="shared" si="41"/>
        <v>MEDICARE TAXES</v>
      </c>
    </row>
    <row r="2011" spans="5:8" x14ac:dyDescent="0.25">
      <c r="E2011" t="str">
        <f>""</f>
        <v/>
      </c>
      <c r="F2011" t="str">
        <f>""</f>
        <v/>
      </c>
      <c r="G2011" s="3">
        <v>3.38</v>
      </c>
      <c r="H2011" t="str">
        <f t="shared" si="41"/>
        <v>MEDICARE TAXES</v>
      </c>
    </row>
    <row r="2012" spans="5:8" x14ac:dyDescent="0.25">
      <c r="E2012" t="str">
        <f>""</f>
        <v/>
      </c>
      <c r="F2012" t="str">
        <f>""</f>
        <v/>
      </c>
      <c r="G2012" s="3">
        <v>6.48</v>
      </c>
      <c r="H2012" t="str">
        <f t="shared" si="41"/>
        <v>MEDICARE TAXES</v>
      </c>
    </row>
    <row r="2013" spans="5:8" x14ac:dyDescent="0.25">
      <c r="E2013" t="str">
        <f>""</f>
        <v/>
      </c>
      <c r="F2013" t="str">
        <f>""</f>
        <v/>
      </c>
      <c r="G2013" s="3">
        <v>3.53</v>
      </c>
      <c r="H2013" t="str">
        <f t="shared" si="41"/>
        <v>MEDICARE TAXES</v>
      </c>
    </row>
    <row r="2014" spans="5:8" x14ac:dyDescent="0.25">
      <c r="E2014" t="str">
        <f>""</f>
        <v/>
      </c>
      <c r="F2014" t="str">
        <f>""</f>
        <v/>
      </c>
      <c r="G2014" s="3">
        <v>4.74</v>
      </c>
      <c r="H2014" t="str">
        <f t="shared" si="41"/>
        <v>MEDICARE TAXES</v>
      </c>
    </row>
    <row r="2015" spans="5:8" x14ac:dyDescent="0.25">
      <c r="E2015" t="str">
        <f>""</f>
        <v/>
      </c>
      <c r="F2015" t="str">
        <f>""</f>
        <v/>
      </c>
      <c r="G2015" s="3">
        <v>86.57</v>
      </c>
      <c r="H2015" t="str">
        <f t="shared" si="41"/>
        <v>MEDICARE TAXES</v>
      </c>
    </row>
    <row r="2016" spans="5:8" x14ac:dyDescent="0.25">
      <c r="E2016" t="str">
        <f>""</f>
        <v/>
      </c>
      <c r="F2016" t="str">
        <f>""</f>
        <v/>
      </c>
      <c r="G2016" s="3">
        <v>13902.75</v>
      </c>
      <c r="H2016" t="str">
        <f t="shared" si="41"/>
        <v>MEDICARE TAXES</v>
      </c>
    </row>
    <row r="2017" spans="1:8" x14ac:dyDescent="0.25">
      <c r="E2017" t="str">
        <f>"T4 202108175281"</f>
        <v>T4 202108175281</v>
      </c>
      <c r="F2017" t="str">
        <f>"MEDICARE TAXES"</f>
        <v>MEDICARE TAXES</v>
      </c>
      <c r="G2017" s="3">
        <v>441.57</v>
      </c>
      <c r="H2017" t="str">
        <f t="shared" si="41"/>
        <v>MEDICARE TAXES</v>
      </c>
    </row>
    <row r="2018" spans="1:8" x14ac:dyDescent="0.25">
      <c r="E2018" t="str">
        <f>""</f>
        <v/>
      </c>
      <c r="F2018" t="str">
        <f>""</f>
        <v/>
      </c>
      <c r="G2018" s="3">
        <v>441.57</v>
      </c>
      <c r="H2018" t="str">
        <f t="shared" si="41"/>
        <v>MEDICARE TAXES</v>
      </c>
    </row>
    <row r="2019" spans="1:8" x14ac:dyDescent="0.25">
      <c r="E2019" t="str">
        <f>"T4 202108175282"</f>
        <v>T4 202108175282</v>
      </c>
      <c r="F2019" t="str">
        <f>"MEDICARE TAXES"</f>
        <v>MEDICARE TAXES</v>
      </c>
      <c r="G2019" s="3">
        <v>517.70000000000005</v>
      </c>
      <c r="H2019" t="str">
        <f t="shared" si="41"/>
        <v>MEDICARE TAXES</v>
      </c>
    </row>
    <row r="2020" spans="1:8" x14ac:dyDescent="0.25">
      <c r="E2020" t="str">
        <f>""</f>
        <v/>
      </c>
      <c r="F2020" t="str">
        <f>""</f>
        <v/>
      </c>
      <c r="G2020" s="3">
        <v>517.70000000000005</v>
      </c>
      <c r="H2020" t="str">
        <f t="shared" si="41"/>
        <v>MEDICARE TAXES</v>
      </c>
    </row>
    <row r="2021" spans="1:8" x14ac:dyDescent="0.25">
      <c r="A2021" t="s">
        <v>403</v>
      </c>
      <c r="B2021">
        <v>1277</v>
      </c>
      <c r="C2021" s="3">
        <v>425.32</v>
      </c>
      <c r="D2021" s="6">
        <v>44435</v>
      </c>
      <c r="E2021" t="str">
        <f>"LIX202108045059"</f>
        <v>LIX202108045059</v>
      </c>
      <c r="F2021" t="str">
        <f>"TEXAS LIFE/OLIVO GROUP"</f>
        <v>TEXAS LIFE/OLIVO GROUP</v>
      </c>
      <c r="G2021" s="3">
        <v>212.66</v>
      </c>
      <c r="H2021" t="str">
        <f>"TEXAS LIFE/OLIVO GROUP"</f>
        <v>TEXAS LIFE/OLIVO GROUP</v>
      </c>
    </row>
    <row r="2022" spans="1:8" x14ac:dyDescent="0.25">
      <c r="E2022" t="str">
        <f>"LIX202108175280"</f>
        <v>LIX202108175280</v>
      </c>
      <c r="F2022" t="str">
        <f>"TEXAS LIFE/OLIVO GROUP"</f>
        <v>TEXAS LIFE/OLIVO GROUP</v>
      </c>
      <c r="G2022" s="3">
        <v>212.66</v>
      </c>
      <c r="H2022" t="str">
        <f>"TEXAS LIFE/OLIVO GROUP"</f>
        <v>TEXAS LIFE/OLIVO GROUP</v>
      </c>
    </row>
    <row r="2023" spans="1:8" x14ac:dyDescent="0.25">
      <c r="A2023" t="s">
        <v>404</v>
      </c>
      <c r="B2023">
        <v>48447</v>
      </c>
      <c r="C2023" s="3">
        <v>386314.52</v>
      </c>
      <c r="D2023" s="6">
        <v>44435</v>
      </c>
      <c r="E2023" t="str">
        <f>"202108265381"</f>
        <v>202108265381</v>
      </c>
      <c r="F2023" t="str">
        <f>"ADJ - AUGUST 2021 - K STABENO"</f>
        <v>ADJ - AUGUST 2021 - K STABENO</v>
      </c>
      <c r="G2023" s="3">
        <v>469.76</v>
      </c>
      <c r="H2023" t="str">
        <f>"ADJ - AUGUST 2021 - K STABENO"</f>
        <v>ADJ - AUGUST 2021 - K STABENO</v>
      </c>
    </row>
    <row r="2024" spans="1:8" x14ac:dyDescent="0.25">
      <c r="E2024" t="str">
        <f>"202108265382"</f>
        <v>202108265382</v>
      </c>
      <c r="F2024" t="str">
        <f>"RETIREE INS - AUGUST 2021"</f>
        <v>RETIREE INS - AUGUST 2021</v>
      </c>
      <c r="G2024" s="3">
        <v>16919.560000000001</v>
      </c>
      <c r="H2024" t="str">
        <f>"RETIREE INS - AUGUST 2021"</f>
        <v>RETIREE INS - AUGUST 2021</v>
      </c>
    </row>
    <row r="2025" spans="1:8" x14ac:dyDescent="0.25">
      <c r="E2025" t="str">
        <f>"2EC202108045059"</f>
        <v>2EC202108045059</v>
      </c>
      <c r="F2025" t="str">
        <f>"BCBS PAYABLE"</f>
        <v>BCBS PAYABLE</v>
      </c>
      <c r="G2025" s="3">
        <v>341.83</v>
      </c>
      <c r="H2025" t="str">
        <f t="shared" ref="H2025:H2088" si="42">"BCBS PAYABLE"</f>
        <v>BCBS PAYABLE</v>
      </c>
    </row>
    <row r="2026" spans="1:8" x14ac:dyDescent="0.25">
      <c r="E2026" t="str">
        <f>""</f>
        <v/>
      </c>
      <c r="F2026" t="str">
        <f>""</f>
        <v/>
      </c>
      <c r="G2026" s="3">
        <v>683.66</v>
      </c>
      <c r="H2026" t="str">
        <f t="shared" si="42"/>
        <v>BCBS PAYABLE</v>
      </c>
    </row>
    <row r="2027" spans="1:8" x14ac:dyDescent="0.25">
      <c r="E2027" t="str">
        <f>""</f>
        <v/>
      </c>
      <c r="F2027" t="str">
        <f>""</f>
        <v/>
      </c>
      <c r="G2027" s="3">
        <v>1709.15</v>
      </c>
      <c r="H2027" t="str">
        <f t="shared" si="42"/>
        <v>BCBS PAYABLE</v>
      </c>
    </row>
    <row r="2028" spans="1:8" x14ac:dyDescent="0.25">
      <c r="E2028" t="str">
        <f>""</f>
        <v/>
      </c>
      <c r="F2028" t="str">
        <f>""</f>
        <v/>
      </c>
      <c r="G2028" s="3">
        <v>1709.15</v>
      </c>
      <c r="H2028" t="str">
        <f t="shared" si="42"/>
        <v>BCBS PAYABLE</v>
      </c>
    </row>
    <row r="2029" spans="1:8" x14ac:dyDescent="0.25">
      <c r="E2029" t="str">
        <f>""</f>
        <v/>
      </c>
      <c r="F2029" t="str">
        <f>""</f>
        <v/>
      </c>
      <c r="G2029" s="3">
        <v>341.83</v>
      </c>
      <c r="H2029" t="str">
        <f t="shared" si="42"/>
        <v>BCBS PAYABLE</v>
      </c>
    </row>
    <row r="2030" spans="1:8" x14ac:dyDescent="0.25">
      <c r="E2030" t="str">
        <f>""</f>
        <v/>
      </c>
      <c r="F2030" t="str">
        <f>""</f>
        <v/>
      </c>
      <c r="G2030" s="3">
        <v>293.43</v>
      </c>
      <c r="H2030" t="str">
        <f t="shared" si="42"/>
        <v>BCBS PAYABLE</v>
      </c>
    </row>
    <row r="2031" spans="1:8" x14ac:dyDescent="0.25">
      <c r="E2031" t="str">
        <f>""</f>
        <v/>
      </c>
      <c r="F2031" t="str">
        <f>""</f>
        <v/>
      </c>
      <c r="G2031" s="3">
        <v>341.83</v>
      </c>
      <c r="H2031" t="str">
        <f t="shared" si="42"/>
        <v>BCBS PAYABLE</v>
      </c>
    </row>
    <row r="2032" spans="1:8" x14ac:dyDescent="0.25">
      <c r="E2032" t="str">
        <f>""</f>
        <v/>
      </c>
      <c r="F2032" t="str">
        <f>""</f>
        <v/>
      </c>
      <c r="G2032" s="3">
        <v>1367.32</v>
      </c>
      <c r="H2032" t="str">
        <f t="shared" si="42"/>
        <v>BCBS PAYABLE</v>
      </c>
    </row>
    <row r="2033" spans="5:8" x14ac:dyDescent="0.25">
      <c r="E2033" t="str">
        <f>""</f>
        <v/>
      </c>
      <c r="F2033" t="str">
        <f>""</f>
        <v/>
      </c>
      <c r="G2033" s="3">
        <v>683.66</v>
      </c>
      <c r="H2033" t="str">
        <f t="shared" si="42"/>
        <v>BCBS PAYABLE</v>
      </c>
    </row>
    <row r="2034" spans="5:8" x14ac:dyDescent="0.25">
      <c r="E2034" t="str">
        <f>""</f>
        <v/>
      </c>
      <c r="F2034" t="str">
        <f>""</f>
        <v/>
      </c>
      <c r="G2034" s="3">
        <v>683.66</v>
      </c>
      <c r="H2034" t="str">
        <f t="shared" si="42"/>
        <v>BCBS PAYABLE</v>
      </c>
    </row>
    <row r="2035" spans="5:8" x14ac:dyDescent="0.25">
      <c r="E2035" t="str">
        <f>""</f>
        <v/>
      </c>
      <c r="F2035" t="str">
        <f>""</f>
        <v/>
      </c>
      <c r="G2035" s="3">
        <v>1350.34</v>
      </c>
      <c r="H2035" t="str">
        <f t="shared" si="42"/>
        <v>BCBS PAYABLE</v>
      </c>
    </row>
    <row r="2036" spans="5:8" x14ac:dyDescent="0.25">
      <c r="E2036" t="str">
        <f>""</f>
        <v/>
      </c>
      <c r="F2036" t="str">
        <f>""</f>
        <v/>
      </c>
      <c r="G2036" s="3">
        <v>1025.49</v>
      </c>
      <c r="H2036" t="str">
        <f t="shared" si="42"/>
        <v>BCBS PAYABLE</v>
      </c>
    </row>
    <row r="2037" spans="5:8" x14ac:dyDescent="0.25">
      <c r="E2037" t="str">
        <f>""</f>
        <v/>
      </c>
      <c r="F2037" t="str">
        <f>""</f>
        <v/>
      </c>
      <c r="G2037" s="3">
        <v>341.83</v>
      </c>
      <c r="H2037" t="str">
        <f t="shared" si="42"/>
        <v>BCBS PAYABLE</v>
      </c>
    </row>
    <row r="2038" spans="5:8" x14ac:dyDescent="0.25">
      <c r="E2038" t="str">
        <f>""</f>
        <v/>
      </c>
      <c r="F2038" t="str">
        <f>""</f>
        <v/>
      </c>
      <c r="G2038" s="3">
        <v>341.83</v>
      </c>
      <c r="H2038" t="str">
        <f t="shared" si="42"/>
        <v>BCBS PAYABLE</v>
      </c>
    </row>
    <row r="2039" spans="5:8" x14ac:dyDescent="0.25">
      <c r="E2039" t="str">
        <f>""</f>
        <v/>
      </c>
      <c r="F2039" t="str">
        <f>""</f>
        <v/>
      </c>
      <c r="G2039" s="3">
        <v>683.66</v>
      </c>
      <c r="H2039" t="str">
        <f t="shared" si="42"/>
        <v>BCBS PAYABLE</v>
      </c>
    </row>
    <row r="2040" spans="5:8" x14ac:dyDescent="0.25">
      <c r="E2040" t="str">
        <f>""</f>
        <v/>
      </c>
      <c r="F2040" t="str">
        <f>""</f>
        <v/>
      </c>
      <c r="G2040" s="3">
        <v>1025.49</v>
      </c>
      <c r="H2040" t="str">
        <f t="shared" si="42"/>
        <v>BCBS PAYABLE</v>
      </c>
    </row>
    <row r="2041" spans="5:8" x14ac:dyDescent="0.25">
      <c r="E2041" t="str">
        <f>""</f>
        <v/>
      </c>
      <c r="F2041" t="str">
        <f>""</f>
        <v/>
      </c>
      <c r="G2041" s="3">
        <v>1025.49</v>
      </c>
      <c r="H2041" t="str">
        <f t="shared" si="42"/>
        <v>BCBS PAYABLE</v>
      </c>
    </row>
    <row r="2042" spans="5:8" x14ac:dyDescent="0.25">
      <c r="E2042" t="str">
        <f>""</f>
        <v/>
      </c>
      <c r="F2042" t="str">
        <f>""</f>
        <v/>
      </c>
      <c r="G2042" s="3">
        <v>1025.49</v>
      </c>
      <c r="H2042" t="str">
        <f t="shared" si="42"/>
        <v>BCBS PAYABLE</v>
      </c>
    </row>
    <row r="2043" spans="5:8" x14ac:dyDescent="0.25">
      <c r="E2043" t="str">
        <f>""</f>
        <v/>
      </c>
      <c r="F2043" t="str">
        <f>""</f>
        <v/>
      </c>
      <c r="G2043" s="3">
        <v>2050.98</v>
      </c>
      <c r="H2043" t="str">
        <f t="shared" si="42"/>
        <v>BCBS PAYABLE</v>
      </c>
    </row>
    <row r="2044" spans="5:8" x14ac:dyDescent="0.25">
      <c r="E2044" t="str">
        <f>""</f>
        <v/>
      </c>
      <c r="F2044" t="str">
        <f>""</f>
        <v/>
      </c>
      <c r="G2044" s="3">
        <v>341.83</v>
      </c>
      <c r="H2044" t="str">
        <f t="shared" si="42"/>
        <v>BCBS PAYABLE</v>
      </c>
    </row>
    <row r="2045" spans="5:8" x14ac:dyDescent="0.25">
      <c r="E2045" t="str">
        <f>""</f>
        <v/>
      </c>
      <c r="F2045" t="str">
        <f>""</f>
        <v/>
      </c>
      <c r="G2045" s="3">
        <v>341.83</v>
      </c>
      <c r="H2045" t="str">
        <f t="shared" si="42"/>
        <v>BCBS PAYABLE</v>
      </c>
    </row>
    <row r="2046" spans="5:8" x14ac:dyDescent="0.25">
      <c r="E2046" t="str">
        <f>""</f>
        <v/>
      </c>
      <c r="F2046" t="str">
        <f>""</f>
        <v/>
      </c>
      <c r="G2046" s="3">
        <v>8676.2199999999993</v>
      </c>
      <c r="H2046" t="str">
        <f t="shared" si="42"/>
        <v>BCBS PAYABLE</v>
      </c>
    </row>
    <row r="2047" spans="5:8" x14ac:dyDescent="0.25">
      <c r="E2047" t="str">
        <f>""</f>
        <v/>
      </c>
      <c r="F2047" t="str">
        <f>""</f>
        <v/>
      </c>
      <c r="G2047" s="3">
        <v>331.42</v>
      </c>
      <c r="H2047" t="str">
        <f t="shared" si="42"/>
        <v>BCBS PAYABLE</v>
      </c>
    </row>
    <row r="2048" spans="5:8" x14ac:dyDescent="0.25">
      <c r="E2048" t="str">
        <f>""</f>
        <v/>
      </c>
      <c r="F2048" t="str">
        <f>""</f>
        <v/>
      </c>
      <c r="G2048" s="3">
        <v>7058.37</v>
      </c>
      <c r="H2048" t="str">
        <f t="shared" si="42"/>
        <v>BCBS PAYABLE</v>
      </c>
    </row>
    <row r="2049" spans="5:8" x14ac:dyDescent="0.25">
      <c r="E2049" t="str">
        <f>""</f>
        <v/>
      </c>
      <c r="F2049" t="str">
        <f>""</f>
        <v/>
      </c>
      <c r="G2049" s="3">
        <v>1025.49</v>
      </c>
      <c r="H2049" t="str">
        <f t="shared" si="42"/>
        <v>BCBS PAYABLE</v>
      </c>
    </row>
    <row r="2050" spans="5:8" x14ac:dyDescent="0.25">
      <c r="E2050" t="str">
        <f>""</f>
        <v/>
      </c>
      <c r="F2050" t="str">
        <f>""</f>
        <v/>
      </c>
      <c r="G2050" s="3">
        <v>341.83</v>
      </c>
      <c r="H2050" t="str">
        <f t="shared" si="42"/>
        <v>BCBS PAYABLE</v>
      </c>
    </row>
    <row r="2051" spans="5:8" x14ac:dyDescent="0.25">
      <c r="E2051" t="str">
        <f>""</f>
        <v/>
      </c>
      <c r="F2051" t="str">
        <f>""</f>
        <v/>
      </c>
      <c r="G2051" s="3">
        <v>341.83</v>
      </c>
      <c r="H2051" t="str">
        <f t="shared" si="42"/>
        <v>BCBS PAYABLE</v>
      </c>
    </row>
    <row r="2052" spans="5:8" x14ac:dyDescent="0.25">
      <c r="E2052" t="str">
        <f>""</f>
        <v/>
      </c>
      <c r="F2052" t="str">
        <f>""</f>
        <v/>
      </c>
      <c r="G2052" s="3">
        <v>341.83</v>
      </c>
      <c r="H2052" t="str">
        <f t="shared" si="42"/>
        <v>BCBS PAYABLE</v>
      </c>
    </row>
    <row r="2053" spans="5:8" x14ac:dyDescent="0.25">
      <c r="E2053" t="str">
        <f>""</f>
        <v/>
      </c>
      <c r="F2053" t="str">
        <f>""</f>
        <v/>
      </c>
      <c r="G2053" s="3">
        <v>1367.32</v>
      </c>
      <c r="H2053" t="str">
        <f t="shared" si="42"/>
        <v>BCBS PAYABLE</v>
      </c>
    </row>
    <row r="2054" spans="5:8" x14ac:dyDescent="0.25">
      <c r="E2054" t="str">
        <f>""</f>
        <v/>
      </c>
      <c r="F2054" t="str">
        <f>""</f>
        <v/>
      </c>
      <c r="G2054" s="3">
        <v>683.66</v>
      </c>
      <c r="H2054" t="str">
        <f t="shared" si="42"/>
        <v>BCBS PAYABLE</v>
      </c>
    </row>
    <row r="2055" spans="5:8" x14ac:dyDescent="0.25">
      <c r="E2055" t="str">
        <f>""</f>
        <v/>
      </c>
      <c r="F2055" t="str">
        <f>""</f>
        <v/>
      </c>
      <c r="G2055" s="3">
        <v>4.57</v>
      </c>
      <c r="H2055" t="str">
        <f t="shared" si="42"/>
        <v>BCBS PAYABLE</v>
      </c>
    </row>
    <row r="2056" spans="5:8" x14ac:dyDescent="0.25">
      <c r="E2056" t="str">
        <f>""</f>
        <v/>
      </c>
      <c r="F2056" t="str">
        <f>""</f>
        <v/>
      </c>
      <c r="G2056" s="3">
        <v>12.41</v>
      </c>
      <c r="H2056" t="str">
        <f t="shared" si="42"/>
        <v>BCBS PAYABLE</v>
      </c>
    </row>
    <row r="2057" spans="5:8" x14ac:dyDescent="0.25">
      <c r="E2057" t="str">
        <f>""</f>
        <v/>
      </c>
      <c r="F2057" t="str">
        <f>""</f>
        <v/>
      </c>
      <c r="G2057" s="3">
        <v>48.4</v>
      </c>
      <c r="H2057" t="str">
        <f t="shared" si="42"/>
        <v>BCBS PAYABLE</v>
      </c>
    </row>
    <row r="2058" spans="5:8" x14ac:dyDescent="0.25">
      <c r="E2058" t="str">
        <f>""</f>
        <v/>
      </c>
      <c r="F2058" t="str">
        <f>""</f>
        <v/>
      </c>
      <c r="G2058" s="3">
        <v>14200.23</v>
      </c>
      <c r="H2058" t="str">
        <f t="shared" si="42"/>
        <v>BCBS PAYABLE</v>
      </c>
    </row>
    <row r="2059" spans="5:8" x14ac:dyDescent="0.25">
      <c r="E2059" t="str">
        <f>"2EC202108045060"</f>
        <v>2EC202108045060</v>
      </c>
      <c r="F2059" t="str">
        <f>"BCBS PAYABLE"</f>
        <v>BCBS PAYABLE</v>
      </c>
      <c r="G2059" s="3">
        <v>1709.15</v>
      </c>
      <c r="H2059" t="str">
        <f t="shared" si="42"/>
        <v>BCBS PAYABLE</v>
      </c>
    </row>
    <row r="2060" spans="5:8" x14ac:dyDescent="0.25">
      <c r="E2060" t="str">
        <f>""</f>
        <v/>
      </c>
      <c r="F2060" t="str">
        <f>""</f>
        <v/>
      </c>
      <c r="G2060" s="3">
        <v>639.65</v>
      </c>
      <c r="H2060" t="str">
        <f t="shared" si="42"/>
        <v>BCBS PAYABLE</v>
      </c>
    </row>
    <row r="2061" spans="5:8" x14ac:dyDescent="0.25">
      <c r="E2061" t="str">
        <f>"2EC202108175280"</f>
        <v>2EC202108175280</v>
      </c>
      <c r="F2061" t="str">
        <f>"BCBS PAYABLE"</f>
        <v>BCBS PAYABLE</v>
      </c>
      <c r="G2061" s="3">
        <v>341.83</v>
      </c>
      <c r="H2061" t="str">
        <f t="shared" si="42"/>
        <v>BCBS PAYABLE</v>
      </c>
    </row>
    <row r="2062" spans="5:8" x14ac:dyDescent="0.25">
      <c r="E2062" t="str">
        <f>""</f>
        <v/>
      </c>
      <c r="F2062" t="str">
        <f>""</f>
        <v/>
      </c>
      <c r="G2062" s="3">
        <v>683.66</v>
      </c>
      <c r="H2062" t="str">
        <f t="shared" si="42"/>
        <v>BCBS PAYABLE</v>
      </c>
    </row>
    <row r="2063" spans="5:8" x14ac:dyDescent="0.25">
      <c r="E2063" t="str">
        <f>""</f>
        <v/>
      </c>
      <c r="F2063" t="str">
        <f>""</f>
        <v/>
      </c>
      <c r="G2063" s="3">
        <v>1709.15</v>
      </c>
      <c r="H2063" t="str">
        <f t="shared" si="42"/>
        <v>BCBS PAYABLE</v>
      </c>
    </row>
    <row r="2064" spans="5:8" x14ac:dyDescent="0.25">
      <c r="E2064" t="str">
        <f>""</f>
        <v/>
      </c>
      <c r="F2064" t="str">
        <f>""</f>
        <v/>
      </c>
      <c r="G2064" s="3">
        <v>1709.15</v>
      </c>
      <c r="H2064" t="str">
        <f t="shared" si="42"/>
        <v>BCBS PAYABLE</v>
      </c>
    </row>
    <row r="2065" spans="5:8" x14ac:dyDescent="0.25">
      <c r="E2065" t="str">
        <f>""</f>
        <v/>
      </c>
      <c r="F2065" t="str">
        <f>""</f>
        <v/>
      </c>
      <c r="G2065" s="3">
        <v>341.83</v>
      </c>
      <c r="H2065" t="str">
        <f t="shared" si="42"/>
        <v>BCBS PAYABLE</v>
      </c>
    </row>
    <row r="2066" spans="5:8" x14ac:dyDescent="0.25">
      <c r="E2066" t="str">
        <f>""</f>
        <v/>
      </c>
      <c r="F2066" t="str">
        <f>""</f>
        <v/>
      </c>
      <c r="G2066" s="3">
        <v>293.43</v>
      </c>
      <c r="H2066" t="str">
        <f t="shared" si="42"/>
        <v>BCBS PAYABLE</v>
      </c>
    </row>
    <row r="2067" spans="5:8" x14ac:dyDescent="0.25">
      <c r="E2067" t="str">
        <f>""</f>
        <v/>
      </c>
      <c r="F2067" t="str">
        <f>""</f>
        <v/>
      </c>
      <c r="G2067" s="3">
        <v>341.83</v>
      </c>
      <c r="H2067" t="str">
        <f t="shared" si="42"/>
        <v>BCBS PAYABLE</v>
      </c>
    </row>
    <row r="2068" spans="5:8" x14ac:dyDescent="0.25">
      <c r="E2068" t="str">
        <f>""</f>
        <v/>
      </c>
      <c r="F2068" t="str">
        <f>""</f>
        <v/>
      </c>
      <c r="G2068" s="3">
        <v>1367.32</v>
      </c>
      <c r="H2068" t="str">
        <f t="shared" si="42"/>
        <v>BCBS PAYABLE</v>
      </c>
    </row>
    <row r="2069" spans="5:8" x14ac:dyDescent="0.25">
      <c r="E2069" t="str">
        <f>""</f>
        <v/>
      </c>
      <c r="F2069" t="str">
        <f>""</f>
        <v/>
      </c>
      <c r="G2069" s="3">
        <v>683.66</v>
      </c>
      <c r="H2069" t="str">
        <f t="shared" si="42"/>
        <v>BCBS PAYABLE</v>
      </c>
    </row>
    <row r="2070" spans="5:8" x14ac:dyDescent="0.25">
      <c r="E2070" t="str">
        <f>""</f>
        <v/>
      </c>
      <c r="F2070" t="str">
        <f>""</f>
        <v/>
      </c>
      <c r="G2070" s="3">
        <v>683.66</v>
      </c>
      <c r="H2070" t="str">
        <f t="shared" si="42"/>
        <v>BCBS PAYABLE</v>
      </c>
    </row>
    <row r="2071" spans="5:8" x14ac:dyDescent="0.25">
      <c r="E2071" t="str">
        <f>""</f>
        <v/>
      </c>
      <c r="F2071" t="str">
        <f>""</f>
        <v/>
      </c>
      <c r="G2071" s="3">
        <v>1350.34</v>
      </c>
      <c r="H2071" t="str">
        <f t="shared" si="42"/>
        <v>BCBS PAYABLE</v>
      </c>
    </row>
    <row r="2072" spans="5:8" x14ac:dyDescent="0.25">
      <c r="E2072" t="str">
        <f>""</f>
        <v/>
      </c>
      <c r="F2072" t="str">
        <f>""</f>
        <v/>
      </c>
      <c r="G2072" s="3">
        <v>1025.49</v>
      </c>
      <c r="H2072" t="str">
        <f t="shared" si="42"/>
        <v>BCBS PAYABLE</v>
      </c>
    </row>
    <row r="2073" spans="5:8" x14ac:dyDescent="0.25">
      <c r="E2073" t="str">
        <f>""</f>
        <v/>
      </c>
      <c r="F2073" t="str">
        <f>""</f>
        <v/>
      </c>
      <c r="G2073" s="3">
        <v>341.83</v>
      </c>
      <c r="H2073" t="str">
        <f t="shared" si="42"/>
        <v>BCBS PAYABLE</v>
      </c>
    </row>
    <row r="2074" spans="5:8" x14ac:dyDescent="0.25">
      <c r="E2074" t="str">
        <f>""</f>
        <v/>
      </c>
      <c r="F2074" t="str">
        <f>""</f>
        <v/>
      </c>
      <c r="G2074" s="3">
        <v>341.83</v>
      </c>
      <c r="H2074" t="str">
        <f t="shared" si="42"/>
        <v>BCBS PAYABLE</v>
      </c>
    </row>
    <row r="2075" spans="5:8" x14ac:dyDescent="0.25">
      <c r="E2075" t="str">
        <f>""</f>
        <v/>
      </c>
      <c r="F2075" t="str">
        <f>""</f>
        <v/>
      </c>
      <c r="G2075" s="3">
        <v>683.66</v>
      </c>
      <c r="H2075" t="str">
        <f t="shared" si="42"/>
        <v>BCBS PAYABLE</v>
      </c>
    </row>
    <row r="2076" spans="5:8" x14ac:dyDescent="0.25">
      <c r="E2076" t="str">
        <f>""</f>
        <v/>
      </c>
      <c r="F2076" t="str">
        <f>""</f>
        <v/>
      </c>
      <c r="G2076" s="3">
        <v>1025.49</v>
      </c>
      <c r="H2076" t="str">
        <f t="shared" si="42"/>
        <v>BCBS PAYABLE</v>
      </c>
    </row>
    <row r="2077" spans="5:8" x14ac:dyDescent="0.25">
      <c r="E2077" t="str">
        <f>""</f>
        <v/>
      </c>
      <c r="F2077" t="str">
        <f>""</f>
        <v/>
      </c>
      <c r="G2077" s="3">
        <v>1025.49</v>
      </c>
      <c r="H2077" t="str">
        <f t="shared" si="42"/>
        <v>BCBS PAYABLE</v>
      </c>
    </row>
    <row r="2078" spans="5:8" x14ac:dyDescent="0.25">
      <c r="E2078" t="str">
        <f>""</f>
        <v/>
      </c>
      <c r="F2078" t="str">
        <f>""</f>
        <v/>
      </c>
      <c r="G2078" s="3">
        <v>1025.49</v>
      </c>
      <c r="H2078" t="str">
        <f t="shared" si="42"/>
        <v>BCBS PAYABLE</v>
      </c>
    </row>
    <row r="2079" spans="5:8" x14ac:dyDescent="0.25">
      <c r="E2079" t="str">
        <f>""</f>
        <v/>
      </c>
      <c r="F2079" t="str">
        <f>""</f>
        <v/>
      </c>
      <c r="G2079" s="3">
        <v>2050.98</v>
      </c>
      <c r="H2079" t="str">
        <f t="shared" si="42"/>
        <v>BCBS PAYABLE</v>
      </c>
    </row>
    <row r="2080" spans="5:8" x14ac:dyDescent="0.25">
      <c r="E2080" t="str">
        <f>""</f>
        <v/>
      </c>
      <c r="F2080" t="str">
        <f>""</f>
        <v/>
      </c>
      <c r="G2080" s="3">
        <v>341.83</v>
      </c>
      <c r="H2080" t="str">
        <f t="shared" si="42"/>
        <v>BCBS PAYABLE</v>
      </c>
    </row>
    <row r="2081" spans="5:8" x14ac:dyDescent="0.25">
      <c r="E2081" t="str">
        <f>""</f>
        <v/>
      </c>
      <c r="F2081" t="str">
        <f>""</f>
        <v/>
      </c>
      <c r="G2081" s="3">
        <v>341.83</v>
      </c>
      <c r="H2081" t="str">
        <f t="shared" si="42"/>
        <v>BCBS PAYABLE</v>
      </c>
    </row>
    <row r="2082" spans="5:8" x14ac:dyDescent="0.25">
      <c r="E2082" t="str">
        <f>""</f>
        <v/>
      </c>
      <c r="F2082" t="str">
        <f>""</f>
        <v/>
      </c>
      <c r="G2082" s="3">
        <v>8654.91</v>
      </c>
      <c r="H2082" t="str">
        <f t="shared" si="42"/>
        <v>BCBS PAYABLE</v>
      </c>
    </row>
    <row r="2083" spans="5:8" x14ac:dyDescent="0.25">
      <c r="E2083" t="str">
        <f>""</f>
        <v/>
      </c>
      <c r="F2083" t="str">
        <f>""</f>
        <v/>
      </c>
      <c r="G2083" s="3">
        <v>331.42</v>
      </c>
      <c r="H2083" t="str">
        <f t="shared" si="42"/>
        <v>BCBS PAYABLE</v>
      </c>
    </row>
    <row r="2084" spans="5:8" x14ac:dyDescent="0.25">
      <c r="E2084" t="str">
        <f>""</f>
        <v/>
      </c>
      <c r="F2084" t="str">
        <f>""</f>
        <v/>
      </c>
      <c r="G2084" s="3">
        <v>7079.68</v>
      </c>
      <c r="H2084" t="str">
        <f t="shared" si="42"/>
        <v>BCBS PAYABLE</v>
      </c>
    </row>
    <row r="2085" spans="5:8" x14ac:dyDescent="0.25">
      <c r="E2085" t="str">
        <f>""</f>
        <v/>
      </c>
      <c r="F2085" t="str">
        <f>""</f>
        <v/>
      </c>
      <c r="G2085" s="3">
        <v>1367.32</v>
      </c>
      <c r="H2085" t="str">
        <f t="shared" si="42"/>
        <v>BCBS PAYABLE</v>
      </c>
    </row>
    <row r="2086" spans="5:8" x14ac:dyDescent="0.25">
      <c r="E2086" t="str">
        <f>""</f>
        <v/>
      </c>
      <c r="F2086" t="str">
        <f>""</f>
        <v/>
      </c>
      <c r="G2086" s="3">
        <v>341.83</v>
      </c>
      <c r="H2086" t="str">
        <f t="shared" si="42"/>
        <v>BCBS PAYABLE</v>
      </c>
    </row>
    <row r="2087" spans="5:8" x14ac:dyDescent="0.25">
      <c r="E2087" t="str">
        <f>""</f>
        <v/>
      </c>
      <c r="F2087" t="str">
        <f>""</f>
        <v/>
      </c>
      <c r="G2087" s="3">
        <v>341.83</v>
      </c>
      <c r="H2087" t="str">
        <f t="shared" si="42"/>
        <v>BCBS PAYABLE</v>
      </c>
    </row>
    <row r="2088" spans="5:8" x14ac:dyDescent="0.25">
      <c r="E2088" t="str">
        <f>""</f>
        <v/>
      </c>
      <c r="F2088" t="str">
        <f>""</f>
        <v/>
      </c>
      <c r="G2088" s="3">
        <v>341.83</v>
      </c>
      <c r="H2088" t="str">
        <f t="shared" si="42"/>
        <v>BCBS PAYABLE</v>
      </c>
    </row>
    <row r="2089" spans="5:8" x14ac:dyDescent="0.25">
      <c r="E2089" t="str">
        <f>""</f>
        <v/>
      </c>
      <c r="F2089" t="str">
        <f>""</f>
        <v/>
      </c>
      <c r="G2089" s="3">
        <v>1367.32</v>
      </c>
      <c r="H2089" t="str">
        <f t="shared" ref="H2089:H2152" si="43">"BCBS PAYABLE"</f>
        <v>BCBS PAYABLE</v>
      </c>
    </row>
    <row r="2090" spans="5:8" x14ac:dyDescent="0.25">
      <c r="E2090" t="str">
        <f>""</f>
        <v/>
      </c>
      <c r="F2090" t="str">
        <f>""</f>
        <v/>
      </c>
      <c r="G2090" s="3">
        <v>683.66</v>
      </c>
      <c r="H2090" t="str">
        <f t="shared" si="43"/>
        <v>BCBS PAYABLE</v>
      </c>
    </row>
    <row r="2091" spans="5:8" x14ac:dyDescent="0.25">
      <c r="E2091" t="str">
        <f>""</f>
        <v/>
      </c>
      <c r="F2091" t="str">
        <f>""</f>
        <v/>
      </c>
      <c r="G2091" s="3">
        <v>4.57</v>
      </c>
      <c r="H2091" t="str">
        <f t="shared" si="43"/>
        <v>BCBS PAYABLE</v>
      </c>
    </row>
    <row r="2092" spans="5:8" x14ac:dyDescent="0.25">
      <c r="E2092" t="str">
        <f>""</f>
        <v/>
      </c>
      <c r="F2092" t="str">
        <f>""</f>
        <v/>
      </c>
      <c r="G2092" s="3">
        <v>12.41</v>
      </c>
      <c r="H2092" t="str">
        <f t="shared" si="43"/>
        <v>BCBS PAYABLE</v>
      </c>
    </row>
    <row r="2093" spans="5:8" x14ac:dyDescent="0.25">
      <c r="E2093" t="str">
        <f>""</f>
        <v/>
      </c>
      <c r="F2093" t="str">
        <f>""</f>
        <v/>
      </c>
      <c r="G2093" s="3">
        <v>48.4</v>
      </c>
      <c r="H2093" t="str">
        <f t="shared" si="43"/>
        <v>BCBS PAYABLE</v>
      </c>
    </row>
    <row r="2094" spans="5:8" x14ac:dyDescent="0.25">
      <c r="E2094" t="str">
        <f>""</f>
        <v/>
      </c>
      <c r="F2094" t="str">
        <f>""</f>
        <v/>
      </c>
      <c r="G2094" s="3">
        <v>14456.09</v>
      </c>
      <c r="H2094" t="str">
        <f t="shared" si="43"/>
        <v>BCBS PAYABLE</v>
      </c>
    </row>
    <row r="2095" spans="5:8" x14ac:dyDescent="0.25">
      <c r="E2095" t="str">
        <f>"2EC202108175281"</f>
        <v>2EC202108175281</v>
      </c>
      <c r="F2095" t="str">
        <f>"BCBS PAYABLE"</f>
        <v>BCBS PAYABLE</v>
      </c>
      <c r="G2095" s="3">
        <v>1367.32</v>
      </c>
      <c r="H2095" t="str">
        <f t="shared" si="43"/>
        <v>BCBS PAYABLE</v>
      </c>
    </row>
    <row r="2096" spans="5:8" x14ac:dyDescent="0.25">
      <c r="E2096" t="str">
        <f>""</f>
        <v/>
      </c>
      <c r="F2096" t="str">
        <f>""</f>
        <v/>
      </c>
      <c r="G2096" s="3">
        <v>511.72</v>
      </c>
      <c r="H2096" t="str">
        <f t="shared" si="43"/>
        <v>BCBS PAYABLE</v>
      </c>
    </row>
    <row r="2097" spans="5:8" x14ac:dyDescent="0.25">
      <c r="E2097" t="str">
        <f>"2EF202108045059"</f>
        <v>2EF202108045059</v>
      </c>
      <c r="F2097" t="str">
        <f>"BCBS PAYABLE"</f>
        <v>BCBS PAYABLE</v>
      </c>
      <c r="G2097" s="3">
        <v>341.83</v>
      </c>
      <c r="H2097" t="str">
        <f t="shared" si="43"/>
        <v>BCBS PAYABLE</v>
      </c>
    </row>
    <row r="2098" spans="5:8" x14ac:dyDescent="0.25">
      <c r="E2098" t="str">
        <f>""</f>
        <v/>
      </c>
      <c r="F2098" t="str">
        <f>""</f>
        <v/>
      </c>
      <c r="G2098" s="3">
        <v>4.09</v>
      </c>
      <c r="H2098" t="str">
        <f t="shared" si="43"/>
        <v>BCBS PAYABLE</v>
      </c>
    </row>
    <row r="2099" spans="5:8" x14ac:dyDescent="0.25">
      <c r="E2099" t="str">
        <f>""</f>
        <v/>
      </c>
      <c r="F2099" t="str">
        <f>""</f>
        <v/>
      </c>
      <c r="G2099" s="3">
        <v>337.74</v>
      </c>
      <c r="H2099" t="str">
        <f t="shared" si="43"/>
        <v>BCBS PAYABLE</v>
      </c>
    </row>
    <row r="2100" spans="5:8" x14ac:dyDescent="0.25">
      <c r="E2100" t="str">
        <f>""</f>
        <v/>
      </c>
      <c r="F2100" t="str">
        <f>""</f>
        <v/>
      </c>
      <c r="G2100" s="3">
        <v>1182.8800000000001</v>
      </c>
      <c r="H2100" t="str">
        <f t="shared" si="43"/>
        <v>BCBS PAYABLE</v>
      </c>
    </row>
    <row r="2101" spans="5:8" x14ac:dyDescent="0.25">
      <c r="E2101" t="str">
        <f>"2EF202108175280"</f>
        <v>2EF202108175280</v>
      </c>
      <c r="F2101" t="str">
        <f>"BCBS PAYABLE"</f>
        <v>BCBS PAYABLE</v>
      </c>
      <c r="G2101" s="3">
        <v>341.83</v>
      </c>
      <c r="H2101" t="str">
        <f t="shared" si="43"/>
        <v>BCBS PAYABLE</v>
      </c>
    </row>
    <row r="2102" spans="5:8" x14ac:dyDescent="0.25">
      <c r="E2102" t="str">
        <f>""</f>
        <v/>
      </c>
      <c r="F2102" t="str">
        <f>""</f>
        <v/>
      </c>
      <c r="G2102" s="3">
        <v>4.09</v>
      </c>
      <c r="H2102" t="str">
        <f t="shared" si="43"/>
        <v>BCBS PAYABLE</v>
      </c>
    </row>
    <row r="2103" spans="5:8" x14ac:dyDescent="0.25">
      <c r="E2103" t="str">
        <f>""</f>
        <v/>
      </c>
      <c r="F2103" t="str">
        <f>""</f>
        <v/>
      </c>
      <c r="G2103" s="3">
        <v>337.74</v>
      </c>
      <c r="H2103" t="str">
        <f t="shared" si="43"/>
        <v>BCBS PAYABLE</v>
      </c>
    </row>
    <row r="2104" spans="5:8" x14ac:dyDescent="0.25">
      <c r="E2104" t="str">
        <f>""</f>
        <v/>
      </c>
      <c r="F2104" t="str">
        <f>""</f>
        <v/>
      </c>
      <c r="G2104" s="3">
        <v>1182.8800000000001</v>
      </c>
      <c r="H2104" t="str">
        <f t="shared" si="43"/>
        <v>BCBS PAYABLE</v>
      </c>
    </row>
    <row r="2105" spans="5:8" x14ac:dyDescent="0.25">
      <c r="E2105" t="str">
        <f>"2EO202108045059"</f>
        <v>2EO202108045059</v>
      </c>
      <c r="F2105" t="str">
        <f>"BCBS PAYABLE"</f>
        <v>BCBS PAYABLE</v>
      </c>
      <c r="G2105" s="3">
        <v>683.66</v>
      </c>
      <c r="H2105" t="str">
        <f t="shared" si="43"/>
        <v>BCBS PAYABLE</v>
      </c>
    </row>
    <row r="2106" spans="5:8" x14ac:dyDescent="0.25">
      <c r="E2106" t="str">
        <f>""</f>
        <v/>
      </c>
      <c r="F2106" t="str">
        <f>""</f>
        <v/>
      </c>
      <c r="G2106" s="3">
        <v>444.27</v>
      </c>
      <c r="H2106" t="str">
        <f t="shared" si="43"/>
        <v>BCBS PAYABLE</v>
      </c>
    </row>
    <row r="2107" spans="5:8" x14ac:dyDescent="0.25">
      <c r="E2107" t="str">
        <f>""</f>
        <v/>
      </c>
      <c r="F2107" t="str">
        <f>""</f>
        <v/>
      </c>
      <c r="G2107" s="3">
        <v>2349.35</v>
      </c>
      <c r="H2107" t="str">
        <f t="shared" si="43"/>
        <v>BCBS PAYABLE</v>
      </c>
    </row>
    <row r="2108" spans="5:8" x14ac:dyDescent="0.25">
      <c r="E2108" t="str">
        <f>""</f>
        <v/>
      </c>
      <c r="F2108" t="str">
        <f>""</f>
        <v/>
      </c>
      <c r="G2108" s="3">
        <v>683.66</v>
      </c>
      <c r="H2108" t="str">
        <f t="shared" si="43"/>
        <v>BCBS PAYABLE</v>
      </c>
    </row>
    <row r="2109" spans="5:8" x14ac:dyDescent="0.25">
      <c r="E2109" t="str">
        <f>""</f>
        <v/>
      </c>
      <c r="F2109" t="str">
        <f>""</f>
        <v/>
      </c>
      <c r="G2109" s="3">
        <v>683.66</v>
      </c>
      <c r="H2109" t="str">
        <f t="shared" si="43"/>
        <v>BCBS PAYABLE</v>
      </c>
    </row>
    <row r="2110" spans="5:8" x14ac:dyDescent="0.25">
      <c r="E2110" t="str">
        <f>""</f>
        <v/>
      </c>
      <c r="F2110" t="str">
        <f>""</f>
        <v/>
      </c>
      <c r="G2110" s="3">
        <v>341.83</v>
      </c>
      <c r="H2110" t="str">
        <f t="shared" si="43"/>
        <v>BCBS PAYABLE</v>
      </c>
    </row>
    <row r="2111" spans="5:8" x14ac:dyDescent="0.25">
      <c r="E2111" t="str">
        <f>""</f>
        <v/>
      </c>
      <c r="F2111" t="str">
        <f>""</f>
        <v/>
      </c>
      <c r="G2111" s="3">
        <v>5127.45</v>
      </c>
      <c r="H2111" t="str">
        <f t="shared" si="43"/>
        <v>BCBS PAYABLE</v>
      </c>
    </row>
    <row r="2112" spans="5:8" x14ac:dyDescent="0.25">
      <c r="E2112" t="str">
        <f>""</f>
        <v/>
      </c>
      <c r="F2112" t="str">
        <f>""</f>
        <v/>
      </c>
      <c r="G2112" s="3">
        <v>683.66</v>
      </c>
      <c r="H2112" t="str">
        <f t="shared" si="43"/>
        <v>BCBS PAYABLE</v>
      </c>
    </row>
    <row r="2113" spans="5:8" x14ac:dyDescent="0.25">
      <c r="E2113" t="str">
        <f>""</f>
        <v/>
      </c>
      <c r="F2113" t="str">
        <f>""</f>
        <v/>
      </c>
      <c r="G2113" s="3">
        <v>1367.32</v>
      </c>
      <c r="H2113" t="str">
        <f t="shared" si="43"/>
        <v>BCBS PAYABLE</v>
      </c>
    </row>
    <row r="2114" spans="5:8" x14ac:dyDescent="0.25">
      <c r="E2114" t="str">
        <f>""</f>
        <v/>
      </c>
      <c r="F2114" t="str">
        <f>""</f>
        <v/>
      </c>
      <c r="G2114" s="3">
        <v>3760.13</v>
      </c>
      <c r="H2114" t="str">
        <f t="shared" si="43"/>
        <v>BCBS PAYABLE</v>
      </c>
    </row>
    <row r="2115" spans="5:8" x14ac:dyDescent="0.25">
      <c r="E2115" t="str">
        <f>""</f>
        <v/>
      </c>
      <c r="F2115" t="str">
        <f>""</f>
        <v/>
      </c>
      <c r="G2115" s="3">
        <v>683.66</v>
      </c>
      <c r="H2115" t="str">
        <f t="shared" si="43"/>
        <v>BCBS PAYABLE</v>
      </c>
    </row>
    <row r="2116" spans="5:8" x14ac:dyDescent="0.25">
      <c r="E2116" t="str">
        <f>""</f>
        <v/>
      </c>
      <c r="F2116" t="str">
        <f>""</f>
        <v/>
      </c>
      <c r="G2116" s="3">
        <v>683.66</v>
      </c>
      <c r="H2116" t="str">
        <f t="shared" si="43"/>
        <v>BCBS PAYABLE</v>
      </c>
    </row>
    <row r="2117" spans="5:8" x14ac:dyDescent="0.25">
      <c r="E2117" t="str">
        <f>""</f>
        <v/>
      </c>
      <c r="F2117" t="str">
        <f>""</f>
        <v/>
      </c>
      <c r="G2117" s="3">
        <v>341.83</v>
      </c>
      <c r="H2117" t="str">
        <f t="shared" si="43"/>
        <v>BCBS PAYABLE</v>
      </c>
    </row>
    <row r="2118" spans="5:8" x14ac:dyDescent="0.25">
      <c r="E2118" t="str">
        <f>""</f>
        <v/>
      </c>
      <c r="F2118" t="str">
        <f>""</f>
        <v/>
      </c>
      <c r="G2118" s="3">
        <v>1025.49</v>
      </c>
      <c r="H2118" t="str">
        <f t="shared" si="43"/>
        <v>BCBS PAYABLE</v>
      </c>
    </row>
    <row r="2119" spans="5:8" x14ac:dyDescent="0.25">
      <c r="E2119" t="str">
        <f>""</f>
        <v/>
      </c>
      <c r="F2119" t="str">
        <f>""</f>
        <v/>
      </c>
      <c r="G2119" s="3">
        <v>683.66</v>
      </c>
      <c r="H2119" t="str">
        <f t="shared" si="43"/>
        <v>BCBS PAYABLE</v>
      </c>
    </row>
    <row r="2120" spans="5:8" x14ac:dyDescent="0.25">
      <c r="E2120" t="str">
        <f>""</f>
        <v/>
      </c>
      <c r="F2120" t="str">
        <f>""</f>
        <v/>
      </c>
      <c r="G2120" s="3">
        <v>3288.06</v>
      </c>
      <c r="H2120" t="str">
        <f t="shared" si="43"/>
        <v>BCBS PAYABLE</v>
      </c>
    </row>
    <row r="2121" spans="5:8" x14ac:dyDescent="0.25">
      <c r="E2121" t="str">
        <f>""</f>
        <v/>
      </c>
      <c r="F2121" t="str">
        <f>""</f>
        <v/>
      </c>
      <c r="G2121" s="3">
        <v>1025.49</v>
      </c>
      <c r="H2121" t="str">
        <f t="shared" si="43"/>
        <v>BCBS PAYABLE</v>
      </c>
    </row>
    <row r="2122" spans="5:8" x14ac:dyDescent="0.25">
      <c r="E2122" t="str">
        <f>""</f>
        <v/>
      </c>
      <c r="F2122" t="str">
        <f>""</f>
        <v/>
      </c>
      <c r="G2122" s="3">
        <v>683.66</v>
      </c>
      <c r="H2122" t="str">
        <f t="shared" si="43"/>
        <v>BCBS PAYABLE</v>
      </c>
    </row>
    <row r="2123" spans="5:8" x14ac:dyDescent="0.25">
      <c r="E2123" t="str">
        <f>""</f>
        <v/>
      </c>
      <c r="F2123" t="str">
        <f>""</f>
        <v/>
      </c>
      <c r="G2123" s="3">
        <v>683.66</v>
      </c>
      <c r="H2123" t="str">
        <f t="shared" si="43"/>
        <v>BCBS PAYABLE</v>
      </c>
    </row>
    <row r="2124" spans="5:8" x14ac:dyDescent="0.25">
      <c r="E2124" t="str">
        <f>""</f>
        <v/>
      </c>
      <c r="F2124" t="str">
        <f>""</f>
        <v/>
      </c>
      <c r="G2124" s="3">
        <v>3076.47</v>
      </c>
      <c r="H2124" t="str">
        <f t="shared" si="43"/>
        <v>BCBS PAYABLE</v>
      </c>
    </row>
    <row r="2125" spans="5:8" x14ac:dyDescent="0.25">
      <c r="E2125" t="str">
        <f>""</f>
        <v/>
      </c>
      <c r="F2125" t="str">
        <f>""</f>
        <v/>
      </c>
      <c r="G2125" s="3">
        <v>1367.32</v>
      </c>
      <c r="H2125" t="str">
        <f t="shared" si="43"/>
        <v>BCBS PAYABLE</v>
      </c>
    </row>
    <row r="2126" spans="5:8" x14ac:dyDescent="0.25">
      <c r="E2126" t="str">
        <f>""</f>
        <v/>
      </c>
      <c r="F2126" t="str">
        <f>""</f>
        <v/>
      </c>
      <c r="G2126" s="3">
        <v>2392.81</v>
      </c>
      <c r="H2126" t="str">
        <f t="shared" si="43"/>
        <v>BCBS PAYABLE</v>
      </c>
    </row>
    <row r="2127" spans="5:8" x14ac:dyDescent="0.25">
      <c r="E2127" t="str">
        <f>""</f>
        <v/>
      </c>
      <c r="F2127" t="str">
        <f>""</f>
        <v/>
      </c>
      <c r="G2127" s="3">
        <v>3418.3</v>
      </c>
      <c r="H2127" t="str">
        <f t="shared" si="43"/>
        <v>BCBS PAYABLE</v>
      </c>
    </row>
    <row r="2128" spans="5:8" x14ac:dyDescent="0.25">
      <c r="E2128" t="str">
        <f>""</f>
        <v/>
      </c>
      <c r="F2128" t="str">
        <f>""</f>
        <v/>
      </c>
      <c r="G2128" s="3">
        <v>5132.99</v>
      </c>
      <c r="H2128" t="str">
        <f t="shared" si="43"/>
        <v>BCBS PAYABLE</v>
      </c>
    </row>
    <row r="2129" spans="5:8" x14ac:dyDescent="0.25">
      <c r="E2129" t="str">
        <f>""</f>
        <v/>
      </c>
      <c r="F2129" t="str">
        <f>""</f>
        <v/>
      </c>
      <c r="G2129" s="3">
        <v>341.83</v>
      </c>
      <c r="H2129" t="str">
        <f t="shared" si="43"/>
        <v>BCBS PAYABLE</v>
      </c>
    </row>
    <row r="2130" spans="5:8" x14ac:dyDescent="0.25">
      <c r="E2130" t="str">
        <f>""</f>
        <v/>
      </c>
      <c r="F2130" t="str">
        <f>""</f>
        <v/>
      </c>
      <c r="G2130" s="3">
        <v>341.83</v>
      </c>
      <c r="H2130" t="str">
        <f t="shared" si="43"/>
        <v>BCBS PAYABLE</v>
      </c>
    </row>
    <row r="2131" spans="5:8" x14ac:dyDescent="0.25">
      <c r="E2131" t="str">
        <f>""</f>
        <v/>
      </c>
      <c r="F2131" t="str">
        <f>""</f>
        <v/>
      </c>
      <c r="G2131" s="3">
        <v>19423.009999999998</v>
      </c>
      <c r="H2131" t="str">
        <f t="shared" si="43"/>
        <v>BCBS PAYABLE</v>
      </c>
    </row>
    <row r="2132" spans="5:8" x14ac:dyDescent="0.25">
      <c r="E2132" t="str">
        <f>""</f>
        <v/>
      </c>
      <c r="F2132" t="str">
        <f>""</f>
        <v/>
      </c>
      <c r="G2132" s="3">
        <v>1356.99</v>
      </c>
      <c r="H2132" t="str">
        <f t="shared" si="43"/>
        <v>BCBS PAYABLE</v>
      </c>
    </row>
    <row r="2133" spans="5:8" x14ac:dyDescent="0.25">
      <c r="E2133" t="str">
        <f>""</f>
        <v/>
      </c>
      <c r="F2133" t="str">
        <f>""</f>
        <v/>
      </c>
      <c r="G2133" s="3">
        <v>21238.02</v>
      </c>
      <c r="H2133" t="str">
        <f t="shared" si="43"/>
        <v>BCBS PAYABLE</v>
      </c>
    </row>
    <row r="2134" spans="5:8" x14ac:dyDescent="0.25">
      <c r="E2134" t="str">
        <f>""</f>
        <v/>
      </c>
      <c r="F2134" t="str">
        <f>""</f>
        <v/>
      </c>
      <c r="G2134" s="3">
        <v>4785.62</v>
      </c>
      <c r="H2134" t="str">
        <f t="shared" si="43"/>
        <v>BCBS PAYABLE</v>
      </c>
    </row>
    <row r="2135" spans="5:8" x14ac:dyDescent="0.25">
      <c r="E2135" t="str">
        <f>""</f>
        <v/>
      </c>
      <c r="F2135" t="str">
        <f>""</f>
        <v/>
      </c>
      <c r="G2135" s="3">
        <v>341.83</v>
      </c>
      <c r="H2135" t="str">
        <f t="shared" si="43"/>
        <v>BCBS PAYABLE</v>
      </c>
    </row>
    <row r="2136" spans="5:8" x14ac:dyDescent="0.25">
      <c r="E2136" t="str">
        <f>""</f>
        <v/>
      </c>
      <c r="F2136" t="str">
        <f>""</f>
        <v/>
      </c>
      <c r="G2136" s="3">
        <v>683.66</v>
      </c>
      <c r="H2136" t="str">
        <f t="shared" si="43"/>
        <v>BCBS PAYABLE</v>
      </c>
    </row>
    <row r="2137" spans="5:8" x14ac:dyDescent="0.25">
      <c r="E2137" t="str">
        <f>""</f>
        <v/>
      </c>
      <c r="F2137" t="str">
        <f>""</f>
        <v/>
      </c>
      <c r="G2137" s="3">
        <v>87.59</v>
      </c>
      <c r="H2137" t="str">
        <f t="shared" si="43"/>
        <v>BCBS PAYABLE</v>
      </c>
    </row>
    <row r="2138" spans="5:8" x14ac:dyDescent="0.25">
      <c r="E2138" t="str">
        <f>""</f>
        <v/>
      </c>
      <c r="F2138" t="str">
        <f>""</f>
        <v/>
      </c>
      <c r="G2138" s="3">
        <v>683.66</v>
      </c>
      <c r="H2138" t="str">
        <f t="shared" si="43"/>
        <v>BCBS PAYABLE</v>
      </c>
    </row>
    <row r="2139" spans="5:8" x14ac:dyDescent="0.25">
      <c r="E2139" t="str">
        <f>""</f>
        <v/>
      </c>
      <c r="F2139" t="str">
        <f>""</f>
        <v/>
      </c>
      <c r="G2139" s="3">
        <v>341.83</v>
      </c>
      <c r="H2139" t="str">
        <f t="shared" si="43"/>
        <v>BCBS PAYABLE</v>
      </c>
    </row>
    <row r="2140" spans="5:8" x14ac:dyDescent="0.25">
      <c r="E2140" t="str">
        <f>""</f>
        <v/>
      </c>
      <c r="F2140" t="str">
        <f>""</f>
        <v/>
      </c>
      <c r="G2140" s="3">
        <v>683.66</v>
      </c>
      <c r="H2140" t="str">
        <f t="shared" si="43"/>
        <v>BCBS PAYABLE</v>
      </c>
    </row>
    <row r="2141" spans="5:8" x14ac:dyDescent="0.25">
      <c r="E2141" t="str">
        <f>""</f>
        <v/>
      </c>
      <c r="F2141" t="str">
        <f>""</f>
        <v/>
      </c>
      <c r="G2141" s="3">
        <v>683.66</v>
      </c>
      <c r="H2141" t="str">
        <f t="shared" si="43"/>
        <v>BCBS PAYABLE</v>
      </c>
    </row>
    <row r="2142" spans="5:8" x14ac:dyDescent="0.25">
      <c r="E2142" t="str">
        <f>""</f>
        <v/>
      </c>
      <c r="F2142" t="str">
        <f>""</f>
        <v/>
      </c>
      <c r="G2142" s="3">
        <v>43.46</v>
      </c>
      <c r="H2142" t="str">
        <f t="shared" si="43"/>
        <v>BCBS PAYABLE</v>
      </c>
    </row>
    <row r="2143" spans="5:8" x14ac:dyDescent="0.25">
      <c r="E2143" t="str">
        <f>""</f>
        <v/>
      </c>
      <c r="F2143" t="str">
        <f>""</f>
        <v/>
      </c>
      <c r="G2143" s="3">
        <v>2503.33</v>
      </c>
      <c r="H2143" t="str">
        <f t="shared" si="43"/>
        <v>BCBS PAYABLE</v>
      </c>
    </row>
    <row r="2144" spans="5:8" x14ac:dyDescent="0.25">
      <c r="E2144" t="str">
        <f>""</f>
        <v/>
      </c>
      <c r="F2144" t="str">
        <f>""</f>
        <v/>
      </c>
      <c r="G2144" s="3">
        <v>2671.68</v>
      </c>
      <c r="H2144" t="str">
        <f t="shared" si="43"/>
        <v>BCBS PAYABLE</v>
      </c>
    </row>
    <row r="2145" spans="5:8" x14ac:dyDescent="0.25">
      <c r="E2145" t="str">
        <f>""</f>
        <v/>
      </c>
      <c r="F2145" t="str">
        <f>""</f>
        <v/>
      </c>
      <c r="G2145" s="3">
        <v>4035.89</v>
      </c>
      <c r="H2145" t="str">
        <f t="shared" si="43"/>
        <v>BCBS PAYABLE</v>
      </c>
    </row>
    <row r="2146" spans="5:8" x14ac:dyDescent="0.25">
      <c r="E2146" t="str">
        <f>""</f>
        <v/>
      </c>
      <c r="F2146" t="str">
        <f>""</f>
        <v/>
      </c>
      <c r="G2146" s="3">
        <v>4040.99</v>
      </c>
      <c r="H2146" t="str">
        <f t="shared" si="43"/>
        <v>BCBS PAYABLE</v>
      </c>
    </row>
    <row r="2147" spans="5:8" x14ac:dyDescent="0.25">
      <c r="E2147" t="str">
        <f>""</f>
        <v/>
      </c>
      <c r="F2147" t="str">
        <f>""</f>
        <v/>
      </c>
      <c r="G2147" s="3">
        <v>683.66</v>
      </c>
      <c r="H2147" t="str">
        <f t="shared" si="43"/>
        <v>BCBS PAYABLE</v>
      </c>
    </row>
    <row r="2148" spans="5:8" x14ac:dyDescent="0.25">
      <c r="E2148" t="str">
        <f>""</f>
        <v/>
      </c>
      <c r="F2148" t="str">
        <f>""</f>
        <v/>
      </c>
      <c r="G2148" s="3">
        <v>596.07000000000005</v>
      </c>
      <c r="H2148" t="str">
        <f t="shared" si="43"/>
        <v>BCBS PAYABLE</v>
      </c>
    </row>
    <row r="2149" spans="5:8" x14ac:dyDescent="0.25">
      <c r="E2149" t="str">
        <f>""</f>
        <v/>
      </c>
      <c r="F2149" t="str">
        <f>""</f>
        <v/>
      </c>
      <c r="G2149" s="3">
        <v>117.17</v>
      </c>
      <c r="H2149" t="str">
        <f t="shared" si="43"/>
        <v>BCBS PAYABLE</v>
      </c>
    </row>
    <row r="2150" spans="5:8" x14ac:dyDescent="0.25">
      <c r="E2150" t="str">
        <f>""</f>
        <v/>
      </c>
      <c r="F2150" t="str">
        <f>""</f>
        <v/>
      </c>
      <c r="G2150" s="3">
        <v>13.07</v>
      </c>
      <c r="H2150" t="str">
        <f t="shared" si="43"/>
        <v>BCBS PAYABLE</v>
      </c>
    </row>
    <row r="2151" spans="5:8" x14ac:dyDescent="0.25">
      <c r="E2151" t="str">
        <f>""</f>
        <v/>
      </c>
      <c r="F2151" t="str">
        <f>""</f>
        <v/>
      </c>
      <c r="G2151" s="3">
        <v>340.4</v>
      </c>
      <c r="H2151" t="str">
        <f t="shared" si="43"/>
        <v>BCBS PAYABLE</v>
      </c>
    </row>
    <row r="2152" spans="5:8" x14ac:dyDescent="0.25">
      <c r="E2152" t="str">
        <f>"2EO202108045060"</f>
        <v>2EO202108045060</v>
      </c>
      <c r="F2152" t="str">
        <f>"BCBS PAYABLE"</f>
        <v>BCBS PAYABLE</v>
      </c>
      <c r="G2152" s="3">
        <v>3076.47</v>
      </c>
      <c r="H2152" t="str">
        <f t="shared" si="43"/>
        <v>BCBS PAYABLE</v>
      </c>
    </row>
    <row r="2153" spans="5:8" x14ac:dyDescent="0.25">
      <c r="E2153" t="str">
        <f>"2EO202108175280"</f>
        <v>2EO202108175280</v>
      </c>
      <c r="F2153" t="str">
        <f>"BCBS PAYABLE"</f>
        <v>BCBS PAYABLE</v>
      </c>
      <c r="G2153" s="3">
        <v>683.66</v>
      </c>
      <c r="H2153" t="str">
        <f t="shared" ref="H2153:H2216" si="44">"BCBS PAYABLE"</f>
        <v>BCBS PAYABLE</v>
      </c>
    </row>
    <row r="2154" spans="5:8" x14ac:dyDescent="0.25">
      <c r="E2154" t="str">
        <f>""</f>
        <v/>
      </c>
      <c r="F2154" t="str">
        <f>""</f>
        <v/>
      </c>
      <c r="G2154" s="3">
        <v>444.27</v>
      </c>
      <c r="H2154" t="str">
        <f t="shared" si="44"/>
        <v>BCBS PAYABLE</v>
      </c>
    </row>
    <row r="2155" spans="5:8" x14ac:dyDescent="0.25">
      <c r="E2155" t="str">
        <f>""</f>
        <v/>
      </c>
      <c r="F2155" t="str">
        <f>""</f>
        <v/>
      </c>
      <c r="G2155" s="3">
        <v>2355.79</v>
      </c>
      <c r="H2155" t="str">
        <f t="shared" si="44"/>
        <v>BCBS PAYABLE</v>
      </c>
    </row>
    <row r="2156" spans="5:8" x14ac:dyDescent="0.25">
      <c r="E2156" t="str">
        <f>""</f>
        <v/>
      </c>
      <c r="F2156" t="str">
        <f>""</f>
        <v/>
      </c>
      <c r="G2156" s="3">
        <v>683.66</v>
      </c>
      <c r="H2156" t="str">
        <f t="shared" si="44"/>
        <v>BCBS PAYABLE</v>
      </c>
    </row>
    <row r="2157" spans="5:8" x14ac:dyDescent="0.25">
      <c r="E2157" t="str">
        <f>""</f>
        <v/>
      </c>
      <c r="F2157" t="str">
        <f>""</f>
        <v/>
      </c>
      <c r="G2157" s="3">
        <v>683.66</v>
      </c>
      <c r="H2157" t="str">
        <f t="shared" si="44"/>
        <v>BCBS PAYABLE</v>
      </c>
    </row>
    <row r="2158" spans="5:8" x14ac:dyDescent="0.25">
      <c r="E2158" t="str">
        <f>""</f>
        <v/>
      </c>
      <c r="F2158" t="str">
        <f>""</f>
        <v/>
      </c>
      <c r="G2158" s="3">
        <v>341.83</v>
      </c>
      <c r="H2158" t="str">
        <f t="shared" si="44"/>
        <v>BCBS PAYABLE</v>
      </c>
    </row>
    <row r="2159" spans="5:8" x14ac:dyDescent="0.25">
      <c r="E2159" t="str">
        <f>""</f>
        <v/>
      </c>
      <c r="F2159" t="str">
        <f>""</f>
        <v/>
      </c>
      <c r="G2159" s="3">
        <v>4785.62</v>
      </c>
      <c r="H2159" t="str">
        <f t="shared" si="44"/>
        <v>BCBS PAYABLE</v>
      </c>
    </row>
    <row r="2160" spans="5:8" x14ac:dyDescent="0.25">
      <c r="E2160" t="str">
        <f>""</f>
        <v/>
      </c>
      <c r="F2160" t="str">
        <f>""</f>
        <v/>
      </c>
      <c r="G2160" s="3">
        <v>683.66</v>
      </c>
      <c r="H2160" t="str">
        <f t="shared" si="44"/>
        <v>BCBS PAYABLE</v>
      </c>
    </row>
    <row r="2161" spans="5:8" x14ac:dyDescent="0.25">
      <c r="E2161" t="str">
        <f>""</f>
        <v/>
      </c>
      <c r="F2161" t="str">
        <f>""</f>
        <v/>
      </c>
      <c r="G2161" s="3">
        <v>1367.32</v>
      </c>
      <c r="H2161" t="str">
        <f t="shared" si="44"/>
        <v>BCBS PAYABLE</v>
      </c>
    </row>
    <row r="2162" spans="5:8" x14ac:dyDescent="0.25">
      <c r="E2162" t="str">
        <f>""</f>
        <v/>
      </c>
      <c r="F2162" t="str">
        <f>""</f>
        <v/>
      </c>
      <c r="G2162" s="3">
        <v>3760.13</v>
      </c>
      <c r="H2162" t="str">
        <f t="shared" si="44"/>
        <v>BCBS PAYABLE</v>
      </c>
    </row>
    <row r="2163" spans="5:8" x14ac:dyDescent="0.25">
      <c r="E2163" t="str">
        <f>""</f>
        <v/>
      </c>
      <c r="F2163" t="str">
        <f>""</f>
        <v/>
      </c>
      <c r="G2163" s="3">
        <v>683.66</v>
      </c>
      <c r="H2163" t="str">
        <f t="shared" si="44"/>
        <v>BCBS PAYABLE</v>
      </c>
    </row>
    <row r="2164" spans="5:8" x14ac:dyDescent="0.25">
      <c r="E2164" t="str">
        <f>""</f>
        <v/>
      </c>
      <c r="F2164" t="str">
        <f>""</f>
        <v/>
      </c>
      <c r="G2164" s="3">
        <v>683.66</v>
      </c>
      <c r="H2164" t="str">
        <f t="shared" si="44"/>
        <v>BCBS PAYABLE</v>
      </c>
    </row>
    <row r="2165" spans="5:8" x14ac:dyDescent="0.25">
      <c r="E2165" t="str">
        <f>""</f>
        <v/>
      </c>
      <c r="F2165" t="str">
        <f>""</f>
        <v/>
      </c>
      <c r="G2165" s="3">
        <v>341.83</v>
      </c>
      <c r="H2165" t="str">
        <f t="shared" si="44"/>
        <v>BCBS PAYABLE</v>
      </c>
    </row>
    <row r="2166" spans="5:8" x14ac:dyDescent="0.25">
      <c r="E2166" t="str">
        <f>""</f>
        <v/>
      </c>
      <c r="F2166" t="str">
        <f>""</f>
        <v/>
      </c>
      <c r="G2166" s="3">
        <v>1025.49</v>
      </c>
      <c r="H2166" t="str">
        <f t="shared" si="44"/>
        <v>BCBS PAYABLE</v>
      </c>
    </row>
    <row r="2167" spans="5:8" x14ac:dyDescent="0.25">
      <c r="E2167" t="str">
        <f>""</f>
        <v/>
      </c>
      <c r="F2167" t="str">
        <f>""</f>
        <v/>
      </c>
      <c r="G2167" s="3">
        <v>683.66</v>
      </c>
      <c r="H2167" t="str">
        <f t="shared" si="44"/>
        <v>BCBS PAYABLE</v>
      </c>
    </row>
    <row r="2168" spans="5:8" x14ac:dyDescent="0.25">
      <c r="E2168" t="str">
        <f>""</f>
        <v/>
      </c>
      <c r="F2168" t="str">
        <f>""</f>
        <v/>
      </c>
      <c r="G2168" s="3">
        <v>3288.06</v>
      </c>
      <c r="H2168" t="str">
        <f t="shared" si="44"/>
        <v>BCBS PAYABLE</v>
      </c>
    </row>
    <row r="2169" spans="5:8" x14ac:dyDescent="0.25">
      <c r="E2169" t="str">
        <f>""</f>
        <v/>
      </c>
      <c r="F2169" t="str">
        <f>""</f>
        <v/>
      </c>
      <c r="G2169" s="3">
        <v>1025.49</v>
      </c>
      <c r="H2169" t="str">
        <f t="shared" si="44"/>
        <v>BCBS PAYABLE</v>
      </c>
    </row>
    <row r="2170" spans="5:8" x14ac:dyDescent="0.25">
      <c r="E2170" t="str">
        <f>""</f>
        <v/>
      </c>
      <c r="F2170" t="str">
        <f>""</f>
        <v/>
      </c>
      <c r="G2170" s="3">
        <v>683.66</v>
      </c>
      <c r="H2170" t="str">
        <f t="shared" si="44"/>
        <v>BCBS PAYABLE</v>
      </c>
    </row>
    <row r="2171" spans="5:8" x14ac:dyDescent="0.25">
      <c r="E2171" t="str">
        <f>""</f>
        <v/>
      </c>
      <c r="F2171" t="str">
        <f>""</f>
        <v/>
      </c>
      <c r="G2171" s="3">
        <v>683.66</v>
      </c>
      <c r="H2171" t="str">
        <f t="shared" si="44"/>
        <v>BCBS PAYABLE</v>
      </c>
    </row>
    <row r="2172" spans="5:8" x14ac:dyDescent="0.25">
      <c r="E2172" t="str">
        <f>""</f>
        <v/>
      </c>
      <c r="F2172" t="str">
        <f>""</f>
        <v/>
      </c>
      <c r="G2172" s="3">
        <v>3076.47</v>
      </c>
      <c r="H2172" t="str">
        <f t="shared" si="44"/>
        <v>BCBS PAYABLE</v>
      </c>
    </row>
    <row r="2173" spans="5:8" x14ac:dyDescent="0.25">
      <c r="E2173" t="str">
        <f>""</f>
        <v/>
      </c>
      <c r="F2173" t="str">
        <f>""</f>
        <v/>
      </c>
      <c r="G2173" s="3">
        <v>1367.32</v>
      </c>
      <c r="H2173" t="str">
        <f t="shared" si="44"/>
        <v>BCBS PAYABLE</v>
      </c>
    </row>
    <row r="2174" spans="5:8" x14ac:dyDescent="0.25">
      <c r="E2174" t="str">
        <f>""</f>
        <v/>
      </c>
      <c r="F2174" t="str">
        <f>""</f>
        <v/>
      </c>
      <c r="G2174" s="3">
        <v>2392.81</v>
      </c>
      <c r="H2174" t="str">
        <f t="shared" si="44"/>
        <v>BCBS PAYABLE</v>
      </c>
    </row>
    <row r="2175" spans="5:8" x14ac:dyDescent="0.25">
      <c r="E2175" t="str">
        <f>""</f>
        <v/>
      </c>
      <c r="F2175" t="str">
        <f>""</f>
        <v/>
      </c>
      <c r="G2175" s="3">
        <v>3418.3</v>
      </c>
      <c r="H2175" t="str">
        <f t="shared" si="44"/>
        <v>BCBS PAYABLE</v>
      </c>
    </row>
    <row r="2176" spans="5:8" x14ac:dyDescent="0.25">
      <c r="E2176" t="str">
        <f>""</f>
        <v/>
      </c>
      <c r="F2176" t="str">
        <f>""</f>
        <v/>
      </c>
      <c r="G2176" s="3">
        <v>5132.99</v>
      </c>
      <c r="H2176" t="str">
        <f t="shared" si="44"/>
        <v>BCBS PAYABLE</v>
      </c>
    </row>
    <row r="2177" spans="5:8" x14ac:dyDescent="0.25">
      <c r="E2177" t="str">
        <f>""</f>
        <v/>
      </c>
      <c r="F2177" t="str">
        <f>""</f>
        <v/>
      </c>
      <c r="G2177" s="3">
        <v>341.83</v>
      </c>
      <c r="H2177" t="str">
        <f t="shared" si="44"/>
        <v>BCBS PAYABLE</v>
      </c>
    </row>
    <row r="2178" spans="5:8" x14ac:dyDescent="0.25">
      <c r="E2178" t="str">
        <f>""</f>
        <v/>
      </c>
      <c r="F2178" t="str">
        <f>""</f>
        <v/>
      </c>
      <c r="G2178" s="3">
        <v>341.83</v>
      </c>
      <c r="H2178" t="str">
        <f t="shared" si="44"/>
        <v>BCBS PAYABLE</v>
      </c>
    </row>
    <row r="2179" spans="5:8" x14ac:dyDescent="0.25">
      <c r="E2179" t="str">
        <f>""</f>
        <v/>
      </c>
      <c r="F2179" t="str">
        <f>""</f>
        <v/>
      </c>
      <c r="G2179" s="3">
        <v>19829.7</v>
      </c>
      <c r="H2179" t="str">
        <f t="shared" si="44"/>
        <v>BCBS PAYABLE</v>
      </c>
    </row>
    <row r="2180" spans="5:8" x14ac:dyDescent="0.25">
      <c r="E2180" t="str">
        <f>""</f>
        <v/>
      </c>
      <c r="F2180" t="str">
        <f>""</f>
        <v/>
      </c>
      <c r="G2180" s="3">
        <v>1356.99</v>
      </c>
      <c r="H2180" t="str">
        <f t="shared" si="44"/>
        <v>BCBS PAYABLE</v>
      </c>
    </row>
    <row r="2181" spans="5:8" x14ac:dyDescent="0.25">
      <c r="E2181" t="str">
        <f>""</f>
        <v/>
      </c>
      <c r="F2181" t="str">
        <f>""</f>
        <v/>
      </c>
      <c r="G2181" s="3">
        <v>21201.66</v>
      </c>
      <c r="H2181" t="str">
        <f t="shared" si="44"/>
        <v>BCBS PAYABLE</v>
      </c>
    </row>
    <row r="2182" spans="5:8" x14ac:dyDescent="0.25">
      <c r="E2182" t="str">
        <f>""</f>
        <v/>
      </c>
      <c r="F2182" t="str">
        <f>""</f>
        <v/>
      </c>
      <c r="G2182" s="3">
        <v>4443.79</v>
      </c>
      <c r="H2182" t="str">
        <f t="shared" si="44"/>
        <v>BCBS PAYABLE</v>
      </c>
    </row>
    <row r="2183" spans="5:8" x14ac:dyDescent="0.25">
      <c r="E2183" t="str">
        <f>""</f>
        <v/>
      </c>
      <c r="F2183" t="str">
        <f>""</f>
        <v/>
      </c>
      <c r="G2183" s="3">
        <v>341.83</v>
      </c>
      <c r="H2183" t="str">
        <f t="shared" si="44"/>
        <v>BCBS PAYABLE</v>
      </c>
    </row>
    <row r="2184" spans="5:8" x14ac:dyDescent="0.25">
      <c r="E2184" t="str">
        <f>""</f>
        <v/>
      </c>
      <c r="F2184" t="str">
        <f>""</f>
        <v/>
      </c>
      <c r="G2184" s="3">
        <v>683.66</v>
      </c>
      <c r="H2184" t="str">
        <f t="shared" si="44"/>
        <v>BCBS PAYABLE</v>
      </c>
    </row>
    <row r="2185" spans="5:8" x14ac:dyDescent="0.25">
      <c r="E2185" t="str">
        <f>""</f>
        <v/>
      </c>
      <c r="F2185" t="str">
        <f>""</f>
        <v/>
      </c>
      <c r="G2185" s="3">
        <v>87.59</v>
      </c>
      <c r="H2185" t="str">
        <f t="shared" si="44"/>
        <v>BCBS PAYABLE</v>
      </c>
    </row>
    <row r="2186" spans="5:8" x14ac:dyDescent="0.25">
      <c r="E2186" t="str">
        <f>""</f>
        <v/>
      </c>
      <c r="F2186" t="str">
        <f>""</f>
        <v/>
      </c>
      <c r="G2186" s="3">
        <v>683.66</v>
      </c>
      <c r="H2186" t="str">
        <f t="shared" si="44"/>
        <v>BCBS PAYABLE</v>
      </c>
    </row>
    <row r="2187" spans="5:8" x14ac:dyDescent="0.25">
      <c r="E2187" t="str">
        <f>""</f>
        <v/>
      </c>
      <c r="F2187" t="str">
        <f>""</f>
        <v/>
      </c>
      <c r="G2187" s="3">
        <v>341.83</v>
      </c>
      <c r="H2187" t="str">
        <f t="shared" si="44"/>
        <v>BCBS PAYABLE</v>
      </c>
    </row>
    <row r="2188" spans="5:8" x14ac:dyDescent="0.25">
      <c r="E2188" t="str">
        <f>""</f>
        <v/>
      </c>
      <c r="F2188" t="str">
        <f>""</f>
        <v/>
      </c>
      <c r="G2188" s="3">
        <v>683.66</v>
      </c>
      <c r="H2188" t="str">
        <f t="shared" si="44"/>
        <v>BCBS PAYABLE</v>
      </c>
    </row>
    <row r="2189" spans="5:8" x14ac:dyDescent="0.25">
      <c r="E2189" t="str">
        <f>""</f>
        <v/>
      </c>
      <c r="F2189" t="str">
        <f>""</f>
        <v/>
      </c>
      <c r="G2189" s="3">
        <v>683.66</v>
      </c>
      <c r="H2189" t="str">
        <f t="shared" si="44"/>
        <v>BCBS PAYABLE</v>
      </c>
    </row>
    <row r="2190" spans="5:8" x14ac:dyDescent="0.25">
      <c r="E2190" t="str">
        <f>""</f>
        <v/>
      </c>
      <c r="F2190" t="str">
        <f>""</f>
        <v/>
      </c>
      <c r="G2190" s="3">
        <v>37.020000000000003</v>
      </c>
      <c r="H2190" t="str">
        <f t="shared" si="44"/>
        <v>BCBS PAYABLE</v>
      </c>
    </row>
    <row r="2191" spans="5:8" x14ac:dyDescent="0.25">
      <c r="E2191" t="str">
        <f>""</f>
        <v/>
      </c>
      <c r="F2191" t="str">
        <f>""</f>
        <v/>
      </c>
      <c r="G2191" s="3">
        <v>2474.83</v>
      </c>
      <c r="H2191" t="str">
        <f t="shared" si="44"/>
        <v>BCBS PAYABLE</v>
      </c>
    </row>
    <row r="2192" spans="5:8" x14ac:dyDescent="0.25">
      <c r="E2192" t="str">
        <f>""</f>
        <v/>
      </c>
      <c r="F2192" t="str">
        <f>""</f>
        <v/>
      </c>
      <c r="G2192" s="3">
        <v>2671.68</v>
      </c>
      <c r="H2192" t="str">
        <f t="shared" si="44"/>
        <v>BCBS PAYABLE</v>
      </c>
    </row>
    <row r="2193" spans="5:8" x14ac:dyDescent="0.25">
      <c r="E2193" t="str">
        <f>""</f>
        <v/>
      </c>
      <c r="F2193" t="str">
        <f>""</f>
        <v/>
      </c>
      <c r="G2193" s="3">
        <v>4035.89</v>
      </c>
      <c r="H2193" t="str">
        <f t="shared" si="44"/>
        <v>BCBS PAYABLE</v>
      </c>
    </row>
    <row r="2194" spans="5:8" x14ac:dyDescent="0.25">
      <c r="E2194" t="str">
        <f>""</f>
        <v/>
      </c>
      <c r="F2194" t="str">
        <f>""</f>
        <v/>
      </c>
      <c r="G2194" s="3">
        <v>4040.99</v>
      </c>
      <c r="H2194" t="str">
        <f t="shared" si="44"/>
        <v>BCBS PAYABLE</v>
      </c>
    </row>
    <row r="2195" spans="5:8" x14ac:dyDescent="0.25">
      <c r="E2195" t="str">
        <f>""</f>
        <v/>
      </c>
      <c r="F2195" t="str">
        <f>""</f>
        <v/>
      </c>
      <c r="G2195" s="3">
        <v>683.66</v>
      </c>
      <c r="H2195" t="str">
        <f t="shared" si="44"/>
        <v>BCBS PAYABLE</v>
      </c>
    </row>
    <row r="2196" spans="5:8" x14ac:dyDescent="0.25">
      <c r="E2196" t="str">
        <f>""</f>
        <v/>
      </c>
      <c r="F2196" t="str">
        <f>""</f>
        <v/>
      </c>
      <c r="G2196" s="3">
        <v>596.07000000000005</v>
      </c>
      <c r="H2196" t="str">
        <f t="shared" si="44"/>
        <v>BCBS PAYABLE</v>
      </c>
    </row>
    <row r="2197" spans="5:8" x14ac:dyDescent="0.25">
      <c r="E2197" t="str">
        <f>""</f>
        <v/>
      </c>
      <c r="F2197" t="str">
        <f>""</f>
        <v/>
      </c>
      <c r="G2197" s="3">
        <v>117.17</v>
      </c>
      <c r="H2197" t="str">
        <f t="shared" si="44"/>
        <v>BCBS PAYABLE</v>
      </c>
    </row>
    <row r="2198" spans="5:8" x14ac:dyDescent="0.25">
      <c r="E2198" t="str">
        <f>""</f>
        <v/>
      </c>
      <c r="F2198" t="str">
        <f>""</f>
        <v/>
      </c>
      <c r="G2198" s="3">
        <v>13.07</v>
      </c>
      <c r="H2198" t="str">
        <f t="shared" si="44"/>
        <v>BCBS PAYABLE</v>
      </c>
    </row>
    <row r="2199" spans="5:8" x14ac:dyDescent="0.25">
      <c r="E2199" t="str">
        <f>""</f>
        <v/>
      </c>
      <c r="F2199" t="str">
        <f>""</f>
        <v/>
      </c>
      <c r="G2199" s="3">
        <v>340.4</v>
      </c>
      <c r="H2199" t="str">
        <f t="shared" si="44"/>
        <v>BCBS PAYABLE</v>
      </c>
    </row>
    <row r="2200" spans="5:8" x14ac:dyDescent="0.25">
      <c r="E2200" t="str">
        <f>"2EO202108175281"</f>
        <v>2EO202108175281</v>
      </c>
      <c r="F2200" t="str">
        <f>"BCBS PAYABLE"</f>
        <v>BCBS PAYABLE</v>
      </c>
      <c r="G2200" s="3">
        <v>3076.47</v>
      </c>
      <c r="H2200" t="str">
        <f t="shared" si="44"/>
        <v>BCBS PAYABLE</v>
      </c>
    </row>
    <row r="2201" spans="5:8" x14ac:dyDescent="0.25">
      <c r="E2201" t="str">
        <f>"2ES202108045059"</f>
        <v>2ES202108045059</v>
      </c>
      <c r="F2201" t="str">
        <f>"BCBS PAYABLE"</f>
        <v>BCBS PAYABLE</v>
      </c>
      <c r="G2201" s="3">
        <v>341.83</v>
      </c>
      <c r="H2201" t="str">
        <f t="shared" si="44"/>
        <v>BCBS PAYABLE</v>
      </c>
    </row>
    <row r="2202" spans="5:8" x14ac:dyDescent="0.25">
      <c r="E2202" t="str">
        <f>""</f>
        <v/>
      </c>
      <c r="F2202" t="str">
        <f>""</f>
        <v/>
      </c>
      <c r="G2202" s="3">
        <v>341.83</v>
      </c>
      <c r="H2202" t="str">
        <f t="shared" si="44"/>
        <v>BCBS PAYABLE</v>
      </c>
    </row>
    <row r="2203" spans="5:8" x14ac:dyDescent="0.25">
      <c r="E2203" t="str">
        <f>""</f>
        <v/>
      </c>
      <c r="F2203" t="str">
        <f>""</f>
        <v/>
      </c>
      <c r="G2203" s="3">
        <v>341.83</v>
      </c>
      <c r="H2203" t="str">
        <f t="shared" si="44"/>
        <v>BCBS PAYABLE</v>
      </c>
    </row>
    <row r="2204" spans="5:8" x14ac:dyDescent="0.25">
      <c r="E2204" t="str">
        <f>""</f>
        <v/>
      </c>
      <c r="F2204" t="str">
        <f>""</f>
        <v/>
      </c>
      <c r="G2204" s="3">
        <v>341.83</v>
      </c>
      <c r="H2204" t="str">
        <f t="shared" si="44"/>
        <v>BCBS PAYABLE</v>
      </c>
    </row>
    <row r="2205" spans="5:8" x14ac:dyDescent="0.25">
      <c r="E2205" t="str">
        <f>""</f>
        <v/>
      </c>
      <c r="F2205" t="str">
        <f>""</f>
        <v/>
      </c>
      <c r="G2205" s="3">
        <v>341.83</v>
      </c>
      <c r="H2205" t="str">
        <f t="shared" si="44"/>
        <v>BCBS PAYABLE</v>
      </c>
    </row>
    <row r="2206" spans="5:8" x14ac:dyDescent="0.25">
      <c r="E2206" t="str">
        <f>""</f>
        <v/>
      </c>
      <c r="F2206" t="str">
        <f>""</f>
        <v/>
      </c>
      <c r="G2206" s="3">
        <v>341.83</v>
      </c>
      <c r="H2206" t="str">
        <f t="shared" si="44"/>
        <v>BCBS PAYABLE</v>
      </c>
    </row>
    <row r="2207" spans="5:8" x14ac:dyDescent="0.25">
      <c r="E2207" t="str">
        <f>""</f>
        <v/>
      </c>
      <c r="F2207" t="str">
        <f>""</f>
        <v/>
      </c>
      <c r="G2207" s="3">
        <v>341.83</v>
      </c>
      <c r="H2207" t="str">
        <f t="shared" si="44"/>
        <v>BCBS PAYABLE</v>
      </c>
    </row>
    <row r="2208" spans="5:8" x14ac:dyDescent="0.25">
      <c r="E2208" t="str">
        <f>""</f>
        <v/>
      </c>
      <c r="F2208" t="str">
        <f>""</f>
        <v/>
      </c>
      <c r="G2208" s="3">
        <v>341.83</v>
      </c>
      <c r="H2208" t="str">
        <f t="shared" si="44"/>
        <v>BCBS PAYABLE</v>
      </c>
    </row>
    <row r="2209" spans="5:8" x14ac:dyDescent="0.25">
      <c r="E2209" t="str">
        <f>""</f>
        <v/>
      </c>
      <c r="F2209" t="str">
        <f>""</f>
        <v/>
      </c>
      <c r="G2209" s="3">
        <v>683.66</v>
      </c>
      <c r="H2209" t="str">
        <f t="shared" si="44"/>
        <v>BCBS PAYABLE</v>
      </c>
    </row>
    <row r="2210" spans="5:8" x14ac:dyDescent="0.25">
      <c r="E2210" t="str">
        <f>""</f>
        <v/>
      </c>
      <c r="F2210" t="str">
        <f>""</f>
        <v/>
      </c>
      <c r="G2210" s="3">
        <v>683.66</v>
      </c>
      <c r="H2210" t="str">
        <f t="shared" si="44"/>
        <v>BCBS PAYABLE</v>
      </c>
    </row>
    <row r="2211" spans="5:8" x14ac:dyDescent="0.25">
      <c r="E2211" t="str">
        <f>""</f>
        <v/>
      </c>
      <c r="F2211" t="str">
        <f>""</f>
        <v/>
      </c>
      <c r="G2211" s="3">
        <v>2761.33</v>
      </c>
      <c r="H2211" t="str">
        <f t="shared" si="44"/>
        <v>BCBS PAYABLE</v>
      </c>
    </row>
    <row r="2212" spans="5:8" x14ac:dyDescent="0.25">
      <c r="E2212" t="str">
        <f>""</f>
        <v/>
      </c>
      <c r="F2212" t="str">
        <f>""</f>
        <v/>
      </c>
      <c r="G2212" s="3">
        <v>2024.29</v>
      </c>
      <c r="H2212" t="str">
        <f t="shared" si="44"/>
        <v>BCBS PAYABLE</v>
      </c>
    </row>
    <row r="2213" spans="5:8" x14ac:dyDescent="0.25">
      <c r="E2213" t="str">
        <f>""</f>
        <v/>
      </c>
      <c r="F2213" t="str">
        <f>""</f>
        <v/>
      </c>
      <c r="G2213" s="3">
        <v>341.83</v>
      </c>
      <c r="H2213" t="str">
        <f t="shared" si="44"/>
        <v>BCBS PAYABLE</v>
      </c>
    </row>
    <row r="2214" spans="5:8" x14ac:dyDescent="0.25">
      <c r="E2214" t="str">
        <f>""</f>
        <v/>
      </c>
      <c r="F2214" t="str">
        <f>""</f>
        <v/>
      </c>
      <c r="G2214" s="3">
        <v>341.83</v>
      </c>
      <c r="H2214" t="str">
        <f t="shared" si="44"/>
        <v>BCBS PAYABLE</v>
      </c>
    </row>
    <row r="2215" spans="5:8" x14ac:dyDescent="0.25">
      <c r="E2215" t="str">
        <f>""</f>
        <v/>
      </c>
      <c r="F2215" t="str">
        <f>""</f>
        <v/>
      </c>
      <c r="G2215" s="3">
        <v>683.66</v>
      </c>
      <c r="H2215" t="str">
        <f t="shared" si="44"/>
        <v>BCBS PAYABLE</v>
      </c>
    </row>
    <row r="2216" spans="5:8" x14ac:dyDescent="0.25">
      <c r="E2216" t="str">
        <f>""</f>
        <v/>
      </c>
      <c r="F2216" t="str">
        <f>""</f>
        <v/>
      </c>
      <c r="G2216" s="3">
        <v>341.83</v>
      </c>
      <c r="H2216" t="str">
        <f t="shared" si="44"/>
        <v>BCBS PAYABLE</v>
      </c>
    </row>
    <row r="2217" spans="5:8" x14ac:dyDescent="0.25">
      <c r="E2217" t="str">
        <f>""</f>
        <v/>
      </c>
      <c r="F2217" t="str">
        <f>""</f>
        <v/>
      </c>
      <c r="G2217" s="3">
        <v>683.66</v>
      </c>
      <c r="H2217" t="str">
        <f t="shared" ref="H2217:H2238" si="45">"BCBS PAYABLE"</f>
        <v>BCBS PAYABLE</v>
      </c>
    </row>
    <row r="2218" spans="5:8" x14ac:dyDescent="0.25">
      <c r="E2218" t="str">
        <f>""</f>
        <v/>
      </c>
      <c r="F2218" t="str">
        <f>""</f>
        <v/>
      </c>
      <c r="G2218" s="3">
        <v>341.83</v>
      </c>
      <c r="H2218" t="str">
        <f t="shared" si="45"/>
        <v>BCBS PAYABLE</v>
      </c>
    </row>
    <row r="2219" spans="5:8" x14ac:dyDescent="0.25">
      <c r="E2219" t="str">
        <f>""</f>
        <v/>
      </c>
      <c r="F2219" t="str">
        <f>""</f>
        <v/>
      </c>
      <c r="G2219" s="3">
        <v>6861.2</v>
      </c>
      <c r="H2219" t="str">
        <f t="shared" si="45"/>
        <v>BCBS PAYABLE</v>
      </c>
    </row>
    <row r="2220" spans="5:8" x14ac:dyDescent="0.25">
      <c r="E2220" t="str">
        <f>"2ES202108175280"</f>
        <v>2ES202108175280</v>
      </c>
      <c r="F2220" t="str">
        <f>"BCBS PAYABLE"</f>
        <v>BCBS PAYABLE</v>
      </c>
      <c r="G2220" s="3">
        <v>341.83</v>
      </c>
      <c r="H2220" t="str">
        <f t="shared" si="45"/>
        <v>BCBS PAYABLE</v>
      </c>
    </row>
    <row r="2221" spans="5:8" x14ac:dyDescent="0.25">
      <c r="E2221" t="str">
        <f>""</f>
        <v/>
      </c>
      <c r="F2221" t="str">
        <f>""</f>
        <v/>
      </c>
      <c r="G2221" s="3">
        <v>341.83</v>
      </c>
      <c r="H2221" t="str">
        <f t="shared" si="45"/>
        <v>BCBS PAYABLE</v>
      </c>
    </row>
    <row r="2222" spans="5:8" x14ac:dyDescent="0.25">
      <c r="E2222" t="str">
        <f>""</f>
        <v/>
      </c>
      <c r="F2222" t="str">
        <f>""</f>
        <v/>
      </c>
      <c r="G2222" s="3">
        <v>341.83</v>
      </c>
      <c r="H2222" t="str">
        <f t="shared" si="45"/>
        <v>BCBS PAYABLE</v>
      </c>
    </row>
    <row r="2223" spans="5:8" x14ac:dyDescent="0.25">
      <c r="E2223" t="str">
        <f>""</f>
        <v/>
      </c>
      <c r="F2223" t="str">
        <f>""</f>
        <v/>
      </c>
      <c r="G2223" s="3">
        <v>341.83</v>
      </c>
      <c r="H2223" t="str">
        <f t="shared" si="45"/>
        <v>BCBS PAYABLE</v>
      </c>
    </row>
    <row r="2224" spans="5:8" x14ac:dyDescent="0.25">
      <c r="E2224" t="str">
        <f>""</f>
        <v/>
      </c>
      <c r="F2224" t="str">
        <f>""</f>
        <v/>
      </c>
      <c r="G2224" s="3">
        <v>341.83</v>
      </c>
      <c r="H2224" t="str">
        <f t="shared" si="45"/>
        <v>BCBS PAYABLE</v>
      </c>
    </row>
    <row r="2225" spans="1:8" x14ac:dyDescent="0.25">
      <c r="E2225" t="str">
        <f>""</f>
        <v/>
      </c>
      <c r="F2225" t="str">
        <f>""</f>
        <v/>
      </c>
      <c r="G2225" s="3">
        <v>341.83</v>
      </c>
      <c r="H2225" t="str">
        <f t="shared" si="45"/>
        <v>BCBS PAYABLE</v>
      </c>
    </row>
    <row r="2226" spans="1:8" x14ac:dyDescent="0.25">
      <c r="E2226" t="str">
        <f>""</f>
        <v/>
      </c>
      <c r="F2226" t="str">
        <f>""</f>
        <v/>
      </c>
      <c r="G2226" s="3">
        <v>341.83</v>
      </c>
      <c r="H2226" t="str">
        <f t="shared" si="45"/>
        <v>BCBS PAYABLE</v>
      </c>
    </row>
    <row r="2227" spans="1:8" x14ac:dyDescent="0.25">
      <c r="E2227" t="str">
        <f>""</f>
        <v/>
      </c>
      <c r="F2227" t="str">
        <f>""</f>
        <v/>
      </c>
      <c r="G2227" s="3">
        <v>341.83</v>
      </c>
      <c r="H2227" t="str">
        <f t="shared" si="45"/>
        <v>BCBS PAYABLE</v>
      </c>
    </row>
    <row r="2228" spans="1:8" x14ac:dyDescent="0.25">
      <c r="E2228" t="str">
        <f>""</f>
        <v/>
      </c>
      <c r="F2228" t="str">
        <f>""</f>
        <v/>
      </c>
      <c r="G2228" s="3">
        <v>683.66</v>
      </c>
      <c r="H2228" t="str">
        <f t="shared" si="45"/>
        <v>BCBS PAYABLE</v>
      </c>
    </row>
    <row r="2229" spans="1:8" x14ac:dyDescent="0.25">
      <c r="E2229" t="str">
        <f>""</f>
        <v/>
      </c>
      <c r="F2229" t="str">
        <f>""</f>
        <v/>
      </c>
      <c r="G2229" s="3">
        <v>683.66</v>
      </c>
      <c r="H2229" t="str">
        <f t="shared" si="45"/>
        <v>BCBS PAYABLE</v>
      </c>
    </row>
    <row r="2230" spans="1:8" x14ac:dyDescent="0.25">
      <c r="E2230" t="str">
        <f>""</f>
        <v/>
      </c>
      <c r="F2230" t="str">
        <f>""</f>
        <v/>
      </c>
      <c r="G2230" s="3">
        <v>2763.92</v>
      </c>
      <c r="H2230" t="str">
        <f t="shared" si="45"/>
        <v>BCBS PAYABLE</v>
      </c>
    </row>
    <row r="2231" spans="1:8" x14ac:dyDescent="0.25">
      <c r="E2231" t="str">
        <f>""</f>
        <v/>
      </c>
      <c r="F2231" t="str">
        <f>""</f>
        <v/>
      </c>
      <c r="G2231" s="3">
        <v>2021.7</v>
      </c>
      <c r="H2231" t="str">
        <f t="shared" si="45"/>
        <v>BCBS PAYABLE</v>
      </c>
    </row>
    <row r="2232" spans="1:8" x14ac:dyDescent="0.25">
      <c r="E2232" t="str">
        <f>""</f>
        <v/>
      </c>
      <c r="F2232" t="str">
        <f>""</f>
        <v/>
      </c>
      <c r="G2232" s="3">
        <v>341.83</v>
      </c>
      <c r="H2232" t="str">
        <f t="shared" si="45"/>
        <v>BCBS PAYABLE</v>
      </c>
    </row>
    <row r="2233" spans="1:8" x14ac:dyDescent="0.25">
      <c r="E2233" t="str">
        <f>""</f>
        <v/>
      </c>
      <c r="F2233" t="str">
        <f>""</f>
        <v/>
      </c>
      <c r="G2233" s="3">
        <v>341.83</v>
      </c>
      <c r="H2233" t="str">
        <f t="shared" si="45"/>
        <v>BCBS PAYABLE</v>
      </c>
    </row>
    <row r="2234" spans="1:8" x14ac:dyDescent="0.25">
      <c r="E2234" t="str">
        <f>""</f>
        <v/>
      </c>
      <c r="F2234" t="str">
        <f>""</f>
        <v/>
      </c>
      <c r="G2234" s="3">
        <v>683.66</v>
      </c>
      <c r="H2234" t="str">
        <f t="shared" si="45"/>
        <v>BCBS PAYABLE</v>
      </c>
    </row>
    <row r="2235" spans="1:8" x14ac:dyDescent="0.25">
      <c r="E2235" t="str">
        <f>""</f>
        <v/>
      </c>
      <c r="F2235" t="str">
        <f>""</f>
        <v/>
      </c>
      <c r="G2235" s="3">
        <v>341.83</v>
      </c>
      <c r="H2235" t="str">
        <f t="shared" si="45"/>
        <v>BCBS PAYABLE</v>
      </c>
    </row>
    <row r="2236" spans="1:8" x14ac:dyDescent="0.25">
      <c r="E2236" t="str">
        <f>""</f>
        <v/>
      </c>
      <c r="F2236" t="str">
        <f>""</f>
        <v/>
      </c>
      <c r="G2236" s="3">
        <v>683.66</v>
      </c>
      <c r="H2236" t="str">
        <f t="shared" si="45"/>
        <v>BCBS PAYABLE</v>
      </c>
    </row>
    <row r="2237" spans="1:8" x14ac:dyDescent="0.25">
      <c r="E2237" t="str">
        <f>""</f>
        <v/>
      </c>
      <c r="F2237" t="str">
        <f>""</f>
        <v/>
      </c>
      <c r="G2237" s="3">
        <v>341.83</v>
      </c>
      <c r="H2237" t="str">
        <f t="shared" si="45"/>
        <v>BCBS PAYABLE</v>
      </c>
    </row>
    <row r="2238" spans="1:8" x14ac:dyDescent="0.25">
      <c r="E2238" t="str">
        <f>""</f>
        <v/>
      </c>
      <c r="F2238" t="str">
        <f>""</f>
        <v/>
      </c>
      <c r="G2238" s="3">
        <v>6861.2</v>
      </c>
      <c r="H2238" t="str">
        <f t="shared" si="45"/>
        <v>BCBS PAYABLE</v>
      </c>
    </row>
    <row r="2239" spans="1:8" x14ac:dyDescent="0.25">
      <c r="A2239" t="s">
        <v>405</v>
      </c>
      <c r="B2239">
        <v>1223</v>
      </c>
      <c r="C2239" s="3">
        <v>9157.2800000000007</v>
      </c>
      <c r="D2239" s="6">
        <v>44414</v>
      </c>
      <c r="E2239" t="str">
        <f>"FSA202108045059"</f>
        <v>FSA202108045059</v>
      </c>
      <c r="F2239" t="str">
        <f>"TASC FSA"</f>
        <v>TASC FSA</v>
      </c>
      <c r="G2239" s="3">
        <v>7175.1</v>
      </c>
      <c r="H2239" t="str">
        <f>"TASC FSA"</f>
        <v>TASC FSA</v>
      </c>
    </row>
    <row r="2240" spans="1:8" x14ac:dyDescent="0.25">
      <c r="E2240" t="str">
        <f>"FSA202108045060"</f>
        <v>FSA202108045060</v>
      </c>
      <c r="F2240" t="str">
        <f>"TASC FSA"</f>
        <v>TASC FSA</v>
      </c>
      <c r="G2240" s="3">
        <v>328.74</v>
      </c>
      <c r="H2240" t="str">
        <f>"TASC FSA"</f>
        <v>TASC FSA</v>
      </c>
    </row>
    <row r="2241" spans="5:8" x14ac:dyDescent="0.25">
      <c r="E2241" t="str">
        <f>"FSC202108045059"</f>
        <v>FSC202108045059</v>
      </c>
      <c r="F2241" t="str">
        <f>"TASC DEPENDENT CARE"</f>
        <v>TASC DEPENDENT CARE</v>
      </c>
      <c r="G2241" s="3">
        <v>50</v>
      </c>
      <c r="H2241" t="str">
        <f>"TASC DEPENDENT CARE"</f>
        <v>TASC DEPENDENT CARE</v>
      </c>
    </row>
    <row r="2242" spans="5:8" x14ac:dyDescent="0.25">
      <c r="E2242" t="str">
        <f>"FSF202108045059"</f>
        <v>FSF202108045059</v>
      </c>
      <c r="F2242" t="str">
        <f>"TASC - FSA  FEES"</f>
        <v>TASC - FSA  FEES</v>
      </c>
      <c r="G2242" s="3">
        <v>12.38</v>
      </c>
      <c r="H2242" t="str">
        <f t="shared" ref="H2242:H2281" si="46">"TASC - FSA  FEES"</f>
        <v>TASC - FSA  FEES</v>
      </c>
    </row>
    <row r="2243" spans="5:8" x14ac:dyDescent="0.25">
      <c r="E2243" t="str">
        <f>""</f>
        <v/>
      </c>
      <c r="F2243" t="str">
        <f>""</f>
        <v/>
      </c>
      <c r="G2243" s="3">
        <v>3.6</v>
      </c>
      <c r="H2243" t="str">
        <f t="shared" si="46"/>
        <v>TASC - FSA  FEES</v>
      </c>
    </row>
    <row r="2244" spans="5:8" x14ac:dyDescent="0.25">
      <c r="E2244" t="str">
        <f>""</f>
        <v/>
      </c>
      <c r="F2244" t="str">
        <f>""</f>
        <v/>
      </c>
      <c r="G2244" s="3">
        <v>9</v>
      </c>
      <c r="H2244" t="str">
        <f t="shared" si="46"/>
        <v>TASC - FSA  FEES</v>
      </c>
    </row>
    <row r="2245" spans="5:8" x14ac:dyDescent="0.25">
      <c r="E2245" t="str">
        <f>""</f>
        <v/>
      </c>
      <c r="F2245" t="str">
        <f>""</f>
        <v/>
      </c>
      <c r="G2245" s="3">
        <v>5.15</v>
      </c>
      <c r="H2245" t="str">
        <f t="shared" si="46"/>
        <v>TASC - FSA  FEES</v>
      </c>
    </row>
    <row r="2246" spans="5:8" x14ac:dyDescent="0.25">
      <c r="E2246" t="str">
        <f>""</f>
        <v/>
      </c>
      <c r="F2246" t="str">
        <f>""</f>
        <v/>
      </c>
      <c r="G2246" s="3">
        <v>3.6</v>
      </c>
      <c r="H2246" t="str">
        <f t="shared" si="46"/>
        <v>TASC - FSA  FEES</v>
      </c>
    </row>
    <row r="2247" spans="5:8" x14ac:dyDescent="0.25">
      <c r="E2247" t="str">
        <f>""</f>
        <v/>
      </c>
      <c r="F2247" t="str">
        <f>""</f>
        <v/>
      </c>
      <c r="G2247" s="3">
        <v>9</v>
      </c>
      <c r="H2247" t="str">
        <f t="shared" si="46"/>
        <v>TASC - FSA  FEES</v>
      </c>
    </row>
    <row r="2248" spans="5:8" x14ac:dyDescent="0.25">
      <c r="E2248" t="str">
        <f>""</f>
        <v/>
      </c>
      <c r="F2248" t="str">
        <f>""</f>
        <v/>
      </c>
      <c r="G2248" s="3">
        <v>5.4</v>
      </c>
      <c r="H2248" t="str">
        <f t="shared" si="46"/>
        <v>TASC - FSA  FEES</v>
      </c>
    </row>
    <row r="2249" spans="5:8" x14ac:dyDescent="0.25">
      <c r="E2249" t="str">
        <f>""</f>
        <v/>
      </c>
      <c r="F2249" t="str">
        <f>""</f>
        <v/>
      </c>
      <c r="G2249" s="3">
        <v>3.6</v>
      </c>
      <c r="H2249" t="str">
        <f t="shared" si="46"/>
        <v>TASC - FSA  FEES</v>
      </c>
    </row>
    <row r="2250" spans="5:8" x14ac:dyDescent="0.25">
      <c r="E2250" t="str">
        <f>""</f>
        <v/>
      </c>
      <c r="F2250" t="str">
        <f>""</f>
        <v/>
      </c>
      <c r="G2250" s="3">
        <v>1.8</v>
      </c>
      <c r="H2250" t="str">
        <f t="shared" si="46"/>
        <v>TASC - FSA  FEES</v>
      </c>
    </row>
    <row r="2251" spans="5:8" x14ac:dyDescent="0.25">
      <c r="E2251" t="str">
        <f>""</f>
        <v/>
      </c>
      <c r="F2251" t="str">
        <f>""</f>
        <v/>
      </c>
      <c r="G2251" s="3">
        <v>15.56</v>
      </c>
      <c r="H2251" t="str">
        <f t="shared" si="46"/>
        <v>TASC - FSA  FEES</v>
      </c>
    </row>
    <row r="2252" spans="5:8" x14ac:dyDescent="0.25">
      <c r="E2252" t="str">
        <f>""</f>
        <v/>
      </c>
      <c r="F2252" t="str">
        <f>""</f>
        <v/>
      </c>
      <c r="G2252" s="3">
        <v>3.6</v>
      </c>
      <c r="H2252" t="str">
        <f t="shared" si="46"/>
        <v>TASC - FSA  FEES</v>
      </c>
    </row>
    <row r="2253" spans="5:8" x14ac:dyDescent="0.25">
      <c r="E2253" t="str">
        <f>""</f>
        <v/>
      </c>
      <c r="F2253" t="str">
        <f>""</f>
        <v/>
      </c>
      <c r="G2253" s="3">
        <v>3.6</v>
      </c>
      <c r="H2253" t="str">
        <f t="shared" si="46"/>
        <v>TASC - FSA  FEES</v>
      </c>
    </row>
    <row r="2254" spans="5:8" x14ac:dyDescent="0.25">
      <c r="E2254" t="str">
        <f>""</f>
        <v/>
      </c>
      <c r="F2254" t="str">
        <f>""</f>
        <v/>
      </c>
      <c r="G2254" s="3">
        <v>1.8</v>
      </c>
      <c r="H2254" t="str">
        <f t="shared" si="46"/>
        <v>TASC - FSA  FEES</v>
      </c>
    </row>
    <row r="2255" spans="5:8" x14ac:dyDescent="0.25">
      <c r="E2255" t="str">
        <f>""</f>
        <v/>
      </c>
      <c r="F2255" t="str">
        <f>""</f>
        <v/>
      </c>
      <c r="G2255" s="3">
        <v>5.4</v>
      </c>
      <c r="H2255" t="str">
        <f t="shared" si="46"/>
        <v>TASC - FSA  FEES</v>
      </c>
    </row>
    <row r="2256" spans="5:8" x14ac:dyDescent="0.25">
      <c r="E2256" t="str">
        <f>""</f>
        <v/>
      </c>
      <c r="F2256" t="str">
        <f>""</f>
        <v/>
      </c>
      <c r="G2256" s="3">
        <v>3.6</v>
      </c>
      <c r="H2256" t="str">
        <f t="shared" si="46"/>
        <v>TASC - FSA  FEES</v>
      </c>
    </row>
    <row r="2257" spans="5:8" x14ac:dyDescent="0.25">
      <c r="E2257" t="str">
        <f>""</f>
        <v/>
      </c>
      <c r="F2257" t="str">
        <f>""</f>
        <v/>
      </c>
      <c r="G2257" s="3">
        <v>14.4</v>
      </c>
      <c r="H2257" t="str">
        <f t="shared" si="46"/>
        <v>TASC - FSA  FEES</v>
      </c>
    </row>
    <row r="2258" spans="5:8" x14ac:dyDescent="0.25">
      <c r="E2258" t="str">
        <f>""</f>
        <v/>
      </c>
      <c r="F2258" t="str">
        <f>""</f>
        <v/>
      </c>
      <c r="G2258" s="3">
        <v>3.6</v>
      </c>
      <c r="H2258" t="str">
        <f t="shared" si="46"/>
        <v>TASC - FSA  FEES</v>
      </c>
    </row>
    <row r="2259" spans="5:8" x14ac:dyDescent="0.25">
      <c r="E2259" t="str">
        <f>""</f>
        <v/>
      </c>
      <c r="F2259" t="str">
        <f>""</f>
        <v/>
      </c>
      <c r="G2259" s="3">
        <v>12.6</v>
      </c>
      <c r="H2259" t="str">
        <f t="shared" si="46"/>
        <v>TASC - FSA  FEES</v>
      </c>
    </row>
    <row r="2260" spans="5:8" x14ac:dyDescent="0.25">
      <c r="E2260" t="str">
        <f>""</f>
        <v/>
      </c>
      <c r="F2260" t="str">
        <f>""</f>
        <v/>
      </c>
      <c r="G2260" s="3">
        <v>1.8</v>
      </c>
      <c r="H2260" t="str">
        <f t="shared" si="46"/>
        <v>TASC - FSA  FEES</v>
      </c>
    </row>
    <row r="2261" spans="5:8" x14ac:dyDescent="0.25">
      <c r="E2261" t="str">
        <f>""</f>
        <v/>
      </c>
      <c r="F2261" t="str">
        <f>""</f>
        <v/>
      </c>
      <c r="G2261" s="3">
        <v>1.8</v>
      </c>
      <c r="H2261" t="str">
        <f t="shared" si="46"/>
        <v>TASC - FSA  FEES</v>
      </c>
    </row>
    <row r="2262" spans="5:8" x14ac:dyDescent="0.25">
      <c r="E2262" t="str">
        <f>""</f>
        <v/>
      </c>
      <c r="F2262" t="str">
        <f>""</f>
        <v/>
      </c>
      <c r="G2262" s="3">
        <v>1.8</v>
      </c>
      <c r="H2262" t="str">
        <f t="shared" si="46"/>
        <v>TASC - FSA  FEES</v>
      </c>
    </row>
    <row r="2263" spans="5:8" x14ac:dyDescent="0.25">
      <c r="E2263" t="str">
        <f>""</f>
        <v/>
      </c>
      <c r="F2263" t="str">
        <f>""</f>
        <v/>
      </c>
      <c r="G2263" s="3">
        <v>36.520000000000003</v>
      </c>
      <c r="H2263" t="str">
        <f t="shared" si="46"/>
        <v>TASC - FSA  FEES</v>
      </c>
    </row>
    <row r="2264" spans="5:8" x14ac:dyDescent="0.25">
      <c r="E2264" t="str">
        <f>""</f>
        <v/>
      </c>
      <c r="F2264" t="str">
        <f>""</f>
        <v/>
      </c>
      <c r="G2264" s="3">
        <v>3.55</v>
      </c>
      <c r="H2264" t="str">
        <f t="shared" si="46"/>
        <v>TASC - FSA  FEES</v>
      </c>
    </row>
    <row r="2265" spans="5:8" x14ac:dyDescent="0.25">
      <c r="E2265" t="str">
        <f>""</f>
        <v/>
      </c>
      <c r="F2265" t="str">
        <f>""</f>
        <v/>
      </c>
      <c r="G2265" s="3">
        <v>37.33</v>
      </c>
      <c r="H2265" t="str">
        <f t="shared" si="46"/>
        <v>TASC - FSA  FEES</v>
      </c>
    </row>
    <row r="2266" spans="5:8" x14ac:dyDescent="0.25">
      <c r="E2266" t="str">
        <f>""</f>
        <v/>
      </c>
      <c r="F2266" t="str">
        <f>""</f>
        <v/>
      </c>
      <c r="G2266" s="3">
        <v>5.4</v>
      </c>
      <c r="H2266" t="str">
        <f t="shared" si="46"/>
        <v>TASC - FSA  FEES</v>
      </c>
    </row>
    <row r="2267" spans="5:8" x14ac:dyDescent="0.25">
      <c r="E2267" t="str">
        <f>""</f>
        <v/>
      </c>
      <c r="F2267" t="str">
        <f>""</f>
        <v/>
      </c>
      <c r="G2267" s="3">
        <v>1.8</v>
      </c>
      <c r="H2267" t="str">
        <f t="shared" si="46"/>
        <v>TASC - FSA  FEES</v>
      </c>
    </row>
    <row r="2268" spans="5:8" x14ac:dyDescent="0.25">
      <c r="E2268" t="str">
        <f>""</f>
        <v/>
      </c>
      <c r="F2268" t="str">
        <f>""</f>
        <v/>
      </c>
      <c r="G2268" s="3">
        <v>3.6</v>
      </c>
      <c r="H2268" t="str">
        <f t="shared" si="46"/>
        <v>TASC - FSA  FEES</v>
      </c>
    </row>
    <row r="2269" spans="5:8" x14ac:dyDescent="0.25">
      <c r="E2269" t="str">
        <f>""</f>
        <v/>
      </c>
      <c r="F2269" t="str">
        <f>""</f>
        <v/>
      </c>
      <c r="G2269" s="3">
        <v>0.46</v>
      </c>
      <c r="H2269" t="str">
        <f t="shared" si="46"/>
        <v>TASC - FSA  FEES</v>
      </c>
    </row>
    <row r="2270" spans="5:8" x14ac:dyDescent="0.25">
      <c r="E2270" t="str">
        <f>""</f>
        <v/>
      </c>
      <c r="F2270" t="str">
        <f>""</f>
        <v/>
      </c>
      <c r="G2270" s="3">
        <v>3.6</v>
      </c>
      <c r="H2270" t="str">
        <f t="shared" si="46"/>
        <v>TASC - FSA  FEES</v>
      </c>
    </row>
    <row r="2271" spans="5:8" x14ac:dyDescent="0.25">
      <c r="E2271" t="str">
        <f>""</f>
        <v/>
      </c>
      <c r="F2271" t="str">
        <f>""</f>
        <v/>
      </c>
      <c r="G2271" s="3">
        <v>1.8</v>
      </c>
      <c r="H2271" t="str">
        <f t="shared" si="46"/>
        <v>TASC - FSA  FEES</v>
      </c>
    </row>
    <row r="2272" spans="5:8" x14ac:dyDescent="0.25">
      <c r="E2272" t="str">
        <f>""</f>
        <v/>
      </c>
      <c r="F2272" t="str">
        <f>""</f>
        <v/>
      </c>
      <c r="G2272" s="3">
        <v>2.02</v>
      </c>
      <c r="H2272" t="str">
        <f t="shared" si="46"/>
        <v>TASC - FSA  FEES</v>
      </c>
    </row>
    <row r="2273" spans="5:8" x14ac:dyDescent="0.25">
      <c r="E2273" t="str">
        <f>""</f>
        <v/>
      </c>
      <c r="F2273" t="str">
        <f>""</f>
        <v/>
      </c>
      <c r="G2273" s="3">
        <v>1.8</v>
      </c>
      <c r="H2273" t="str">
        <f t="shared" si="46"/>
        <v>TASC - FSA  FEES</v>
      </c>
    </row>
    <row r="2274" spans="5:8" x14ac:dyDescent="0.25">
      <c r="E2274" t="str">
        <f>""</f>
        <v/>
      </c>
      <c r="F2274" t="str">
        <f>""</f>
        <v/>
      </c>
      <c r="G2274" s="3">
        <v>9</v>
      </c>
      <c r="H2274" t="str">
        <f t="shared" si="46"/>
        <v>TASC - FSA  FEES</v>
      </c>
    </row>
    <row r="2275" spans="5:8" x14ac:dyDescent="0.25">
      <c r="E2275" t="str">
        <f>""</f>
        <v/>
      </c>
      <c r="F2275" t="str">
        <f>""</f>
        <v/>
      </c>
      <c r="G2275" s="3">
        <v>5.4</v>
      </c>
      <c r="H2275" t="str">
        <f t="shared" si="46"/>
        <v>TASC - FSA  FEES</v>
      </c>
    </row>
    <row r="2276" spans="5:8" x14ac:dyDescent="0.25">
      <c r="E2276" t="str">
        <f>""</f>
        <v/>
      </c>
      <c r="F2276" t="str">
        <f>""</f>
        <v/>
      </c>
      <c r="G2276" s="3">
        <v>1.8</v>
      </c>
      <c r="H2276" t="str">
        <f t="shared" si="46"/>
        <v>TASC - FSA  FEES</v>
      </c>
    </row>
    <row r="2277" spans="5:8" x14ac:dyDescent="0.25">
      <c r="E2277" t="str">
        <f>""</f>
        <v/>
      </c>
      <c r="F2277" t="str">
        <f>""</f>
        <v/>
      </c>
      <c r="G2277" s="3">
        <v>3.14</v>
      </c>
      <c r="H2277" t="str">
        <f t="shared" si="46"/>
        <v>TASC - FSA  FEES</v>
      </c>
    </row>
    <row r="2278" spans="5:8" x14ac:dyDescent="0.25">
      <c r="E2278" t="str">
        <f>""</f>
        <v/>
      </c>
      <c r="F2278" t="str">
        <f>""</f>
        <v/>
      </c>
      <c r="G2278" s="3">
        <v>0.56999999999999995</v>
      </c>
      <c r="H2278" t="str">
        <f t="shared" si="46"/>
        <v>TASC - FSA  FEES</v>
      </c>
    </row>
    <row r="2279" spans="5:8" x14ac:dyDescent="0.25">
      <c r="E2279" t="str">
        <f>""</f>
        <v/>
      </c>
      <c r="F2279" t="str">
        <f>""</f>
        <v/>
      </c>
      <c r="G2279" s="3">
        <v>7.0000000000000007E-2</v>
      </c>
      <c r="H2279" t="str">
        <f t="shared" si="46"/>
        <v>TASC - FSA  FEES</v>
      </c>
    </row>
    <row r="2280" spans="5:8" x14ac:dyDescent="0.25">
      <c r="E2280" t="str">
        <f>""</f>
        <v/>
      </c>
      <c r="F2280" t="str">
        <f>""</f>
        <v/>
      </c>
      <c r="G2280" s="3">
        <v>0.25</v>
      </c>
      <c r="H2280" t="str">
        <f t="shared" si="46"/>
        <v>TASC - FSA  FEES</v>
      </c>
    </row>
    <row r="2281" spans="5:8" x14ac:dyDescent="0.25">
      <c r="E2281" t="str">
        <f>"FSF202108045060"</f>
        <v>FSF202108045060</v>
      </c>
      <c r="F2281" t="str">
        <f>"TASC - FSA  FEES"</f>
        <v>TASC - FSA  FEES</v>
      </c>
      <c r="G2281" s="3">
        <v>10.8</v>
      </c>
      <c r="H2281" t="str">
        <f t="shared" si="46"/>
        <v>TASC - FSA  FEES</v>
      </c>
    </row>
    <row r="2282" spans="5:8" x14ac:dyDescent="0.25">
      <c r="E2282" t="str">
        <f>"HRA202108045059"</f>
        <v>HRA202108045059</v>
      </c>
      <c r="F2282" t="str">
        <f>"TASC HRA"</f>
        <v>TASC HRA</v>
      </c>
      <c r="G2282" s="3">
        <v>166.68</v>
      </c>
      <c r="H2282" t="str">
        <f>"TASC HRA"</f>
        <v>TASC HRA</v>
      </c>
    </row>
    <row r="2283" spans="5:8" x14ac:dyDescent="0.25">
      <c r="E2283" t="str">
        <f>""</f>
        <v/>
      </c>
      <c r="F2283" t="str">
        <f>""</f>
        <v/>
      </c>
      <c r="G2283" s="3">
        <v>166.68</v>
      </c>
      <c r="H2283" t="str">
        <f>"TASC HRA"</f>
        <v>TASC HRA</v>
      </c>
    </row>
    <row r="2284" spans="5:8" x14ac:dyDescent="0.25">
      <c r="E2284" t="str">
        <f>""</f>
        <v/>
      </c>
      <c r="F2284" t="str">
        <f>""</f>
        <v/>
      </c>
      <c r="G2284" s="3">
        <v>1.1599999999999999</v>
      </c>
      <c r="H2284" t="str">
        <f>"TASC HRA"</f>
        <v>TASC HRA</v>
      </c>
    </row>
    <row r="2285" spans="5:8" x14ac:dyDescent="0.25">
      <c r="E2285" t="str">
        <f>""</f>
        <v/>
      </c>
      <c r="F2285" t="str">
        <f>""</f>
        <v/>
      </c>
      <c r="G2285" s="3">
        <v>82.18</v>
      </c>
      <c r="H2285" t="str">
        <f>"TASC HRA"</f>
        <v>TASC HRA</v>
      </c>
    </row>
    <row r="2286" spans="5:8" x14ac:dyDescent="0.25">
      <c r="E2286" t="str">
        <f>""</f>
        <v/>
      </c>
      <c r="F2286" t="str">
        <f>""</f>
        <v/>
      </c>
      <c r="G2286" s="3">
        <v>83.34</v>
      </c>
      <c r="H2286" t="str">
        <f>"TASC HRA"</f>
        <v>TASC HRA</v>
      </c>
    </row>
    <row r="2287" spans="5:8" x14ac:dyDescent="0.25">
      <c r="E2287" t="str">
        <f>"HRF202108045059"</f>
        <v>HRF202108045059</v>
      </c>
      <c r="F2287" t="str">
        <f>"TASC - HRA FEES"</f>
        <v>TASC - HRA FEES</v>
      </c>
      <c r="G2287" s="3">
        <v>5.4</v>
      </c>
      <c r="H2287" t="str">
        <f t="shared" ref="H2287:H2318" si="47">"TASC - HRA FEES"</f>
        <v>TASC - HRA FEES</v>
      </c>
    </row>
    <row r="2288" spans="5:8" x14ac:dyDescent="0.25">
      <c r="E2288" t="str">
        <f>""</f>
        <v/>
      </c>
      <c r="F2288" t="str">
        <f>""</f>
        <v/>
      </c>
      <c r="G2288" s="3">
        <v>2.34</v>
      </c>
      <c r="H2288" t="str">
        <f t="shared" si="47"/>
        <v>TASC - HRA FEES</v>
      </c>
    </row>
    <row r="2289" spans="5:8" x14ac:dyDescent="0.25">
      <c r="E2289" t="str">
        <f>""</f>
        <v/>
      </c>
      <c r="F2289" t="str">
        <f>""</f>
        <v/>
      </c>
      <c r="G2289" s="3">
        <v>15.97</v>
      </c>
      <c r="H2289" t="str">
        <f t="shared" si="47"/>
        <v>TASC - HRA FEES</v>
      </c>
    </row>
    <row r="2290" spans="5:8" x14ac:dyDescent="0.25">
      <c r="E2290" t="str">
        <f>""</f>
        <v/>
      </c>
      <c r="F2290" t="str">
        <f>""</f>
        <v/>
      </c>
      <c r="G2290" s="3">
        <v>5.4</v>
      </c>
      <c r="H2290" t="str">
        <f t="shared" si="47"/>
        <v>TASC - HRA FEES</v>
      </c>
    </row>
    <row r="2291" spans="5:8" x14ac:dyDescent="0.25">
      <c r="E2291" t="str">
        <f>""</f>
        <v/>
      </c>
      <c r="F2291" t="str">
        <f>""</f>
        <v/>
      </c>
      <c r="G2291" s="3">
        <v>3.6</v>
      </c>
      <c r="H2291" t="str">
        <f t="shared" si="47"/>
        <v>TASC - HRA FEES</v>
      </c>
    </row>
    <row r="2292" spans="5:8" x14ac:dyDescent="0.25">
      <c r="E2292" t="str">
        <f>""</f>
        <v/>
      </c>
      <c r="F2292" t="str">
        <f>""</f>
        <v/>
      </c>
      <c r="G2292" s="3">
        <v>10.8</v>
      </c>
      <c r="H2292" t="str">
        <f t="shared" si="47"/>
        <v>TASC - HRA FEES</v>
      </c>
    </row>
    <row r="2293" spans="5:8" x14ac:dyDescent="0.25">
      <c r="E2293" t="str">
        <f>""</f>
        <v/>
      </c>
      <c r="F2293" t="str">
        <f>""</f>
        <v/>
      </c>
      <c r="G2293" s="3">
        <v>36</v>
      </c>
      <c r="H2293" t="str">
        <f t="shared" si="47"/>
        <v>TASC - HRA FEES</v>
      </c>
    </row>
    <row r="2294" spans="5:8" x14ac:dyDescent="0.25">
      <c r="E2294" t="str">
        <f>""</f>
        <v/>
      </c>
      <c r="F2294" t="str">
        <f>""</f>
        <v/>
      </c>
      <c r="G2294" s="3">
        <v>1.8</v>
      </c>
      <c r="H2294" t="str">
        <f t="shared" si="47"/>
        <v>TASC - HRA FEES</v>
      </c>
    </row>
    <row r="2295" spans="5:8" x14ac:dyDescent="0.25">
      <c r="E2295" t="str">
        <f>""</f>
        <v/>
      </c>
      <c r="F2295" t="str">
        <f>""</f>
        <v/>
      </c>
      <c r="G2295" s="3">
        <v>5.15</v>
      </c>
      <c r="H2295" t="str">
        <f t="shared" si="47"/>
        <v>TASC - HRA FEES</v>
      </c>
    </row>
    <row r="2296" spans="5:8" x14ac:dyDescent="0.25">
      <c r="E2296" t="str">
        <f>""</f>
        <v/>
      </c>
      <c r="F2296" t="str">
        <f>""</f>
        <v/>
      </c>
      <c r="G2296" s="3">
        <v>9</v>
      </c>
      <c r="H2296" t="str">
        <f t="shared" si="47"/>
        <v>TASC - HRA FEES</v>
      </c>
    </row>
    <row r="2297" spans="5:8" x14ac:dyDescent="0.25">
      <c r="E2297" t="str">
        <f>""</f>
        <v/>
      </c>
      <c r="F2297" t="str">
        <f>""</f>
        <v/>
      </c>
      <c r="G2297" s="3">
        <v>28.8</v>
      </c>
      <c r="H2297" t="str">
        <f t="shared" si="47"/>
        <v>TASC - HRA FEES</v>
      </c>
    </row>
    <row r="2298" spans="5:8" x14ac:dyDescent="0.25">
      <c r="E2298" t="str">
        <f>""</f>
        <v/>
      </c>
      <c r="F2298" t="str">
        <f>""</f>
        <v/>
      </c>
      <c r="G2298" s="3">
        <v>7.2</v>
      </c>
      <c r="H2298" t="str">
        <f t="shared" si="47"/>
        <v>TASC - HRA FEES</v>
      </c>
    </row>
    <row r="2299" spans="5:8" x14ac:dyDescent="0.25">
      <c r="E2299" t="str">
        <f>""</f>
        <v/>
      </c>
      <c r="F2299" t="str">
        <f>""</f>
        <v/>
      </c>
      <c r="G2299" s="3">
        <v>5.4</v>
      </c>
      <c r="H2299" t="str">
        <f t="shared" si="47"/>
        <v>TASC - HRA FEES</v>
      </c>
    </row>
    <row r="2300" spans="5:8" x14ac:dyDescent="0.25">
      <c r="E2300" t="str">
        <f>""</f>
        <v/>
      </c>
      <c r="F2300" t="str">
        <f>""</f>
        <v/>
      </c>
      <c r="G2300" s="3">
        <v>7.2</v>
      </c>
      <c r="H2300" t="str">
        <f t="shared" si="47"/>
        <v>TASC - HRA FEES</v>
      </c>
    </row>
    <row r="2301" spans="5:8" x14ac:dyDescent="0.25">
      <c r="E2301" t="str">
        <f>""</f>
        <v/>
      </c>
      <c r="F2301" t="str">
        <f>""</f>
        <v/>
      </c>
      <c r="G2301" s="3">
        <v>7.2</v>
      </c>
      <c r="H2301" t="str">
        <f t="shared" si="47"/>
        <v>TASC - HRA FEES</v>
      </c>
    </row>
    <row r="2302" spans="5:8" x14ac:dyDescent="0.25">
      <c r="E2302" t="str">
        <f>""</f>
        <v/>
      </c>
      <c r="F2302" t="str">
        <f>""</f>
        <v/>
      </c>
      <c r="G2302" s="3">
        <v>3.6</v>
      </c>
      <c r="H2302" t="str">
        <f t="shared" si="47"/>
        <v>TASC - HRA FEES</v>
      </c>
    </row>
    <row r="2303" spans="5:8" x14ac:dyDescent="0.25">
      <c r="E2303" t="str">
        <f>""</f>
        <v/>
      </c>
      <c r="F2303" t="str">
        <f>""</f>
        <v/>
      </c>
      <c r="G2303" s="3">
        <v>26.23</v>
      </c>
      <c r="H2303" t="str">
        <f t="shared" si="47"/>
        <v>TASC - HRA FEES</v>
      </c>
    </row>
    <row r="2304" spans="5:8" x14ac:dyDescent="0.25">
      <c r="E2304" t="str">
        <f>""</f>
        <v/>
      </c>
      <c r="F2304" t="str">
        <f>""</f>
        <v/>
      </c>
      <c r="G2304" s="3">
        <v>12.6</v>
      </c>
      <c r="H2304" t="str">
        <f t="shared" si="47"/>
        <v>TASC - HRA FEES</v>
      </c>
    </row>
    <row r="2305" spans="5:8" x14ac:dyDescent="0.25">
      <c r="E2305" t="str">
        <f>""</f>
        <v/>
      </c>
      <c r="F2305" t="str">
        <f>""</f>
        <v/>
      </c>
      <c r="G2305" s="3">
        <v>7.2</v>
      </c>
      <c r="H2305" t="str">
        <f t="shared" si="47"/>
        <v>TASC - HRA FEES</v>
      </c>
    </row>
    <row r="2306" spans="5:8" x14ac:dyDescent="0.25">
      <c r="E2306" t="str">
        <f>""</f>
        <v/>
      </c>
      <c r="F2306" t="str">
        <f>""</f>
        <v/>
      </c>
      <c r="G2306" s="3">
        <v>5.4</v>
      </c>
      <c r="H2306" t="str">
        <f t="shared" si="47"/>
        <v>TASC - HRA FEES</v>
      </c>
    </row>
    <row r="2307" spans="5:8" x14ac:dyDescent="0.25">
      <c r="E2307" t="str">
        <f>""</f>
        <v/>
      </c>
      <c r="F2307" t="str">
        <f>""</f>
        <v/>
      </c>
      <c r="G2307" s="3">
        <v>21.6</v>
      </c>
      <c r="H2307" t="str">
        <f t="shared" si="47"/>
        <v>TASC - HRA FEES</v>
      </c>
    </row>
    <row r="2308" spans="5:8" x14ac:dyDescent="0.25">
      <c r="E2308" t="str">
        <f>""</f>
        <v/>
      </c>
      <c r="F2308" t="str">
        <f>""</f>
        <v/>
      </c>
      <c r="G2308" s="3">
        <v>12.6</v>
      </c>
      <c r="H2308" t="str">
        <f t="shared" si="47"/>
        <v>TASC - HRA FEES</v>
      </c>
    </row>
    <row r="2309" spans="5:8" x14ac:dyDescent="0.25">
      <c r="E2309" t="str">
        <f>""</f>
        <v/>
      </c>
      <c r="F2309" t="str">
        <f>""</f>
        <v/>
      </c>
      <c r="G2309" s="3">
        <v>21.6</v>
      </c>
      <c r="H2309" t="str">
        <f t="shared" si="47"/>
        <v>TASC - HRA FEES</v>
      </c>
    </row>
    <row r="2310" spans="5:8" x14ac:dyDescent="0.25">
      <c r="E2310" t="str">
        <f>""</f>
        <v/>
      </c>
      <c r="F2310" t="str">
        <f>""</f>
        <v/>
      </c>
      <c r="G2310" s="3">
        <v>23.4</v>
      </c>
      <c r="H2310" t="str">
        <f t="shared" si="47"/>
        <v>TASC - HRA FEES</v>
      </c>
    </row>
    <row r="2311" spans="5:8" x14ac:dyDescent="0.25">
      <c r="E2311" t="str">
        <f>""</f>
        <v/>
      </c>
      <c r="F2311" t="str">
        <f>""</f>
        <v/>
      </c>
      <c r="G2311" s="3">
        <v>41.43</v>
      </c>
      <c r="H2311" t="str">
        <f t="shared" si="47"/>
        <v>TASC - HRA FEES</v>
      </c>
    </row>
    <row r="2312" spans="5:8" x14ac:dyDescent="0.25">
      <c r="E2312" t="str">
        <f>""</f>
        <v/>
      </c>
      <c r="F2312" t="str">
        <f>""</f>
        <v/>
      </c>
      <c r="G2312" s="3">
        <v>1.8</v>
      </c>
      <c r="H2312" t="str">
        <f t="shared" si="47"/>
        <v>TASC - HRA FEES</v>
      </c>
    </row>
    <row r="2313" spans="5:8" x14ac:dyDescent="0.25">
      <c r="E2313" t="str">
        <f>""</f>
        <v/>
      </c>
      <c r="F2313" t="str">
        <f>""</f>
        <v/>
      </c>
      <c r="G2313" s="3">
        <v>1.8</v>
      </c>
      <c r="H2313" t="str">
        <f t="shared" si="47"/>
        <v>TASC - HRA FEES</v>
      </c>
    </row>
    <row r="2314" spans="5:8" x14ac:dyDescent="0.25">
      <c r="E2314" t="str">
        <f>""</f>
        <v/>
      </c>
      <c r="F2314" t="str">
        <f>""</f>
        <v/>
      </c>
      <c r="G2314" s="3">
        <v>1.8</v>
      </c>
      <c r="H2314" t="str">
        <f t="shared" si="47"/>
        <v>TASC - HRA FEES</v>
      </c>
    </row>
    <row r="2315" spans="5:8" x14ac:dyDescent="0.25">
      <c r="E2315" t="str">
        <f>""</f>
        <v/>
      </c>
      <c r="F2315" t="str">
        <f>""</f>
        <v/>
      </c>
      <c r="G2315" s="3">
        <v>1.8</v>
      </c>
      <c r="H2315" t="str">
        <f t="shared" si="47"/>
        <v>TASC - HRA FEES</v>
      </c>
    </row>
    <row r="2316" spans="5:8" x14ac:dyDescent="0.25">
      <c r="E2316" t="str">
        <f>""</f>
        <v/>
      </c>
      <c r="F2316" t="str">
        <f>""</f>
        <v/>
      </c>
      <c r="G2316" s="3">
        <v>162.58000000000001</v>
      </c>
      <c r="H2316" t="str">
        <f t="shared" si="47"/>
        <v>TASC - HRA FEES</v>
      </c>
    </row>
    <row r="2317" spans="5:8" x14ac:dyDescent="0.25">
      <c r="E2317" t="str">
        <f>""</f>
        <v/>
      </c>
      <c r="F2317" t="str">
        <f>""</f>
        <v/>
      </c>
      <c r="G2317" s="3">
        <v>8.9</v>
      </c>
      <c r="H2317" t="str">
        <f t="shared" si="47"/>
        <v>TASC - HRA FEES</v>
      </c>
    </row>
    <row r="2318" spans="5:8" x14ac:dyDescent="0.25">
      <c r="E2318" t="str">
        <f>""</f>
        <v/>
      </c>
      <c r="F2318" t="str">
        <f>""</f>
        <v/>
      </c>
      <c r="G2318" s="3">
        <v>161.38</v>
      </c>
      <c r="H2318" t="str">
        <f t="shared" si="47"/>
        <v>TASC - HRA FEES</v>
      </c>
    </row>
    <row r="2319" spans="5:8" x14ac:dyDescent="0.25">
      <c r="E2319" t="str">
        <f>""</f>
        <v/>
      </c>
      <c r="F2319" t="str">
        <f>""</f>
        <v/>
      </c>
      <c r="G2319" s="3">
        <v>32.4</v>
      </c>
      <c r="H2319" t="str">
        <f t="shared" ref="H2319:H2338" si="48">"TASC - HRA FEES"</f>
        <v>TASC - HRA FEES</v>
      </c>
    </row>
    <row r="2320" spans="5:8" x14ac:dyDescent="0.25">
      <c r="E2320" t="str">
        <f>""</f>
        <v/>
      </c>
      <c r="F2320" t="str">
        <f>""</f>
        <v/>
      </c>
      <c r="G2320" s="3">
        <v>1.8</v>
      </c>
      <c r="H2320" t="str">
        <f t="shared" si="48"/>
        <v>TASC - HRA FEES</v>
      </c>
    </row>
    <row r="2321" spans="5:8" x14ac:dyDescent="0.25">
      <c r="E2321" t="str">
        <f>""</f>
        <v/>
      </c>
      <c r="F2321" t="str">
        <f>""</f>
        <v/>
      </c>
      <c r="G2321" s="3">
        <v>5.4</v>
      </c>
      <c r="H2321" t="str">
        <f t="shared" si="48"/>
        <v>TASC - HRA FEES</v>
      </c>
    </row>
    <row r="2322" spans="5:8" x14ac:dyDescent="0.25">
      <c r="E2322" t="str">
        <f>""</f>
        <v/>
      </c>
      <c r="F2322" t="str">
        <f>""</f>
        <v/>
      </c>
      <c r="G2322" s="3">
        <v>0.46</v>
      </c>
      <c r="H2322" t="str">
        <f t="shared" si="48"/>
        <v>TASC - HRA FEES</v>
      </c>
    </row>
    <row r="2323" spans="5:8" x14ac:dyDescent="0.25">
      <c r="E2323" t="str">
        <f>""</f>
        <v/>
      </c>
      <c r="F2323" t="str">
        <f>""</f>
        <v/>
      </c>
      <c r="G2323" s="3">
        <v>5.4</v>
      </c>
      <c r="H2323" t="str">
        <f t="shared" si="48"/>
        <v>TASC - HRA FEES</v>
      </c>
    </row>
    <row r="2324" spans="5:8" x14ac:dyDescent="0.25">
      <c r="E2324" t="str">
        <f>""</f>
        <v/>
      </c>
      <c r="F2324" t="str">
        <f>""</f>
        <v/>
      </c>
      <c r="G2324" s="3">
        <v>1.8</v>
      </c>
      <c r="H2324" t="str">
        <f t="shared" si="48"/>
        <v>TASC - HRA FEES</v>
      </c>
    </row>
    <row r="2325" spans="5:8" x14ac:dyDescent="0.25">
      <c r="E2325" t="str">
        <f>""</f>
        <v/>
      </c>
      <c r="F2325" t="str">
        <f>""</f>
        <v/>
      </c>
      <c r="G2325" s="3">
        <v>5.4</v>
      </c>
      <c r="H2325" t="str">
        <f t="shared" si="48"/>
        <v>TASC - HRA FEES</v>
      </c>
    </row>
    <row r="2326" spans="5:8" x14ac:dyDescent="0.25">
      <c r="E2326" t="str">
        <f>""</f>
        <v/>
      </c>
      <c r="F2326" t="str">
        <f>""</f>
        <v/>
      </c>
      <c r="G2326" s="3">
        <v>3.6</v>
      </c>
      <c r="H2326" t="str">
        <f t="shared" si="48"/>
        <v>TASC - HRA FEES</v>
      </c>
    </row>
    <row r="2327" spans="5:8" x14ac:dyDescent="0.25">
      <c r="E2327" t="str">
        <f>""</f>
        <v/>
      </c>
      <c r="F2327" t="str">
        <f>""</f>
        <v/>
      </c>
      <c r="G2327" s="3">
        <v>0.23</v>
      </c>
      <c r="H2327" t="str">
        <f t="shared" si="48"/>
        <v>TASC - HRA FEES</v>
      </c>
    </row>
    <row r="2328" spans="5:8" x14ac:dyDescent="0.25">
      <c r="E2328" t="str">
        <f>""</f>
        <v/>
      </c>
      <c r="F2328" t="str">
        <f>""</f>
        <v/>
      </c>
      <c r="G2328" s="3">
        <v>18.579999999999998</v>
      </c>
      <c r="H2328" t="str">
        <f t="shared" si="48"/>
        <v>TASC - HRA FEES</v>
      </c>
    </row>
    <row r="2329" spans="5:8" x14ac:dyDescent="0.25">
      <c r="E2329" t="str">
        <f>""</f>
        <v/>
      </c>
      <c r="F2329" t="str">
        <f>""</f>
        <v/>
      </c>
      <c r="G2329" s="3">
        <v>21.27</v>
      </c>
      <c r="H2329" t="str">
        <f t="shared" si="48"/>
        <v>TASC - HRA FEES</v>
      </c>
    </row>
    <row r="2330" spans="5:8" x14ac:dyDescent="0.25">
      <c r="E2330" t="str">
        <f>""</f>
        <v/>
      </c>
      <c r="F2330" t="str">
        <f>""</f>
        <v/>
      </c>
      <c r="G2330" s="3">
        <v>23.05</v>
      </c>
      <c r="H2330" t="str">
        <f t="shared" si="48"/>
        <v>TASC - HRA FEES</v>
      </c>
    </row>
    <row r="2331" spans="5:8" x14ac:dyDescent="0.25">
      <c r="E2331" t="str">
        <f>""</f>
        <v/>
      </c>
      <c r="F2331" t="str">
        <f>""</f>
        <v/>
      </c>
      <c r="G2331" s="3">
        <v>28.48</v>
      </c>
      <c r="H2331" t="str">
        <f t="shared" si="48"/>
        <v>TASC - HRA FEES</v>
      </c>
    </row>
    <row r="2332" spans="5:8" x14ac:dyDescent="0.25">
      <c r="E2332" t="str">
        <f>""</f>
        <v/>
      </c>
      <c r="F2332" t="str">
        <f>""</f>
        <v/>
      </c>
      <c r="G2332" s="3">
        <v>5.4</v>
      </c>
      <c r="H2332" t="str">
        <f t="shared" si="48"/>
        <v>TASC - HRA FEES</v>
      </c>
    </row>
    <row r="2333" spans="5:8" x14ac:dyDescent="0.25">
      <c r="E2333" t="str">
        <f>""</f>
        <v/>
      </c>
      <c r="F2333" t="str">
        <f>""</f>
        <v/>
      </c>
      <c r="G2333" s="3">
        <v>3.14</v>
      </c>
      <c r="H2333" t="str">
        <f t="shared" si="48"/>
        <v>TASC - HRA FEES</v>
      </c>
    </row>
    <row r="2334" spans="5:8" x14ac:dyDescent="0.25">
      <c r="E2334" t="str">
        <f>""</f>
        <v/>
      </c>
      <c r="F2334" t="str">
        <f>""</f>
        <v/>
      </c>
      <c r="G2334" s="3">
        <v>0.63</v>
      </c>
      <c r="H2334" t="str">
        <f t="shared" si="48"/>
        <v>TASC - HRA FEES</v>
      </c>
    </row>
    <row r="2335" spans="5:8" x14ac:dyDescent="0.25">
      <c r="E2335" t="str">
        <f>""</f>
        <v/>
      </c>
      <c r="F2335" t="str">
        <f>""</f>
        <v/>
      </c>
      <c r="G2335" s="3">
        <v>0.14000000000000001</v>
      </c>
      <c r="H2335" t="str">
        <f t="shared" si="48"/>
        <v>TASC - HRA FEES</v>
      </c>
    </row>
    <row r="2336" spans="5:8" x14ac:dyDescent="0.25">
      <c r="E2336" t="str">
        <f>""</f>
        <v/>
      </c>
      <c r="F2336" t="str">
        <f>""</f>
        <v/>
      </c>
      <c r="G2336" s="3">
        <v>0.25</v>
      </c>
      <c r="H2336" t="str">
        <f t="shared" si="48"/>
        <v>TASC - HRA FEES</v>
      </c>
    </row>
    <row r="2337" spans="1:8" x14ac:dyDescent="0.25">
      <c r="E2337" t="str">
        <f>""</f>
        <v/>
      </c>
      <c r="F2337" t="str">
        <f>""</f>
        <v/>
      </c>
      <c r="G2337" s="3">
        <v>1.79</v>
      </c>
      <c r="H2337" t="str">
        <f t="shared" si="48"/>
        <v>TASC - HRA FEES</v>
      </c>
    </row>
    <row r="2338" spans="1:8" x14ac:dyDescent="0.25">
      <c r="E2338" t="str">
        <f>"HRF202108045060"</f>
        <v>HRF202108045060</v>
      </c>
      <c r="F2338" t="str">
        <f>"TASC - HRA FEES"</f>
        <v>TASC - HRA FEES</v>
      </c>
      <c r="G2338" s="3">
        <v>25.2</v>
      </c>
      <c r="H2338" t="str">
        <f t="shared" si="48"/>
        <v>TASC - HRA FEES</v>
      </c>
    </row>
    <row r="2339" spans="1:8" x14ac:dyDescent="0.25">
      <c r="A2339" t="s">
        <v>405</v>
      </c>
      <c r="B2339">
        <v>1271</v>
      </c>
      <c r="C2339" s="3">
        <v>8611.9699999999993</v>
      </c>
      <c r="D2339" s="6">
        <v>44428</v>
      </c>
      <c r="E2339" t="str">
        <f>"FSA202108175280"</f>
        <v>FSA202108175280</v>
      </c>
      <c r="F2339" t="str">
        <f>"TASC FSA"</f>
        <v>TASC FSA</v>
      </c>
      <c r="G2339" s="3">
        <v>7175.1</v>
      </c>
      <c r="H2339" t="str">
        <f>"TASC FSA"</f>
        <v>TASC FSA</v>
      </c>
    </row>
    <row r="2340" spans="1:8" x14ac:dyDescent="0.25">
      <c r="E2340" t="str">
        <f>"FSA202108175281"</f>
        <v>FSA202108175281</v>
      </c>
      <c r="F2340" t="str">
        <f>"TASC FSA"</f>
        <v>TASC FSA</v>
      </c>
      <c r="G2340" s="3">
        <v>287.07</v>
      </c>
      <c r="H2340" t="str">
        <f>"TASC FSA"</f>
        <v>TASC FSA</v>
      </c>
    </row>
    <row r="2341" spans="1:8" x14ac:dyDescent="0.25">
      <c r="E2341" t="str">
        <f>"FSC202108175280"</f>
        <v>FSC202108175280</v>
      </c>
      <c r="F2341" t="str">
        <f>"TASC DEPENDENT CARE"</f>
        <v>TASC DEPENDENT CARE</v>
      </c>
      <c r="G2341" s="3">
        <v>50</v>
      </c>
      <c r="H2341" t="str">
        <f>"TASC DEPENDENT CARE"</f>
        <v>TASC DEPENDENT CARE</v>
      </c>
    </row>
    <row r="2342" spans="1:8" x14ac:dyDescent="0.25">
      <c r="E2342" t="str">
        <f>"FSF202108175280"</f>
        <v>FSF202108175280</v>
      </c>
      <c r="F2342" t="str">
        <f>"TASC - FSA  FEES"</f>
        <v>TASC - FSA  FEES</v>
      </c>
      <c r="G2342" s="3">
        <v>12.42</v>
      </c>
      <c r="H2342" t="str">
        <f t="shared" ref="H2342:H2381" si="49">"TASC - FSA  FEES"</f>
        <v>TASC - FSA  FEES</v>
      </c>
    </row>
    <row r="2343" spans="1:8" x14ac:dyDescent="0.25">
      <c r="E2343" t="str">
        <f>""</f>
        <v/>
      </c>
      <c r="F2343" t="str">
        <f>""</f>
        <v/>
      </c>
      <c r="G2343" s="3">
        <v>3.6</v>
      </c>
      <c r="H2343" t="str">
        <f t="shared" si="49"/>
        <v>TASC - FSA  FEES</v>
      </c>
    </row>
    <row r="2344" spans="1:8" x14ac:dyDescent="0.25">
      <c r="E2344" t="str">
        <f>""</f>
        <v/>
      </c>
      <c r="F2344" t="str">
        <f>""</f>
        <v/>
      </c>
      <c r="G2344" s="3">
        <v>9</v>
      </c>
      <c r="H2344" t="str">
        <f t="shared" si="49"/>
        <v>TASC - FSA  FEES</v>
      </c>
    </row>
    <row r="2345" spans="1:8" x14ac:dyDescent="0.25">
      <c r="E2345" t="str">
        <f>""</f>
        <v/>
      </c>
      <c r="F2345" t="str">
        <f>""</f>
        <v/>
      </c>
      <c r="G2345" s="3">
        <v>5.15</v>
      </c>
      <c r="H2345" t="str">
        <f t="shared" si="49"/>
        <v>TASC - FSA  FEES</v>
      </c>
    </row>
    <row r="2346" spans="1:8" x14ac:dyDescent="0.25">
      <c r="E2346" t="str">
        <f>""</f>
        <v/>
      </c>
      <c r="F2346" t="str">
        <f>""</f>
        <v/>
      </c>
      <c r="G2346" s="3">
        <v>3.6</v>
      </c>
      <c r="H2346" t="str">
        <f t="shared" si="49"/>
        <v>TASC - FSA  FEES</v>
      </c>
    </row>
    <row r="2347" spans="1:8" x14ac:dyDescent="0.25">
      <c r="E2347" t="str">
        <f>""</f>
        <v/>
      </c>
      <c r="F2347" t="str">
        <f>""</f>
        <v/>
      </c>
      <c r="G2347" s="3">
        <v>9</v>
      </c>
      <c r="H2347" t="str">
        <f t="shared" si="49"/>
        <v>TASC - FSA  FEES</v>
      </c>
    </row>
    <row r="2348" spans="1:8" x14ac:dyDescent="0.25">
      <c r="E2348" t="str">
        <f>""</f>
        <v/>
      </c>
      <c r="F2348" t="str">
        <f>""</f>
        <v/>
      </c>
      <c r="G2348" s="3">
        <v>5.4</v>
      </c>
      <c r="H2348" t="str">
        <f t="shared" si="49"/>
        <v>TASC - FSA  FEES</v>
      </c>
    </row>
    <row r="2349" spans="1:8" x14ac:dyDescent="0.25">
      <c r="E2349" t="str">
        <f>""</f>
        <v/>
      </c>
      <c r="F2349" t="str">
        <f>""</f>
        <v/>
      </c>
      <c r="G2349" s="3">
        <v>3.6</v>
      </c>
      <c r="H2349" t="str">
        <f t="shared" si="49"/>
        <v>TASC - FSA  FEES</v>
      </c>
    </row>
    <row r="2350" spans="1:8" x14ac:dyDescent="0.25">
      <c r="E2350" t="str">
        <f>""</f>
        <v/>
      </c>
      <c r="F2350" t="str">
        <f>""</f>
        <v/>
      </c>
      <c r="G2350" s="3">
        <v>1.8</v>
      </c>
      <c r="H2350" t="str">
        <f t="shared" si="49"/>
        <v>TASC - FSA  FEES</v>
      </c>
    </row>
    <row r="2351" spans="1:8" x14ac:dyDescent="0.25">
      <c r="E2351" t="str">
        <f>""</f>
        <v/>
      </c>
      <c r="F2351" t="str">
        <f>""</f>
        <v/>
      </c>
      <c r="G2351" s="3">
        <v>15.56</v>
      </c>
      <c r="H2351" t="str">
        <f t="shared" si="49"/>
        <v>TASC - FSA  FEES</v>
      </c>
    </row>
    <row r="2352" spans="1:8" x14ac:dyDescent="0.25">
      <c r="E2352" t="str">
        <f>""</f>
        <v/>
      </c>
      <c r="F2352" t="str">
        <f>""</f>
        <v/>
      </c>
      <c r="G2352" s="3">
        <v>3.6</v>
      </c>
      <c r="H2352" t="str">
        <f t="shared" si="49"/>
        <v>TASC - FSA  FEES</v>
      </c>
    </row>
    <row r="2353" spans="5:8" x14ac:dyDescent="0.25">
      <c r="E2353" t="str">
        <f>""</f>
        <v/>
      </c>
      <c r="F2353" t="str">
        <f>""</f>
        <v/>
      </c>
      <c r="G2353" s="3">
        <v>3.6</v>
      </c>
      <c r="H2353" t="str">
        <f t="shared" si="49"/>
        <v>TASC - FSA  FEES</v>
      </c>
    </row>
    <row r="2354" spans="5:8" x14ac:dyDescent="0.25">
      <c r="E2354" t="str">
        <f>""</f>
        <v/>
      </c>
      <c r="F2354" t="str">
        <f>""</f>
        <v/>
      </c>
      <c r="G2354" s="3">
        <v>1.8</v>
      </c>
      <c r="H2354" t="str">
        <f t="shared" si="49"/>
        <v>TASC - FSA  FEES</v>
      </c>
    </row>
    <row r="2355" spans="5:8" x14ac:dyDescent="0.25">
      <c r="E2355" t="str">
        <f>""</f>
        <v/>
      </c>
      <c r="F2355" t="str">
        <f>""</f>
        <v/>
      </c>
      <c r="G2355" s="3">
        <v>5.4</v>
      </c>
      <c r="H2355" t="str">
        <f t="shared" si="49"/>
        <v>TASC - FSA  FEES</v>
      </c>
    </row>
    <row r="2356" spans="5:8" x14ac:dyDescent="0.25">
      <c r="E2356" t="str">
        <f>""</f>
        <v/>
      </c>
      <c r="F2356" t="str">
        <f>""</f>
        <v/>
      </c>
      <c r="G2356" s="3">
        <v>3.6</v>
      </c>
      <c r="H2356" t="str">
        <f t="shared" si="49"/>
        <v>TASC - FSA  FEES</v>
      </c>
    </row>
    <row r="2357" spans="5:8" x14ac:dyDescent="0.25">
      <c r="E2357" t="str">
        <f>""</f>
        <v/>
      </c>
      <c r="F2357" t="str">
        <f>""</f>
        <v/>
      </c>
      <c r="G2357" s="3">
        <v>14.4</v>
      </c>
      <c r="H2357" t="str">
        <f t="shared" si="49"/>
        <v>TASC - FSA  FEES</v>
      </c>
    </row>
    <row r="2358" spans="5:8" x14ac:dyDescent="0.25">
      <c r="E2358" t="str">
        <f>""</f>
        <v/>
      </c>
      <c r="F2358" t="str">
        <f>""</f>
        <v/>
      </c>
      <c r="G2358" s="3">
        <v>3.6</v>
      </c>
      <c r="H2358" t="str">
        <f t="shared" si="49"/>
        <v>TASC - FSA  FEES</v>
      </c>
    </row>
    <row r="2359" spans="5:8" x14ac:dyDescent="0.25">
      <c r="E2359" t="str">
        <f>""</f>
        <v/>
      </c>
      <c r="F2359" t="str">
        <f>""</f>
        <v/>
      </c>
      <c r="G2359" s="3">
        <v>12.6</v>
      </c>
      <c r="H2359" t="str">
        <f t="shared" si="49"/>
        <v>TASC - FSA  FEES</v>
      </c>
    </row>
    <row r="2360" spans="5:8" x14ac:dyDescent="0.25">
      <c r="E2360" t="str">
        <f>""</f>
        <v/>
      </c>
      <c r="F2360" t="str">
        <f>""</f>
        <v/>
      </c>
      <c r="G2360" s="3">
        <v>1.8</v>
      </c>
      <c r="H2360" t="str">
        <f t="shared" si="49"/>
        <v>TASC - FSA  FEES</v>
      </c>
    </row>
    <row r="2361" spans="5:8" x14ac:dyDescent="0.25">
      <c r="E2361" t="str">
        <f>""</f>
        <v/>
      </c>
      <c r="F2361" t="str">
        <f>""</f>
        <v/>
      </c>
      <c r="G2361" s="3">
        <v>1.8</v>
      </c>
      <c r="H2361" t="str">
        <f t="shared" si="49"/>
        <v>TASC - FSA  FEES</v>
      </c>
    </row>
    <row r="2362" spans="5:8" x14ac:dyDescent="0.25">
      <c r="E2362" t="str">
        <f>""</f>
        <v/>
      </c>
      <c r="F2362" t="str">
        <f>""</f>
        <v/>
      </c>
      <c r="G2362" s="3">
        <v>1.8</v>
      </c>
      <c r="H2362" t="str">
        <f t="shared" si="49"/>
        <v>TASC - FSA  FEES</v>
      </c>
    </row>
    <row r="2363" spans="5:8" x14ac:dyDescent="0.25">
      <c r="E2363" t="str">
        <f>""</f>
        <v/>
      </c>
      <c r="F2363" t="str">
        <f>""</f>
        <v/>
      </c>
      <c r="G2363" s="3">
        <v>36.520000000000003</v>
      </c>
      <c r="H2363" t="str">
        <f t="shared" si="49"/>
        <v>TASC - FSA  FEES</v>
      </c>
    </row>
    <row r="2364" spans="5:8" x14ac:dyDescent="0.25">
      <c r="E2364" t="str">
        <f>""</f>
        <v/>
      </c>
      <c r="F2364" t="str">
        <f>""</f>
        <v/>
      </c>
      <c r="G2364" s="3">
        <v>3.55</v>
      </c>
      <c r="H2364" t="str">
        <f t="shared" si="49"/>
        <v>TASC - FSA  FEES</v>
      </c>
    </row>
    <row r="2365" spans="5:8" x14ac:dyDescent="0.25">
      <c r="E2365" t="str">
        <f>""</f>
        <v/>
      </c>
      <c r="F2365" t="str">
        <f>""</f>
        <v/>
      </c>
      <c r="G2365" s="3">
        <v>37.33</v>
      </c>
      <c r="H2365" t="str">
        <f t="shared" si="49"/>
        <v>TASC - FSA  FEES</v>
      </c>
    </row>
    <row r="2366" spans="5:8" x14ac:dyDescent="0.25">
      <c r="E2366" t="str">
        <f>""</f>
        <v/>
      </c>
      <c r="F2366" t="str">
        <f>""</f>
        <v/>
      </c>
      <c r="G2366" s="3">
        <v>5.4</v>
      </c>
      <c r="H2366" t="str">
        <f t="shared" si="49"/>
        <v>TASC - FSA  FEES</v>
      </c>
    </row>
    <row r="2367" spans="5:8" x14ac:dyDescent="0.25">
      <c r="E2367" t="str">
        <f>""</f>
        <v/>
      </c>
      <c r="F2367" t="str">
        <f>""</f>
        <v/>
      </c>
      <c r="G2367" s="3">
        <v>1.8</v>
      </c>
      <c r="H2367" t="str">
        <f t="shared" si="49"/>
        <v>TASC - FSA  FEES</v>
      </c>
    </row>
    <row r="2368" spans="5:8" x14ac:dyDescent="0.25">
      <c r="E2368" t="str">
        <f>""</f>
        <v/>
      </c>
      <c r="F2368" t="str">
        <f>""</f>
        <v/>
      </c>
      <c r="G2368" s="3">
        <v>3.6</v>
      </c>
      <c r="H2368" t="str">
        <f t="shared" si="49"/>
        <v>TASC - FSA  FEES</v>
      </c>
    </row>
    <row r="2369" spans="5:8" x14ac:dyDescent="0.25">
      <c r="E2369" t="str">
        <f>""</f>
        <v/>
      </c>
      <c r="F2369" t="str">
        <f>""</f>
        <v/>
      </c>
      <c r="G2369" s="3">
        <v>0.46</v>
      </c>
      <c r="H2369" t="str">
        <f t="shared" si="49"/>
        <v>TASC - FSA  FEES</v>
      </c>
    </row>
    <row r="2370" spans="5:8" x14ac:dyDescent="0.25">
      <c r="E2370" t="str">
        <f>""</f>
        <v/>
      </c>
      <c r="F2370" t="str">
        <f>""</f>
        <v/>
      </c>
      <c r="G2370" s="3">
        <v>3.6</v>
      </c>
      <c r="H2370" t="str">
        <f t="shared" si="49"/>
        <v>TASC - FSA  FEES</v>
      </c>
    </row>
    <row r="2371" spans="5:8" x14ac:dyDescent="0.25">
      <c r="E2371" t="str">
        <f>""</f>
        <v/>
      </c>
      <c r="F2371" t="str">
        <f>""</f>
        <v/>
      </c>
      <c r="G2371" s="3">
        <v>1.8</v>
      </c>
      <c r="H2371" t="str">
        <f t="shared" si="49"/>
        <v>TASC - FSA  FEES</v>
      </c>
    </row>
    <row r="2372" spans="5:8" x14ac:dyDescent="0.25">
      <c r="E2372" t="str">
        <f>""</f>
        <v/>
      </c>
      <c r="F2372" t="str">
        <f>""</f>
        <v/>
      </c>
      <c r="G2372" s="3">
        <v>1.98</v>
      </c>
      <c r="H2372" t="str">
        <f t="shared" si="49"/>
        <v>TASC - FSA  FEES</v>
      </c>
    </row>
    <row r="2373" spans="5:8" x14ac:dyDescent="0.25">
      <c r="E2373" t="str">
        <f>""</f>
        <v/>
      </c>
      <c r="F2373" t="str">
        <f>""</f>
        <v/>
      </c>
      <c r="G2373" s="3">
        <v>1.8</v>
      </c>
      <c r="H2373" t="str">
        <f t="shared" si="49"/>
        <v>TASC - FSA  FEES</v>
      </c>
    </row>
    <row r="2374" spans="5:8" x14ac:dyDescent="0.25">
      <c r="E2374" t="str">
        <f>""</f>
        <v/>
      </c>
      <c r="F2374" t="str">
        <f>""</f>
        <v/>
      </c>
      <c r="G2374" s="3">
        <v>9</v>
      </c>
      <c r="H2374" t="str">
        <f t="shared" si="49"/>
        <v>TASC - FSA  FEES</v>
      </c>
    </row>
    <row r="2375" spans="5:8" x14ac:dyDescent="0.25">
      <c r="E2375" t="str">
        <f>""</f>
        <v/>
      </c>
      <c r="F2375" t="str">
        <f>""</f>
        <v/>
      </c>
      <c r="G2375" s="3">
        <v>5.4</v>
      </c>
      <c r="H2375" t="str">
        <f t="shared" si="49"/>
        <v>TASC - FSA  FEES</v>
      </c>
    </row>
    <row r="2376" spans="5:8" x14ac:dyDescent="0.25">
      <c r="E2376" t="str">
        <f>""</f>
        <v/>
      </c>
      <c r="F2376" t="str">
        <f>""</f>
        <v/>
      </c>
      <c r="G2376" s="3">
        <v>1.8</v>
      </c>
      <c r="H2376" t="str">
        <f t="shared" si="49"/>
        <v>TASC - FSA  FEES</v>
      </c>
    </row>
    <row r="2377" spans="5:8" x14ac:dyDescent="0.25">
      <c r="E2377" t="str">
        <f>""</f>
        <v/>
      </c>
      <c r="F2377" t="str">
        <f>""</f>
        <v/>
      </c>
      <c r="G2377" s="3">
        <v>3.14</v>
      </c>
      <c r="H2377" t="str">
        <f t="shared" si="49"/>
        <v>TASC - FSA  FEES</v>
      </c>
    </row>
    <row r="2378" spans="5:8" x14ac:dyDescent="0.25">
      <c r="E2378" t="str">
        <f>""</f>
        <v/>
      </c>
      <c r="F2378" t="str">
        <f>""</f>
        <v/>
      </c>
      <c r="G2378" s="3">
        <v>0.56999999999999995</v>
      </c>
      <c r="H2378" t="str">
        <f t="shared" si="49"/>
        <v>TASC - FSA  FEES</v>
      </c>
    </row>
    <row r="2379" spans="5:8" x14ac:dyDescent="0.25">
      <c r="E2379" t="str">
        <f>""</f>
        <v/>
      </c>
      <c r="F2379" t="str">
        <f>""</f>
        <v/>
      </c>
      <c r="G2379" s="3">
        <v>7.0000000000000007E-2</v>
      </c>
      <c r="H2379" t="str">
        <f t="shared" si="49"/>
        <v>TASC - FSA  FEES</v>
      </c>
    </row>
    <row r="2380" spans="5:8" x14ac:dyDescent="0.25">
      <c r="E2380" t="str">
        <f>""</f>
        <v/>
      </c>
      <c r="F2380" t="str">
        <f>""</f>
        <v/>
      </c>
      <c r="G2380" s="3">
        <v>0.25</v>
      </c>
      <c r="H2380" t="str">
        <f t="shared" si="49"/>
        <v>TASC - FSA  FEES</v>
      </c>
    </row>
    <row r="2381" spans="5:8" x14ac:dyDescent="0.25">
      <c r="E2381" t="str">
        <f>"FSF202108175281"</f>
        <v>FSF202108175281</v>
      </c>
      <c r="F2381" t="str">
        <f>"TASC - FSA  FEES"</f>
        <v>TASC - FSA  FEES</v>
      </c>
      <c r="G2381" s="3">
        <v>9</v>
      </c>
      <c r="H2381" t="str">
        <f t="shared" si="49"/>
        <v>TASC - FSA  FEES</v>
      </c>
    </row>
    <row r="2382" spans="5:8" x14ac:dyDescent="0.25">
      <c r="E2382" t="str">
        <f>"HRF202108175280"</f>
        <v>HRF202108175280</v>
      </c>
      <c r="F2382" t="str">
        <f>"TASC - HRA FEES"</f>
        <v>TASC - HRA FEES</v>
      </c>
      <c r="G2382" s="3">
        <v>5.4</v>
      </c>
      <c r="H2382" t="str">
        <f t="shared" ref="H2382:H2413" si="50">"TASC - HRA FEES"</f>
        <v>TASC - HRA FEES</v>
      </c>
    </row>
    <row r="2383" spans="5:8" x14ac:dyDescent="0.25">
      <c r="E2383" t="str">
        <f>""</f>
        <v/>
      </c>
      <c r="F2383" t="str">
        <f>""</f>
        <v/>
      </c>
      <c r="G2383" s="3">
        <v>2.34</v>
      </c>
      <c r="H2383" t="str">
        <f t="shared" si="50"/>
        <v>TASC - HRA FEES</v>
      </c>
    </row>
    <row r="2384" spans="5:8" x14ac:dyDescent="0.25">
      <c r="E2384" t="str">
        <f>""</f>
        <v/>
      </c>
      <c r="F2384" t="str">
        <f>""</f>
        <v/>
      </c>
      <c r="G2384" s="3">
        <v>16.010000000000002</v>
      </c>
      <c r="H2384" t="str">
        <f t="shared" si="50"/>
        <v>TASC - HRA FEES</v>
      </c>
    </row>
    <row r="2385" spans="5:8" x14ac:dyDescent="0.25">
      <c r="E2385" t="str">
        <f>""</f>
        <v/>
      </c>
      <c r="F2385" t="str">
        <f>""</f>
        <v/>
      </c>
      <c r="G2385" s="3">
        <v>5.4</v>
      </c>
      <c r="H2385" t="str">
        <f t="shared" si="50"/>
        <v>TASC - HRA FEES</v>
      </c>
    </row>
    <row r="2386" spans="5:8" x14ac:dyDescent="0.25">
      <c r="E2386" t="str">
        <f>""</f>
        <v/>
      </c>
      <c r="F2386" t="str">
        <f>""</f>
        <v/>
      </c>
      <c r="G2386" s="3">
        <v>3.6</v>
      </c>
      <c r="H2386" t="str">
        <f t="shared" si="50"/>
        <v>TASC - HRA FEES</v>
      </c>
    </row>
    <row r="2387" spans="5:8" x14ac:dyDescent="0.25">
      <c r="E2387" t="str">
        <f>""</f>
        <v/>
      </c>
      <c r="F2387" t="str">
        <f>""</f>
        <v/>
      </c>
      <c r="G2387" s="3">
        <v>10.8</v>
      </c>
      <c r="H2387" t="str">
        <f t="shared" si="50"/>
        <v>TASC - HRA FEES</v>
      </c>
    </row>
    <row r="2388" spans="5:8" x14ac:dyDescent="0.25">
      <c r="E2388" t="str">
        <f>""</f>
        <v/>
      </c>
      <c r="F2388" t="str">
        <f>""</f>
        <v/>
      </c>
      <c r="G2388" s="3">
        <v>34.200000000000003</v>
      </c>
      <c r="H2388" t="str">
        <f t="shared" si="50"/>
        <v>TASC - HRA FEES</v>
      </c>
    </row>
    <row r="2389" spans="5:8" x14ac:dyDescent="0.25">
      <c r="E2389" t="str">
        <f>""</f>
        <v/>
      </c>
      <c r="F2389" t="str">
        <f>""</f>
        <v/>
      </c>
      <c r="G2389" s="3">
        <v>1.8</v>
      </c>
      <c r="H2389" t="str">
        <f t="shared" si="50"/>
        <v>TASC - HRA FEES</v>
      </c>
    </row>
    <row r="2390" spans="5:8" x14ac:dyDescent="0.25">
      <c r="E2390" t="str">
        <f>""</f>
        <v/>
      </c>
      <c r="F2390" t="str">
        <f>""</f>
        <v/>
      </c>
      <c r="G2390" s="3">
        <v>5.15</v>
      </c>
      <c r="H2390" t="str">
        <f t="shared" si="50"/>
        <v>TASC - HRA FEES</v>
      </c>
    </row>
    <row r="2391" spans="5:8" x14ac:dyDescent="0.25">
      <c r="E2391" t="str">
        <f>""</f>
        <v/>
      </c>
      <c r="F2391" t="str">
        <f>""</f>
        <v/>
      </c>
      <c r="G2391" s="3">
        <v>9</v>
      </c>
      <c r="H2391" t="str">
        <f t="shared" si="50"/>
        <v>TASC - HRA FEES</v>
      </c>
    </row>
    <row r="2392" spans="5:8" x14ac:dyDescent="0.25">
      <c r="E2392" t="str">
        <f>""</f>
        <v/>
      </c>
      <c r="F2392" t="str">
        <f>""</f>
        <v/>
      </c>
      <c r="G2392" s="3">
        <v>28.8</v>
      </c>
      <c r="H2392" t="str">
        <f t="shared" si="50"/>
        <v>TASC - HRA FEES</v>
      </c>
    </row>
    <row r="2393" spans="5:8" x14ac:dyDescent="0.25">
      <c r="E2393" t="str">
        <f>""</f>
        <v/>
      </c>
      <c r="F2393" t="str">
        <f>""</f>
        <v/>
      </c>
      <c r="G2393" s="3">
        <v>7.2</v>
      </c>
      <c r="H2393" t="str">
        <f t="shared" si="50"/>
        <v>TASC - HRA FEES</v>
      </c>
    </row>
    <row r="2394" spans="5:8" x14ac:dyDescent="0.25">
      <c r="E2394" t="str">
        <f>""</f>
        <v/>
      </c>
      <c r="F2394" t="str">
        <f>""</f>
        <v/>
      </c>
      <c r="G2394" s="3">
        <v>5.4</v>
      </c>
      <c r="H2394" t="str">
        <f t="shared" si="50"/>
        <v>TASC - HRA FEES</v>
      </c>
    </row>
    <row r="2395" spans="5:8" x14ac:dyDescent="0.25">
      <c r="E2395" t="str">
        <f>""</f>
        <v/>
      </c>
      <c r="F2395" t="str">
        <f>""</f>
        <v/>
      </c>
      <c r="G2395" s="3">
        <v>7.2</v>
      </c>
      <c r="H2395" t="str">
        <f t="shared" si="50"/>
        <v>TASC - HRA FEES</v>
      </c>
    </row>
    <row r="2396" spans="5:8" x14ac:dyDescent="0.25">
      <c r="E2396" t="str">
        <f>""</f>
        <v/>
      </c>
      <c r="F2396" t="str">
        <f>""</f>
        <v/>
      </c>
      <c r="G2396" s="3">
        <v>7.2</v>
      </c>
      <c r="H2396" t="str">
        <f t="shared" si="50"/>
        <v>TASC - HRA FEES</v>
      </c>
    </row>
    <row r="2397" spans="5:8" x14ac:dyDescent="0.25">
      <c r="E2397" t="str">
        <f>""</f>
        <v/>
      </c>
      <c r="F2397" t="str">
        <f>""</f>
        <v/>
      </c>
      <c r="G2397" s="3">
        <v>3.6</v>
      </c>
      <c r="H2397" t="str">
        <f t="shared" si="50"/>
        <v>TASC - HRA FEES</v>
      </c>
    </row>
    <row r="2398" spans="5:8" x14ac:dyDescent="0.25">
      <c r="E2398" t="str">
        <f>""</f>
        <v/>
      </c>
      <c r="F2398" t="str">
        <f>""</f>
        <v/>
      </c>
      <c r="G2398" s="3">
        <v>26.23</v>
      </c>
      <c r="H2398" t="str">
        <f t="shared" si="50"/>
        <v>TASC - HRA FEES</v>
      </c>
    </row>
    <row r="2399" spans="5:8" x14ac:dyDescent="0.25">
      <c r="E2399" t="str">
        <f>""</f>
        <v/>
      </c>
      <c r="F2399" t="str">
        <f>""</f>
        <v/>
      </c>
      <c r="G2399" s="3">
        <v>12.6</v>
      </c>
      <c r="H2399" t="str">
        <f t="shared" si="50"/>
        <v>TASC - HRA FEES</v>
      </c>
    </row>
    <row r="2400" spans="5:8" x14ac:dyDescent="0.25">
      <c r="E2400" t="str">
        <f>""</f>
        <v/>
      </c>
      <c r="F2400" t="str">
        <f>""</f>
        <v/>
      </c>
      <c r="G2400" s="3">
        <v>7.2</v>
      </c>
      <c r="H2400" t="str">
        <f t="shared" si="50"/>
        <v>TASC - HRA FEES</v>
      </c>
    </row>
    <row r="2401" spans="5:8" x14ac:dyDescent="0.25">
      <c r="E2401" t="str">
        <f>""</f>
        <v/>
      </c>
      <c r="F2401" t="str">
        <f>""</f>
        <v/>
      </c>
      <c r="G2401" s="3">
        <v>5.4</v>
      </c>
      <c r="H2401" t="str">
        <f t="shared" si="50"/>
        <v>TASC - HRA FEES</v>
      </c>
    </row>
    <row r="2402" spans="5:8" x14ac:dyDescent="0.25">
      <c r="E2402" t="str">
        <f>""</f>
        <v/>
      </c>
      <c r="F2402" t="str">
        <f>""</f>
        <v/>
      </c>
      <c r="G2402" s="3">
        <v>21.6</v>
      </c>
      <c r="H2402" t="str">
        <f t="shared" si="50"/>
        <v>TASC - HRA FEES</v>
      </c>
    </row>
    <row r="2403" spans="5:8" x14ac:dyDescent="0.25">
      <c r="E2403" t="str">
        <f>""</f>
        <v/>
      </c>
      <c r="F2403" t="str">
        <f>""</f>
        <v/>
      </c>
      <c r="G2403" s="3">
        <v>12.6</v>
      </c>
      <c r="H2403" t="str">
        <f t="shared" si="50"/>
        <v>TASC - HRA FEES</v>
      </c>
    </row>
    <row r="2404" spans="5:8" x14ac:dyDescent="0.25">
      <c r="E2404" t="str">
        <f>""</f>
        <v/>
      </c>
      <c r="F2404" t="str">
        <f>""</f>
        <v/>
      </c>
      <c r="G2404" s="3">
        <v>21.6</v>
      </c>
      <c r="H2404" t="str">
        <f t="shared" si="50"/>
        <v>TASC - HRA FEES</v>
      </c>
    </row>
    <row r="2405" spans="5:8" x14ac:dyDescent="0.25">
      <c r="E2405" t="str">
        <f>""</f>
        <v/>
      </c>
      <c r="F2405" t="str">
        <f>""</f>
        <v/>
      </c>
      <c r="G2405" s="3">
        <v>23.4</v>
      </c>
      <c r="H2405" t="str">
        <f t="shared" si="50"/>
        <v>TASC - HRA FEES</v>
      </c>
    </row>
    <row r="2406" spans="5:8" x14ac:dyDescent="0.25">
      <c r="E2406" t="str">
        <f>""</f>
        <v/>
      </c>
      <c r="F2406" t="str">
        <f>""</f>
        <v/>
      </c>
      <c r="G2406" s="3">
        <v>41.43</v>
      </c>
      <c r="H2406" t="str">
        <f t="shared" si="50"/>
        <v>TASC - HRA FEES</v>
      </c>
    </row>
    <row r="2407" spans="5:8" x14ac:dyDescent="0.25">
      <c r="E2407" t="str">
        <f>""</f>
        <v/>
      </c>
      <c r="F2407" t="str">
        <f>""</f>
        <v/>
      </c>
      <c r="G2407" s="3">
        <v>1.8</v>
      </c>
      <c r="H2407" t="str">
        <f t="shared" si="50"/>
        <v>TASC - HRA FEES</v>
      </c>
    </row>
    <row r="2408" spans="5:8" x14ac:dyDescent="0.25">
      <c r="E2408" t="str">
        <f>""</f>
        <v/>
      </c>
      <c r="F2408" t="str">
        <f>""</f>
        <v/>
      </c>
      <c r="G2408" s="3">
        <v>1.8</v>
      </c>
      <c r="H2408" t="str">
        <f t="shared" si="50"/>
        <v>TASC - HRA FEES</v>
      </c>
    </row>
    <row r="2409" spans="5:8" x14ac:dyDescent="0.25">
      <c r="E2409" t="str">
        <f>""</f>
        <v/>
      </c>
      <c r="F2409" t="str">
        <f>""</f>
        <v/>
      </c>
      <c r="G2409" s="3">
        <v>1.8</v>
      </c>
      <c r="H2409" t="str">
        <f t="shared" si="50"/>
        <v>TASC - HRA FEES</v>
      </c>
    </row>
    <row r="2410" spans="5:8" x14ac:dyDescent="0.25">
      <c r="E2410" t="str">
        <f>""</f>
        <v/>
      </c>
      <c r="F2410" t="str">
        <f>""</f>
        <v/>
      </c>
      <c r="G2410" s="3">
        <v>1.8</v>
      </c>
      <c r="H2410" t="str">
        <f t="shared" si="50"/>
        <v>TASC - HRA FEES</v>
      </c>
    </row>
    <row r="2411" spans="5:8" x14ac:dyDescent="0.25">
      <c r="E2411" t="str">
        <f>""</f>
        <v/>
      </c>
      <c r="F2411" t="str">
        <f>""</f>
        <v/>
      </c>
      <c r="G2411" s="3">
        <v>164.63</v>
      </c>
      <c r="H2411" t="str">
        <f t="shared" si="50"/>
        <v>TASC - HRA FEES</v>
      </c>
    </row>
    <row r="2412" spans="5:8" x14ac:dyDescent="0.25">
      <c r="E2412" t="str">
        <f>""</f>
        <v/>
      </c>
      <c r="F2412" t="str">
        <f>""</f>
        <v/>
      </c>
      <c r="G2412" s="3">
        <v>8.9</v>
      </c>
      <c r="H2412" t="str">
        <f t="shared" si="50"/>
        <v>TASC - HRA FEES</v>
      </c>
    </row>
    <row r="2413" spans="5:8" x14ac:dyDescent="0.25">
      <c r="E2413" t="str">
        <f>""</f>
        <v/>
      </c>
      <c r="F2413" t="str">
        <f>""</f>
        <v/>
      </c>
      <c r="G2413" s="3">
        <v>161.28</v>
      </c>
      <c r="H2413" t="str">
        <f t="shared" si="50"/>
        <v>TASC - HRA FEES</v>
      </c>
    </row>
    <row r="2414" spans="5:8" x14ac:dyDescent="0.25">
      <c r="E2414" t="str">
        <f>""</f>
        <v/>
      </c>
      <c r="F2414" t="str">
        <f>""</f>
        <v/>
      </c>
      <c r="G2414" s="3">
        <v>32.4</v>
      </c>
      <c r="H2414" t="str">
        <f t="shared" ref="H2414:H2433" si="51">"TASC - HRA FEES"</f>
        <v>TASC - HRA FEES</v>
      </c>
    </row>
    <row r="2415" spans="5:8" x14ac:dyDescent="0.25">
      <c r="E2415" t="str">
        <f>""</f>
        <v/>
      </c>
      <c r="F2415" t="str">
        <f>""</f>
        <v/>
      </c>
      <c r="G2415" s="3">
        <v>1.8</v>
      </c>
      <c r="H2415" t="str">
        <f t="shared" si="51"/>
        <v>TASC - HRA FEES</v>
      </c>
    </row>
    <row r="2416" spans="5:8" x14ac:dyDescent="0.25">
      <c r="E2416" t="str">
        <f>""</f>
        <v/>
      </c>
      <c r="F2416" t="str">
        <f>""</f>
        <v/>
      </c>
      <c r="G2416" s="3">
        <v>5.4</v>
      </c>
      <c r="H2416" t="str">
        <f t="shared" si="51"/>
        <v>TASC - HRA FEES</v>
      </c>
    </row>
    <row r="2417" spans="5:8" x14ac:dyDescent="0.25">
      <c r="E2417" t="str">
        <f>""</f>
        <v/>
      </c>
      <c r="F2417" t="str">
        <f>""</f>
        <v/>
      </c>
      <c r="G2417" s="3">
        <v>0.46</v>
      </c>
      <c r="H2417" t="str">
        <f t="shared" si="51"/>
        <v>TASC - HRA FEES</v>
      </c>
    </row>
    <row r="2418" spans="5:8" x14ac:dyDescent="0.25">
      <c r="E2418" t="str">
        <f>""</f>
        <v/>
      </c>
      <c r="F2418" t="str">
        <f>""</f>
        <v/>
      </c>
      <c r="G2418" s="3">
        <v>5.4</v>
      </c>
      <c r="H2418" t="str">
        <f t="shared" si="51"/>
        <v>TASC - HRA FEES</v>
      </c>
    </row>
    <row r="2419" spans="5:8" x14ac:dyDescent="0.25">
      <c r="E2419" t="str">
        <f>""</f>
        <v/>
      </c>
      <c r="F2419" t="str">
        <f>""</f>
        <v/>
      </c>
      <c r="G2419" s="3">
        <v>1.8</v>
      </c>
      <c r="H2419" t="str">
        <f t="shared" si="51"/>
        <v>TASC - HRA FEES</v>
      </c>
    </row>
    <row r="2420" spans="5:8" x14ac:dyDescent="0.25">
      <c r="E2420" t="str">
        <f>""</f>
        <v/>
      </c>
      <c r="F2420" t="str">
        <f>""</f>
        <v/>
      </c>
      <c r="G2420" s="3">
        <v>5.4</v>
      </c>
      <c r="H2420" t="str">
        <f t="shared" si="51"/>
        <v>TASC - HRA FEES</v>
      </c>
    </row>
    <row r="2421" spans="5:8" x14ac:dyDescent="0.25">
      <c r="E2421" t="str">
        <f>""</f>
        <v/>
      </c>
      <c r="F2421" t="str">
        <f>""</f>
        <v/>
      </c>
      <c r="G2421" s="3">
        <v>3.6</v>
      </c>
      <c r="H2421" t="str">
        <f t="shared" si="51"/>
        <v>TASC - HRA FEES</v>
      </c>
    </row>
    <row r="2422" spans="5:8" x14ac:dyDescent="0.25">
      <c r="E2422" t="str">
        <f>""</f>
        <v/>
      </c>
      <c r="F2422" t="str">
        <f>""</f>
        <v/>
      </c>
      <c r="G2422" s="3">
        <v>0.19</v>
      </c>
      <c r="H2422" t="str">
        <f t="shared" si="51"/>
        <v>TASC - HRA FEES</v>
      </c>
    </row>
    <row r="2423" spans="5:8" x14ac:dyDescent="0.25">
      <c r="E2423" t="str">
        <f>""</f>
        <v/>
      </c>
      <c r="F2423" t="str">
        <f>""</f>
        <v/>
      </c>
      <c r="G2423" s="3">
        <v>18.43</v>
      </c>
      <c r="H2423" t="str">
        <f t="shared" si="51"/>
        <v>TASC - HRA FEES</v>
      </c>
    </row>
    <row r="2424" spans="5:8" x14ac:dyDescent="0.25">
      <c r="E2424" t="str">
        <f>""</f>
        <v/>
      </c>
      <c r="F2424" t="str">
        <f>""</f>
        <v/>
      </c>
      <c r="G2424" s="3">
        <v>21.27</v>
      </c>
      <c r="H2424" t="str">
        <f t="shared" si="51"/>
        <v>TASC - HRA FEES</v>
      </c>
    </row>
    <row r="2425" spans="5:8" x14ac:dyDescent="0.25">
      <c r="E2425" t="str">
        <f>""</f>
        <v/>
      </c>
      <c r="F2425" t="str">
        <f>""</f>
        <v/>
      </c>
      <c r="G2425" s="3">
        <v>23.05</v>
      </c>
      <c r="H2425" t="str">
        <f t="shared" si="51"/>
        <v>TASC - HRA FEES</v>
      </c>
    </row>
    <row r="2426" spans="5:8" x14ac:dyDescent="0.25">
      <c r="E2426" t="str">
        <f>""</f>
        <v/>
      </c>
      <c r="F2426" t="str">
        <f>""</f>
        <v/>
      </c>
      <c r="G2426" s="3">
        <v>28.48</v>
      </c>
      <c r="H2426" t="str">
        <f t="shared" si="51"/>
        <v>TASC - HRA FEES</v>
      </c>
    </row>
    <row r="2427" spans="5:8" x14ac:dyDescent="0.25">
      <c r="E2427" t="str">
        <f>""</f>
        <v/>
      </c>
      <c r="F2427" t="str">
        <f>""</f>
        <v/>
      </c>
      <c r="G2427" s="3">
        <v>5.4</v>
      </c>
      <c r="H2427" t="str">
        <f t="shared" si="51"/>
        <v>TASC - HRA FEES</v>
      </c>
    </row>
    <row r="2428" spans="5:8" x14ac:dyDescent="0.25">
      <c r="E2428" t="str">
        <f>""</f>
        <v/>
      </c>
      <c r="F2428" t="str">
        <f>""</f>
        <v/>
      </c>
      <c r="G2428" s="3">
        <v>3.14</v>
      </c>
      <c r="H2428" t="str">
        <f t="shared" si="51"/>
        <v>TASC - HRA FEES</v>
      </c>
    </row>
    <row r="2429" spans="5:8" x14ac:dyDescent="0.25">
      <c r="E2429" t="str">
        <f>""</f>
        <v/>
      </c>
      <c r="F2429" t="str">
        <f>""</f>
        <v/>
      </c>
      <c r="G2429" s="3">
        <v>0.63</v>
      </c>
      <c r="H2429" t="str">
        <f t="shared" si="51"/>
        <v>TASC - HRA FEES</v>
      </c>
    </row>
    <row r="2430" spans="5:8" x14ac:dyDescent="0.25">
      <c r="E2430" t="str">
        <f>""</f>
        <v/>
      </c>
      <c r="F2430" t="str">
        <f>""</f>
        <v/>
      </c>
      <c r="G2430" s="3">
        <v>0.14000000000000001</v>
      </c>
      <c r="H2430" t="str">
        <f t="shared" si="51"/>
        <v>TASC - HRA FEES</v>
      </c>
    </row>
    <row r="2431" spans="5:8" x14ac:dyDescent="0.25">
      <c r="E2431" t="str">
        <f>""</f>
        <v/>
      </c>
      <c r="F2431" t="str">
        <f>""</f>
        <v/>
      </c>
      <c r="G2431" s="3">
        <v>0.25</v>
      </c>
      <c r="H2431" t="str">
        <f t="shared" si="51"/>
        <v>TASC - HRA FEES</v>
      </c>
    </row>
    <row r="2432" spans="5:8" x14ac:dyDescent="0.25">
      <c r="E2432" t="str">
        <f>""</f>
        <v/>
      </c>
      <c r="F2432" t="str">
        <f>""</f>
        <v/>
      </c>
      <c r="G2432" s="3">
        <v>1.79</v>
      </c>
      <c r="H2432" t="str">
        <f t="shared" si="51"/>
        <v>TASC - HRA FEES</v>
      </c>
    </row>
    <row r="2433" spans="1:8" x14ac:dyDescent="0.25">
      <c r="E2433" t="str">
        <f>"HRF202108175281"</f>
        <v>HRF202108175281</v>
      </c>
      <c r="F2433" t="str">
        <f>"TASC - HRA FEES"</f>
        <v>TASC - HRA FEES</v>
      </c>
      <c r="G2433" s="3">
        <v>23.4</v>
      </c>
      <c r="H2433" t="str">
        <f t="shared" si="51"/>
        <v>TASC - HRA FEES</v>
      </c>
    </row>
    <row r="2434" spans="1:8" x14ac:dyDescent="0.25">
      <c r="A2434" t="s">
        <v>406</v>
      </c>
      <c r="B2434">
        <v>1222</v>
      </c>
      <c r="C2434" s="3">
        <v>3760.25</v>
      </c>
      <c r="D2434" s="6">
        <v>44414</v>
      </c>
      <c r="E2434" t="str">
        <f>"C2 202108045060"</f>
        <v>C2 202108045060</v>
      </c>
      <c r="F2434" t="str">
        <f>"0012982132CCL7445"</f>
        <v>0012982132CCL7445</v>
      </c>
      <c r="G2434" s="3">
        <v>692.31</v>
      </c>
      <c r="H2434" t="str">
        <f>"0012982132CCL7445"</f>
        <v>0012982132CCL7445</v>
      </c>
    </row>
    <row r="2435" spans="1:8" x14ac:dyDescent="0.25">
      <c r="E2435" t="str">
        <f>"C20202108045059"</f>
        <v>C20202108045059</v>
      </c>
      <c r="F2435" t="str">
        <f>"001003981107-12252"</f>
        <v>001003981107-12252</v>
      </c>
      <c r="G2435" s="3">
        <v>115.39</v>
      </c>
      <c r="H2435" t="str">
        <f>"001003981107-12252"</f>
        <v>001003981107-12252</v>
      </c>
    </row>
    <row r="2436" spans="1:8" x14ac:dyDescent="0.25">
      <c r="E2436" t="str">
        <f>"C42202108045059"</f>
        <v>C42202108045059</v>
      </c>
      <c r="F2436" t="str">
        <f>"001236769211-14410"</f>
        <v>001236769211-14410</v>
      </c>
      <c r="G2436" s="3">
        <v>230.31</v>
      </c>
      <c r="H2436" t="str">
        <f>"001236769211-14410"</f>
        <v>001236769211-14410</v>
      </c>
    </row>
    <row r="2437" spans="1:8" x14ac:dyDescent="0.25">
      <c r="E2437" t="str">
        <f>"C46202108045059"</f>
        <v>C46202108045059</v>
      </c>
      <c r="F2437" t="str">
        <f>"CAUSE# 11-14911"</f>
        <v>CAUSE# 11-14911</v>
      </c>
      <c r="G2437" s="3">
        <v>238.62</v>
      </c>
      <c r="H2437" t="str">
        <f>"CAUSE# 11-14911"</f>
        <v>CAUSE# 11-14911</v>
      </c>
    </row>
    <row r="2438" spans="1:8" x14ac:dyDescent="0.25">
      <c r="E2438" t="str">
        <f>"C60202108045059"</f>
        <v>C60202108045059</v>
      </c>
      <c r="F2438" t="str">
        <f>"00130730762012V300"</f>
        <v>00130730762012V300</v>
      </c>
      <c r="G2438" s="3">
        <v>399.32</v>
      </c>
      <c r="H2438" t="str">
        <f>"00130730762012V300"</f>
        <v>00130730762012V300</v>
      </c>
    </row>
    <row r="2439" spans="1:8" x14ac:dyDescent="0.25">
      <c r="E2439" t="str">
        <f>"C62202108045059"</f>
        <v>C62202108045059</v>
      </c>
      <c r="F2439" t="str">
        <f>"# 0012128865"</f>
        <v># 0012128865</v>
      </c>
      <c r="G2439" s="3">
        <v>243.23</v>
      </c>
      <c r="H2439" t="str">
        <f>"# 0012128865"</f>
        <v># 0012128865</v>
      </c>
    </row>
    <row r="2440" spans="1:8" x14ac:dyDescent="0.25">
      <c r="E2440" t="str">
        <f>"C66202108045059"</f>
        <v>C66202108045059</v>
      </c>
      <c r="F2440" t="str">
        <f>"# 0012871801"</f>
        <v># 0012871801</v>
      </c>
      <c r="G2440" s="3">
        <v>90</v>
      </c>
      <c r="H2440" t="str">
        <f>"# 0012871801"</f>
        <v># 0012871801</v>
      </c>
    </row>
    <row r="2441" spans="1:8" x14ac:dyDescent="0.25">
      <c r="E2441" t="str">
        <f>"C67202108045059"</f>
        <v>C67202108045059</v>
      </c>
      <c r="F2441" t="str">
        <f>"13154657"</f>
        <v>13154657</v>
      </c>
      <c r="G2441" s="3">
        <v>101.99</v>
      </c>
      <c r="H2441" t="str">
        <f>"13154657"</f>
        <v>13154657</v>
      </c>
    </row>
    <row r="2442" spans="1:8" x14ac:dyDescent="0.25">
      <c r="E2442" t="str">
        <f>"C69202108045059"</f>
        <v>C69202108045059</v>
      </c>
      <c r="F2442" t="str">
        <f>"0012046911423672"</f>
        <v>0012046911423672</v>
      </c>
      <c r="G2442" s="3">
        <v>138.91999999999999</v>
      </c>
      <c r="H2442" t="str">
        <f>"0012046911423672"</f>
        <v>0012046911423672</v>
      </c>
    </row>
    <row r="2443" spans="1:8" x14ac:dyDescent="0.25">
      <c r="E2443" t="str">
        <f>"C71202108045059"</f>
        <v>C71202108045059</v>
      </c>
      <c r="F2443" t="str">
        <f>"00137390532018V215"</f>
        <v>00137390532018V215</v>
      </c>
      <c r="G2443" s="3">
        <v>264</v>
      </c>
      <c r="H2443" t="str">
        <f>"00137390532018V215"</f>
        <v>00137390532018V215</v>
      </c>
    </row>
    <row r="2444" spans="1:8" x14ac:dyDescent="0.25">
      <c r="E2444" t="str">
        <f>"C72202108045059"</f>
        <v>C72202108045059</v>
      </c>
      <c r="F2444" t="str">
        <f>"0012797601C20130529B"</f>
        <v>0012797601C20130529B</v>
      </c>
      <c r="G2444" s="3">
        <v>241.85</v>
      </c>
      <c r="H2444" t="str">
        <f>"0012797601C20130529B"</f>
        <v>0012797601C20130529B</v>
      </c>
    </row>
    <row r="2445" spans="1:8" x14ac:dyDescent="0.25">
      <c r="E2445" t="str">
        <f>"C78202108045059"</f>
        <v>C78202108045059</v>
      </c>
      <c r="F2445" t="str">
        <f>"00105115972005106221"</f>
        <v>00105115972005106221</v>
      </c>
      <c r="G2445" s="3">
        <v>245.08</v>
      </c>
      <c r="H2445" t="str">
        <f>"00105115972005106221"</f>
        <v>00105115972005106221</v>
      </c>
    </row>
    <row r="2446" spans="1:8" x14ac:dyDescent="0.25">
      <c r="E2446" t="str">
        <f>"C85202108045059"</f>
        <v>C85202108045059</v>
      </c>
      <c r="F2446" t="str">
        <f>"0012469425201770874"</f>
        <v>0012469425201770874</v>
      </c>
      <c r="G2446" s="3">
        <v>138.46</v>
      </c>
      <c r="H2446" t="str">
        <f>"0012469425201770874"</f>
        <v>0012469425201770874</v>
      </c>
    </row>
    <row r="2447" spans="1:8" x14ac:dyDescent="0.25">
      <c r="E2447" t="str">
        <f>"C86202108045059"</f>
        <v>C86202108045059</v>
      </c>
      <c r="F2447" t="str">
        <f>"0013854015101285F"</f>
        <v>0013854015101285F</v>
      </c>
      <c r="G2447" s="3">
        <v>241.85</v>
      </c>
      <c r="H2447" t="str">
        <f>"0013854015101285F"</f>
        <v>0013854015101285F</v>
      </c>
    </row>
    <row r="2448" spans="1:8" x14ac:dyDescent="0.25">
      <c r="E2448" t="str">
        <f>"C87202108045059"</f>
        <v>C87202108045059</v>
      </c>
      <c r="F2448" t="str">
        <f>"0012963634L130019CVB"</f>
        <v>0012963634L130019CVB</v>
      </c>
      <c r="G2448" s="3">
        <v>249.23</v>
      </c>
      <c r="H2448" t="str">
        <f>"0012963634L130019CVB"</f>
        <v>0012963634L130019CVB</v>
      </c>
    </row>
    <row r="2449" spans="1:8" x14ac:dyDescent="0.25">
      <c r="E2449" t="str">
        <f>"C89202108045059"</f>
        <v>C89202108045059</v>
      </c>
      <c r="F2449" t="str">
        <f>"00127760434232477"</f>
        <v>00127760434232477</v>
      </c>
      <c r="G2449" s="3">
        <v>129.69</v>
      </c>
      <c r="H2449" t="str">
        <f>"00127760434232477"</f>
        <v>00127760434232477</v>
      </c>
    </row>
    <row r="2450" spans="1:8" x14ac:dyDescent="0.25">
      <c r="A2450" t="s">
        <v>406</v>
      </c>
      <c r="B2450">
        <v>1270</v>
      </c>
      <c r="C2450" s="3">
        <v>4136.41</v>
      </c>
      <c r="D2450" s="6">
        <v>44428</v>
      </c>
      <c r="E2450" t="str">
        <f>"C2 202108175281"</f>
        <v>C2 202108175281</v>
      </c>
      <c r="F2450" t="str">
        <f>"0012982132CCL7445"</f>
        <v>0012982132CCL7445</v>
      </c>
      <c r="G2450" s="3">
        <v>692.31</v>
      </c>
      <c r="H2450" t="str">
        <f>"0012982132CCL7445"</f>
        <v>0012982132CCL7445</v>
      </c>
    </row>
    <row r="2451" spans="1:8" x14ac:dyDescent="0.25">
      <c r="E2451" t="str">
        <f>"C20202108175280"</f>
        <v>C20202108175280</v>
      </c>
      <c r="F2451" t="str">
        <f>"001003981107-12252"</f>
        <v>001003981107-12252</v>
      </c>
      <c r="G2451" s="3">
        <v>115.39</v>
      </c>
      <c r="H2451" t="str">
        <f>"001003981107-12252"</f>
        <v>001003981107-12252</v>
      </c>
    </row>
    <row r="2452" spans="1:8" x14ac:dyDescent="0.25">
      <c r="E2452" t="str">
        <f>"C42202108175280"</f>
        <v>C42202108175280</v>
      </c>
      <c r="F2452" t="str">
        <f>"001236769211-14410"</f>
        <v>001236769211-14410</v>
      </c>
      <c r="G2452" s="3">
        <v>230.31</v>
      </c>
      <c r="H2452" t="str">
        <f>"001236769211-14410"</f>
        <v>001236769211-14410</v>
      </c>
    </row>
    <row r="2453" spans="1:8" x14ac:dyDescent="0.25">
      <c r="E2453" t="str">
        <f>"C46202108175280"</f>
        <v>C46202108175280</v>
      </c>
      <c r="F2453" t="str">
        <f>"CAUSE# 11-14911"</f>
        <v>CAUSE# 11-14911</v>
      </c>
      <c r="G2453" s="3">
        <v>238.62</v>
      </c>
      <c r="H2453" t="str">
        <f>"CAUSE# 11-14911"</f>
        <v>CAUSE# 11-14911</v>
      </c>
    </row>
    <row r="2454" spans="1:8" x14ac:dyDescent="0.25">
      <c r="E2454" t="str">
        <f>"C60202108175280"</f>
        <v>C60202108175280</v>
      </c>
      <c r="F2454" t="str">
        <f>"00130730762012V300"</f>
        <v>00130730762012V300</v>
      </c>
      <c r="G2454" s="3">
        <v>399.32</v>
      </c>
      <c r="H2454" t="str">
        <f>"00130730762012V300"</f>
        <v>00130730762012V300</v>
      </c>
    </row>
    <row r="2455" spans="1:8" x14ac:dyDescent="0.25">
      <c r="E2455" t="str">
        <f>"C62202108175280"</f>
        <v>C62202108175280</v>
      </c>
      <c r="F2455" t="str">
        <f>"# 0012128865"</f>
        <v># 0012128865</v>
      </c>
      <c r="G2455" s="3">
        <v>243.23</v>
      </c>
      <c r="H2455" t="str">
        <f>"# 0012128865"</f>
        <v># 0012128865</v>
      </c>
    </row>
    <row r="2456" spans="1:8" x14ac:dyDescent="0.25">
      <c r="E2456" t="str">
        <f>"C66202108175280"</f>
        <v>C66202108175280</v>
      </c>
      <c r="F2456" t="str">
        <f>"# 0012871801"</f>
        <v># 0012871801</v>
      </c>
      <c r="G2456" s="3">
        <v>90</v>
      </c>
      <c r="H2456" t="str">
        <f>"# 0012871801"</f>
        <v># 0012871801</v>
      </c>
    </row>
    <row r="2457" spans="1:8" x14ac:dyDescent="0.25">
      <c r="E2457" t="str">
        <f>"C67202108175280"</f>
        <v>C67202108175280</v>
      </c>
      <c r="F2457" t="str">
        <f>"13154657"</f>
        <v>13154657</v>
      </c>
      <c r="G2457" s="3">
        <v>101.99</v>
      </c>
      <c r="H2457" t="str">
        <f>"13154657"</f>
        <v>13154657</v>
      </c>
    </row>
    <row r="2458" spans="1:8" x14ac:dyDescent="0.25">
      <c r="E2458" t="str">
        <f>"C69202108175280"</f>
        <v>C69202108175280</v>
      </c>
      <c r="F2458" t="str">
        <f>"0012046911423672"</f>
        <v>0012046911423672</v>
      </c>
      <c r="G2458" s="3">
        <v>138.91999999999999</v>
      </c>
      <c r="H2458" t="str">
        <f>"0012046911423672"</f>
        <v>0012046911423672</v>
      </c>
    </row>
    <row r="2459" spans="1:8" x14ac:dyDescent="0.25">
      <c r="E2459" t="str">
        <f>"C71202108175280"</f>
        <v>C71202108175280</v>
      </c>
      <c r="F2459" t="str">
        <f>"00137390532018V215"</f>
        <v>00137390532018V215</v>
      </c>
      <c r="G2459" s="3">
        <v>264</v>
      </c>
      <c r="H2459" t="str">
        <f>"00137390532018V215"</f>
        <v>00137390532018V215</v>
      </c>
    </row>
    <row r="2460" spans="1:8" x14ac:dyDescent="0.25">
      <c r="E2460" t="str">
        <f>"C72202108175280"</f>
        <v>C72202108175280</v>
      </c>
      <c r="F2460" t="str">
        <f>"0012797601C20130529B"</f>
        <v>0012797601C20130529B</v>
      </c>
      <c r="G2460" s="3">
        <v>241.85</v>
      </c>
      <c r="H2460" t="str">
        <f>"0012797601C20130529B"</f>
        <v>0012797601C20130529B</v>
      </c>
    </row>
    <row r="2461" spans="1:8" x14ac:dyDescent="0.25">
      <c r="E2461" t="str">
        <f>"C78202108175280"</f>
        <v>C78202108175280</v>
      </c>
      <c r="F2461" t="str">
        <f>"00105115972005106221"</f>
        <v>00105115972005106221</v>
      </c>
      <c r="G2461" s="3">
        <v>245.08</v>
      </c>
      <c r="H2461" t="str">
        <f>"00105115972005106221"</f>
        <v>00105115972005106221</v>
      </c>
    </row>
    <row r="2462" spans="1:8" x14ac:dyDescent="0.25">
      <c r="E2462" t="str">
        <f>"C85202108175280"</f>
        <v>C85202108175280</v>
      </c>
      <c r="F2462" t="str">
        <f>"0012469425201770874"</f>
        <v>0012469425201770874</v>
      </c>
      <c r="G2462" s="3">
        <v>138.46</v>
      </c>
      <c r="H2462" t="str">
        <f>"0012469425201770874"</f>
        <v>0012469425201770874</v>
      </c>
    </row>
    <row r="2463" spans="1:8" x14ac:dyDescent="0.25">
      <c r="E2463" t="str">
        <f>"C86202108175280"</f>
        <v>C86202108175280</v>
      </c>
      <c r="F2463" t="str">
        <f>"0013854015101285F"</f>
        <v>0013854015101285F</v>
      </c>
      <c r="G2463" s="3">
        <v>241.85</v>
      </c>
      <c r="H2463" t="str">
        <f>"0013854015101285F"</f>
        <v>0013854015101285F</v>
      </c>
    </row>
    <row r="2464" spans="1:8" x14ac:dyDescent="0.25">
      <c r="E2464" t="str">
        <f>"C87202108175280"</f>
        <v>C87202108175280</v>
      </c>
      <c r="F2464" t="str">
        <f>"0012963634L130019CVB"</f>
        <v>0012963634L130019CVB</v>
      </c>
      <c r="G2464" s="3">
        <v>249.23</v>
      </c>
      <c r="H2464" t="str">
        <f>"0012963634L130019CVB"</f>
        <v>0012963634L130019CVB</v>
      </c>
    </row>
    <row r="2465" spans="1:8" x14ac:dyDescent="0.25">
      <c r="E2465" t="str">
        <f>"C89202108175280"</f>
        <v>C89202108175280</v>
      </c>
      <c r="F2465" t="str">
        <f>"00127760434232477"</f>
        <v>00127760434232477</v>
      </c>
      <c r="G2465" s="3">
        <v>129.69</v>
      </c>
      <c r="H2465" t="str">
        <f>"00127760434232477"</f>
        <v>00127760434232477</v>
      </c>
    </row>
    <row r="2466" spans="1:8" x14ac:dyDescent="0.25">
      <c r="E2466" t="str">
        <f>"C94202108175280"</f>
        <v>C94202108175280</v>
      </c>
      <c r="F2466" t="str">
        <f>"00135877551718312"</f>
        <v>00135877551718312</v>
      </c>
      <c r="G2466" s="3">
        <v>221.54</v>
      </c>
      <c r="H2466" t="str">
        <f>"00135877551718312"</f>
        <v>00135877551718312</v>
      </c>
    </row>
    <row r="2467" spans="1:8" x14ac:dyDescent="0.25">
      <c r="E2467" t="str">
        <f>"C95202108175280"</f>
        <v>C95202108175280</v>
      </c>
      <c r="F2467" t="str">
        <f>"0011792526423338"</f>
        <v>0011792526423338</v>
      </c>
      <c r="G2467" s="3">
        <v>154.62</v>
      </c>
      <c r="H2467" t="str">
        <f>"0011792526423338"</f>
        <v>0011792526423338</v>
      </c>
    </row>
    <row r="2468" spans="1:8" x14ac:dyDescent="0.25">
      <c r="A2468" t="s">
        <v>407</v>
      </c>
      <c r="B2468">
        <v>1272</v>
      </c>
      <c r="C2468" s="3">
        <v>380776.83</v>
      </c>
      <c r="D2468" s="6">
        <v>44428</v>
      </c>
      <c r="E2468" t="str">
        <f>"RET202108045059"</f>
        <v>RET202108045059</v>
      </c>
      <c r="F2468" t="str">
        <f>"TEXAS COUNTY &amp; DISTRICT RET"</f>
        <v>TEXAS COUNTY &amp; DISTRICT RET</v>
      </c>
      <c r="G2468" s="3">
        <v>914.16</v>
      </c>
      <c r="H2468" t="str">
        <f t="shared" ref="H2468:H2499" si="52">"TEXAS COUNTY &amp; DISTRICT RET"</f>
        <v>TEXAS COUNTY &amp; DISTRICT RET</v>
      </c>
    </row>
    <row r="2469" spans="1:8" x14ac:dyDescent="0.25">
      <c r="E2469" t="str">
        <f>""</f>
        <v/>
      </c>
      <c r="F2469" t="str">
        <f>""</f>
        <v/>
      </c>
      <c r="G2469" s="3">
        <v>647.16</v>
      </c>
      <c r="H2469" t="str">
        <f t="shared" si="52"/>
        <v>TEXAS COUNTY &amp; DISTRICT RET</v>
      </c>
    </row>
    <row r="2470" spans="1:8" x14ac:dyDescent="0.25">
      <c r="E2470" t="str">
        <f>""</f>
        <v/>
      </c>
      <c r="F2470" t="str">
        <f>""</f>
        <v/>
      </c>
      <c r="G2470" s="3">
        <v>1691.79</v>
      </c>
      <c r="H2470" t="str">
        <f t="shared" si="52"/>
        <v>TEXAS COUNTY &amp; DISTRICT RET</v>
      </c>
    </row>
    <row r="2471" spans="1:8" x14ac:dyDescent="0.25">
      <c r="E2471" t="str">
        <f>""</f>
        <v/>
      </c>
      <c r="F2471" t="str">
        <f>""</f>
        <v/>
      </c>
      <c r="G2471" s="3">
        <v>718.52</v>
      </c>
      <c r="H2471" t="str">
        <f t="shared" si="52"/>
        <v>TEXAS COUNTY &amp; DISTRICT RET</v>
      </c>
    </row>
    <row r="2472" spans="1:8" x14ac:dyDescent="0.25">
      <c r="E2472" t="str">
        <f>""</f>
        <v/>
      </c>
      <c r="F2472" t="str">
        <f>""</f>
        <v/>
      </c>
      <c r="G2472" s="3">
        <v>312.67</v>
      </c>
      <c r="H2472" t="str">
        <f t="shared" si="52"/>
        <v>TEXAS COUNTY &amp; DISTRICT RET</v>
      </c>
    </row>
    <row r="2473" spans="1:8" x14ac:dyDescent="0.25">
      <c r="E2473" t="str">
        <f>""</f>
        <v/>
      </c>
      <c r="F2473" t="str">
        <f>""</f>
        <v/>
      </c>
      <c r="G2473" s="3">
        <v>1297.05</v>
      </c>
      <c r="H2473" t="str">
        <f t="shared" si="52"/>
        <v>TEXAS COUNTY &amp; DISTRICT RET</v>
      </c>
    </row>
    <row r="2474" spans="1:8" x14ac:dyDescent="0.25">
      <c r="E2474" t="str">
        <f>""</f>
        <v/>
      </c>
      <c r="F2474" t="str">
        <f>""</f>
        <v/>
      </c>
      <c r="G2474" s="3">
        <v>4758.42</v>
      </c>
      <c r="H2474" t="str">
        <f t="shared" si="52"/>
        <v>TEXAS COUNTY &amp; DISTRICT RET</v>
      </c>
    </row>
    <row r="2475" spans="1:8" x14ac:dyDescent="0.25">
      <c r="E2475" t="str">
        <f>""</f>
        <v/>
      </c>
      <c r="F2475" t="str">
        <f>""</f>
        <v/>
      </c>
      <c r="G2475" s="3">
        <v>183.84</v>
      </c>
      <c r="H2475" t="str">
        <f t="shared" si="52"/>
        <v>TEXAS COUNTY &amp; DISTRICT RET</v>
      </c>
    </row>
    <row r="2476" spans="1:8" x14ac:dyDescent="0.25">
      <c r="E2476" t="str">
        <f>""</f>
        <v/>
      </c>
      <c r="F2476" t="str">
        <f>""</f>
        <v/>
      </c>
      <c r="G2476" s="3">
        <v>1466.1</v>
      </c>
      <c r="H2476" t="str">
        <f t="shared" si="52"/>
        <v>TEXAS COUNTY &amp; DISTRICT RET</v>
      </c>
    </row>
    <row r="2477" spans="1:8" x14ac:dyDescent="0.25">
      <c r="E2477" t="str">
        <f>""</f>
        <v/>
      </c>
      <c r="F2477" t="str">
        <f>""</f>
        <v/>
      </c>
      <c r="G2477" s="3">
        <v>1433.55</v>
      </c>
      <c r="H2477" t="str">
        <f t="shared" si="52"/>
        <v>TEXAS COUNTY &amp; DISTRICT RET</v>
      </c>
    </row>
    <row r="2478" spans="1:8" x14ac:dyDescent="0.25">
      <c r="E2478" t="str">
        <f>""</f>
        <v/>
      </c>
      <c r="F2478" t="str">
        <f>""</f>
        <v/>
      </c>
      <c r="G2478" s="3">
        <v>2661.09</v>
      </c>
      <c r="H2478" t="str">
        <f t="shared" si="52"/>
        <v>TEXAS COUNTY &amp; DISTRICT RET</v>
      </c>
    </row>
    <row r="2479" spans="1:8" x14ac:dyDescent="0.25">
      <c r="E2479" t="str">
        <f>""</f>
        <v/>
      </c>
      <c r="F2479" t="str">
        <f>""</f>
        <v/>
      </c>
      <c r="G2479" s="3">
        <v>776.44</v>
      </c>
      <c r="H2479" t="str">
        <f t="shared" si="52"/>
        <v>TEXAS COUNTY &amp; DISTRICT RET</v>
      </c>
    </row>
    <row r="2480" spans="1:8" x14ac:dyDescent="0.25">
      <c r="E2480" t="str">
        <f>""</f>
        <v/>
      </c>
      <c r="F2480" t="str">
        <f>""</f>
        <v/>
      </c>
      <c r="G2480" s="3">
        <v>661.69</v>
      </c>
      <c r="H2480" t="str">
        <f t="shared" si="52"/>
        <v>TEXAS COUNTY &amp; DISTRICT RET</v>
      </c>
    </row>
    <row r="2481" spans="5:8" x14ac:dyDescent="0.25">
      <c r="E2481" t="str">
        <f>""</f>
        <v/>
      </c>
      <c r="F2481" t="str">
        <f>""</f>
        <v/>
      </c>
      <c r="G2481" s="3">
        <v>697.68</v>
      </c>
      <c r="H2481" t="str">
        <f t="shared" si="52"/>
        <v>TEXAS COUNTY &amp; DISTRICT RET</v>
      </c>
    </row>
    <row r="2482" spans="5:8" x14ac:dyDescent="0.25">
      <c r="E2482" t="str">
        <f>""</f>
        <v/>
      </c>
      <c r="F2482" t="str">
        <f>""</f>
        <v/>
      </c>
      <c r="G2482" s="3">
        <v>735.04</v>
      </c>
      <c r="H2482" t="str">
        <f t="shared" si="52"/>
        <v>TEXAS COUNTY &amp; DISTRICT RET</v>
      </c>
    </row>
    <row r="2483" spans="5:8" x14ac:dyDescent="0.25">
      <c r="E2483" t="str">
        <f>""</f>
        <v/>
      </c>
      <c r="F2483" t="str">
        <f>""</f>
        <v/>
      </c>
      <c r="G2483" s="3">
        <v>385.4</v>
      </c>
      <c r="H2483" t="str">
        <f t="shared" si="52"/>
        <v>TEXAS COUNTY &amp; DISTRICT RET</v>
      </c>
    </row>
    <row r="2484" spans="5:8" x14ac:dyDescent="0.25">
      <c r="E2484" t="str">
        <f>""</f>
        <v/>
      </c>
      <c r="F2484" t="str">
        <f>""</f>
        <v/>
      </c>
      <c r="G2484" s="3">
        <v>4669.95</v>
      </c>
      <c r="H2484" t="str">
        <f t="shared" si="52"/>
        <v>TEXAS COUNTY &amp; DISTRICT RET</v>
      </c>
    </row>
    <row r="2485" spans="5:8" x14ac:dyDescent="0.25">
      <c r="E2485" t="str">
        <f>""</f>
        <v/>
      </c>
      <c r="F2485" t="str">
        <f>""</f>
        <v/>
      </c>
      <c r="G2485" s="3">
        <v>1838.56</v>
      </c>
      <c r="H2485" t="str">
        <f t="shared" si="52"/>
        <v>TEXAS COUNTY &amp; DISTRICT RET</v>
      </c>
    </row>
    <row r="2486" spans="5:8" x14ac:dyDescent="0.25">
      <c r="E2486" t="str">
        <f>""</f>
        <v/>
      </c>
      <c r="F2486" t="str">
        <f>""</f>
        <v/>
      </c>
      <c r="G2486" s="3">
        <v>939.79</v>
      </c>
      <c r="H2486" t="str">
        <f t="shared" si="52"/>
        <v>TEXAS COUNTY &amp; DISTRICT RET</v>
      </c>
    </row>
    <row r="2487" spans="5:8" x14ac:dyDescent="0.25">
      <c r="E2487" t="str">
        <f>""</f>
        <v/>
      </c>
      <c r="F2487" t="str">
        <f>""</f>
        <v/>
      </c>
      <c r="G2487" s="3">
        <v>858.91</v>
      </c>
      <c r="H2487" t="str">
        <f t="shared" si="52"/>
        <v>TEXAS COUNTY &amp; DISTRICT RET</v>
      </c>
    </row>
    <row r="2488" spans="5:8" x14ac:dyDescent="0.25">
      <c r="E2488" t="str">
        <f>""</f>
        <v/>
      </c>
      <c r="F2488" t="str">
        <f>""</f>
        <v/>
      </c>
      <c r="G2488" s="3">
        <v>2343.4899999999998</v>
      </c>
      <c r="H2488" t="str">
        <f t="shared" si="52"/>
        <v>TEXAS COUNTY &amp; DISTRICT RET</v>
      </c>
    </row>
    <row r="2489" spans="5:8" x14ac:dyDescent="0.25">
      <c r="E2489" t="str">
        <f>""</f>
        <v/>
      </c>
      <c r="F2489" t="str">
        <f>""</f>
        <v/>
      </c>
      <c r="G2489" s="3">
        <v>1290.1300000000001</v>
      </c>
      <c r="H2489" t="str">
        <f t="shared" si="52"/>
        <v>TEXAS COUNTY &amp; DISTRICT RET</v>
      </c>
    </row>
    <row r="2490" spans="5:8" x14ac:dyDescent="0.25">
      <c r="E2490" t="str">
        <f>""</f>
        <v/>
      </c>
      <c r="F2490" t="str">
        <f>""</f>
        <v/>
      </c>
      <c r="G2490" s="3">
        <v>3162.45</v>
      </c>
      <c r="H2490" t="str">
        <f t="shared" si="52"/>
        <v>TEXAS COUNTY &amp; DISTRICT RET</v>
      </c>
    </row>
    <row r="2491" spans="5:8" x14ac:dyDescent="0.25">
      <c r="E2491" t="str">
        <f>""</f>
        <v/>
      </c>
      <c r="F2491" t="str">
        <f>""</f>
        <v/>
      </c>
      <c r="G2491" s="3">
        <v>2177.91</v>
      </c>
      <c r="H2491" t="str">
        <f t="shared" si="52"/>
        <v>TEXAS COUNTY &amp; DISTRICT RET</v>
      </c>
    </row>
    <row r="2492" spans="5:8" x14ac:dyDescent="0.25">
      <c r="E2492" t="str">
        <f>""</f>
        <v/>
      </c>
      <c r="F2492" t="str">
        <f>""</f>
        <v/>
      </c>
      <c r="G2492" s="3">
        <v>4429.9399999999996</v>
      </c>
      <c r="H2492" t="str">
        <f t="shared" si="52"/>
        <v>TEXAS COUNTY &amp; DISTRICT RET</v>
      </c>
    </row>
    <row r="2493" spans="5:8" x14ac:dyDescent="0.25">
      <c r="E2493" t="str">
        <f>""</f>
        <v/>
      </c>
      <c r="F2493" t="str">
        <f>""</f>
        <v/>
      </c>
      <c r="G2493" s="3">
        <v>235.17</v>
      </c>
      <c r="H2493" t="str">
        <f t="shared" si="52"/>
        <v>TEXAS COUNTY &amp; DISTRICT RET</v>
      </c>
    </row>
    <row r="2494" spans="5:8" x14ac:dyDescent="0.25">
      <c r="E2494" t="str">
        <f>""</f>
        <v/>
      </c>
      <c r="F2494" t="str">
        <f>""</f>
        <v/>
      </c>
      <c r="G2494" s="3">
        <v>235.17</v>
      </c>
      <c r="H2494" t="str">
        <f t="shared" si="52"/>
        <v>TEXAS COUNTY &amp; DISTRICT RET</v>
      </c>
    </row>
    <row r="2495" spans="5:8" x14ac:dyDescent="0.25">
      <c r="E2495" t="str">
        <f>""</f>
        <v/>
      </c>
      <c r="F2495" t="str">
        <f>""</f>
        <v/>
      </c>
      <c r="G2495" s="3">
        <v>235.17</v>
      </c>
      <c r="H2495" t="str">
        <f t="shared" si="52"/>
        <v>TEXAS COUNTY &amp; DISTRICT RET</v>
      </c>
    </row>
    <row r="2496" spans="5:8" x14ac:dyDescent="0.25">
      <c r="E2496" t="str">
        <f>""</f>
        <v/>
      </c>
      <c r="F2496" t="str">
        <f>""</f>
        <v/>
      </c>
      <c r="G2496" s="3">
        <v>235.17</v>
      </c>
      <c r="H2496" t="str">
        <f t="shared" si="52"/>
        <v>TEXAS COUNTY &amp; DISTRICT RET</v>
      </c>
    </row>
    <row r="2497" spans="5:8" x14ac:dyDescent="0.25">
      <c r="E2497" t="str">
        <f>""</f>
        <v/>
      </c>
      <c r="F2497" t="str">
        <f>""</f>
        <v/>
      </c>
      <c r="G2497" s="3">
        <v>24537.32</v>
      </c>
      <c r="H2497" t="str">
        <f t="shared" si="52"/>
        <v>TEXAS COUNTY &amp; DISTRICT RET</v>
      </c>
    </row>
    <row r="2498" spans="5:8" x14ac:dyDescent="0.25">
      <c r="E2498" t="str">
        <f>""</f>
        <v/>
      </c>
      <c r="F2498" t="str">
        <f>""</f>
        <v/>
      </c>
      <c r="G2498" s="3">
        <v>1056.69</v>
      </c>
      <c r="H2498" t="str">
        <f t="shared" si="52"/>
        <v>TEXAS COUNTY &amp; DISTRICT RET</v>
      </c>
    </row>
    <row r="2499" spans="5:8" x14ac:dyDescent="0.25">
      <c r="E2499" t="str">
        <f>""</f>
        <v/>
      </c>
      <c r="F2499" t="str">
        <f>""</f>
        <v/>
      </c>
      <c r="G2499" s="3">
        <v>21656.28</v>
      </c>
      <c r="H2499" t="str">
        <f t="shared" si="52"/>
        <v>TEXAS COUNTY &amp; DISTRICT RET</v>
      </c>
    </row>
    <row r="2500" spans="5:8" x14ac:dyDescent="0.25">
      <c r="E2500" t="str">
        <f>""</f>
        <v/>
      </c>
      <c r="F2500" t="str">
        <f>""</f>
        <v/>
      </c>
      <c r="G2500" s="3">
        <v>3100.47</v>
      </c>
      <c r="H2500" t="str">
        <f t="shared" ref="H2500:H2519" si="53">"TEXAS COUNTY &amp; DISTRICT RET"</f>
        <v>TEXAS COUNTY &amp; DISTRICT RET</v>
      </c>
    </row>
    <row r="2501" spans="5:8" x14ac:dyDescent="0.25">
      <c r="E2501" t="str">
        <f>""</f>
        <v/>
      </c>
      <c r="F2501" t="str">
        <f>""</f>
        <v/>
      </c>
      <c r="G2501" s="3">
        <v>209.99</v>
      </c>
      <c r="H2501" t="str">
        <f t="shared" si="53"/>
        <v>TEXAS COUNTY &amp; DISTRICT RET</v>
      </c>
    </row>
    <row r="2502" spans="5:8" x14ac:dyDescent="0.25">
      <c r="E2502" t="str">
        <f>""</f>
        <v/>
      </c>
      <c r="F2502" t="str">
        <f>""</f>
        <v/>
      </c>
      <c r="G2502" s="3">
        <v>618.89</v>
      </c>
      <c r="H2502" t="str">
        <f t="shared" si="53"/>
        <v>TEXAS COUNTY &amp; DISTRICT RET</v>
      </c>
    </row>
    <row r="2503" spans="5:8" x14ac:dyDescent="0.25">
      <c r="E2503" t="str">
        <f>""</f>
        <v/>
      </c>
      <c r="F2503" t="str">
        <f>""</f>
        <v/>
      </c>
      <c r="G2503" s="3">
        <v>60.22</v>
      </c>
      <c r="H2503" t="str">
        <f t="shared" si="53"/>
        <v>TEXAS COUNTY &amp; DISTRICT RET</v>
      </c>
    </row>
    <row r="2504" spans="5:8" x14ac:dyDescent="0.25">
      <c r="E2504" t="str">
        <f>""</f>
        <v/>
      </c>
      <c r="F2504" t="str">
        <f>""</f>
        <v/>
      </c>
      <c r="G2504" s="3">
        <v>569.58000000000004</v>
      </c>
      <c r="H2504" t="str">
        <f t="shared" si="53"/>
        <v>TEXAS COUNTY &amp; DISTRICT RET</v>
      </c>
    </row>
    <row r="2505" spans="5:8" x14ac:dyDescent="0.25">
      <c r="E2505" t="str">
        <f>""</f>
        <v/>
      </c>
      <c r="F2505" t="str">
        <f>""</f>
        <v/>
      </c>
      <c r="G2505" s="3">
        <v>201.13</v>
      </c>
      <c r="H2505" t="str">
        <f t="shared" si="53"/>
        <v>TEXAS COUNTY &amp; DISTRICT RET</v>
      </c>
    </row>
    <row r="2506" spans="5:8" x14ac:dyDescent="0.25">
      <c r="E2506" t="str">
        <f>""</f>
        <v/>
      </c>
      <c r="F2506" t="str">
        <f>""</f>
        <v/>
      </c>
      <c r="G2506" s="3">
        <v>629.57000000000005</v>
      </c>
      <c r="H2506" t="str">
        <f t="shared" si="53"/>
        <v>TEXAS COUNTY &amp; DISTRICT RET</v>
      </c>
    </row>
    <row r="2507" spans="5:8" x14ac:dyDescent="0.25">
      <c r="E2507" t="str">
        <f>""</f>
        <v/>
      </c>
      <c r="F2507" t="str">
        <f>""</f>
        <v/>
      </c>
      <c r="G2507" s="3">
        <v>333.57</v>
      </c>
      <c r="H2507" t="str">
        <f t="shared" si="53"/>
        <v>TEXAS COUNTY &amp; DISTRICT RET</v>
      </c>
    </row>
    <row r="2508" spans="5:8" x14ac:dyDescent="0.25">
      <c r="E2508" t="str">
        <f>""</f>
        <v/>
      </c>
      <c r="F2508" t="str">
        <f>""</f>
        <v/>
      </c>
      <c r="G2508" s="3">
        <v>203.96</v>
      </c>
      <c r="H2508" t="str">
        <f t="shared" si="53"/>
        <v>TEXAS COUNTY &amp; DISTRICT RET</v>
      </c>
    </row>
    <row r="2509" spans="5:8" x14ac:dyDescent="0.25">
      <c r="E2509" t="str">
        <f>""</f>
        <v/>
      </c>
      <c r="F2509" t="str">
        <f>""</f>
        <v/>
      </c>
      <c r="G2509" s="3">
        <v>2553.66</v>
      </c>
      <c r="H2509" t="str">
        <f t="shared" si="53"/>
        <v>TEXAS COUNTY &amp; DISTRICT RET</v>
      </c>
    </row>
    <row r="2510" spans="5:8" x14ac:dyDescent="0.25">
      <c r="E2510" t="str">
        <f>""</f>
        <v/>
      </c>
      <c r="F2510" t="str">
        <f>""</f>
        <v/>
      </c>
      <c r="G2510" s="3">
        <v>3084.81</v>
      </c>
      <c r="H2510" t="str">
        <f t="shared" si="53"/>
        <v>TEXAS COUNTY &amp; DISTRICT RET</v>
      </c>
    </row>
    <row r="2511" spans="5:8" x14ac:dyDescent="0.25">
      <c r="E2511" t="str">
        <f>""</f>
        <v/>
      </c>
      <c r="F2511" t="str">
        <f>""</f>
        <v/>
      </c>
      <c r="G2511" s="3">
        <v>2819.51</v>
      </c>
      <c r="H2511" t="str">
        <f t="shared" si="53"/>
        <v>TEXAS COUNTY &amp; DISTRICT RET</v>
      </c>
    </row>
    <row r="2512" spans="5:8" x14ac:dyDescent="0.25">
      <c r="E2512" t="str">
        <f>""</f>
        <v/>
      </c>
      <c r="F2512" t="str">
        <f>""</f>
        <v/>
      </c>
      <c r="G2512" s="3">
        <v>3693.79</v>
      </c>
      <c r="H2512" t="str">
        <f t="shared" si="53"/>
        <v>TEXAS COUNTY &amp; DISTRICT RET</v>
      </c>
    </row>
    <row r="2513" spans="5:8" x14ac:dyDescent="0.25">
      <c r="E2513" t="str">
        <f>""</f>
        <v/>
      </c>
      <c r="F2513" t="str">
        <f>""</f>
        <v/>
      </c>
      <c r="G2513" s="3">
        <v>551.08000000000004</v>
      </c>
      <c r="H2513" t="str">
        <f t="shared" si="53"/>
        <v>TEXAS COUNTY &amp; DISTRICT RET</v>
      </c>
    </row>
    <row r="2514" spans="5:8" x14ac:dyDescent="0.25">
      <c r="E2514" t="str">
        <f>""</f>
        <v/>
      </c>
      <c r="F2514" t="str">
        <f>""</f>
        <v/>
      </c>
      <c r="G2514" s="3">
        <v>404.88</v>
      </c>
      <c r="H2514" t="str">
        <f t="shared" si="53"/>
        <v>TEXAS COUNTY &amp; DISTRICT RET</v>
      </c>
    </row>
    <row r="2515" spans="5:8" x14ac:dyDescent="0.25">
      <c r="E2515" t="str">
        <f>""</f>
        <v/>
      </c>
      <c r="F2515" t="str">
        <f>""</f>
        <v/>
      </c>
      <c r="G2515" s="3">
        <v>53.98</v>
      </c>
      <c r="H2515" t="str">
        <f t="shared" si="53"/>
        <v>TEXAS COUNTY &amp; DISTRICT RET</v>
      </c>
    </row>
    <row r="2516" spans="5:8" x14ac:dyDescent="0.25">
      <c r="E2516" t="str">
        <f>""</f>
        <v/>
      </c>
      <c r="F2516" t="str">
        <f>""</f>
        <v/>
      </c>
      <c r="G2516" s="3">
        <v>26.88</v>
      </c>
      <c r="H2516" t="str">
        <f t="shared" si="53"/>
        <v>TEXAS COUNTY &amp; DISTRICT RET</v>
      </c>
    </row>
    <row r="2517" spans="5:8" x14ac:dyDescent="0.25">
      <c r="E2517" t="str">
        <f>""</f>
        <v/>
      </c>
      <c r="F2517" t="str">
        <f>""</f>
        <v/>
      </c>
      <c r="G2517" s="3">
        <v>37.950000000000003</v>
      </c>
      <c r="H2517" t="str">
        <f t="shared" si="53"/>
        <v>TEXAS COUNTY &amp; DISTRICT RET</v>
      </c>
    </row>
    <row r="2518" spans="5:8" x14ac:dyDescent="0.25">
      <c r="E2518" t="str">
        <f>""</f>
        <v/>
      </c>
      <c r="F2518" t="str">
        <f>""</f>
        <v/>
      </c>
      <c r="G2518" s="3">
        <v>640.99</v>
      </c>
      <c r="H2518" t="str">
        <f t="shared" si="53"/>
        <v>TEXAS COUNTY &amp; DISTRICT RET</v>
      </c>
    </row>
    <row r="2519" spans="5:8" x14ac:dyDescent="0.25">
      <c r="E2519" t="str">
        <f>""</f>
        <v/>
      </c>
      <c r="F2519" t="str">
        <f>""</f>
        <v/>
      </c>
      <c r="G2519" s="3">
        <v>70803.649999999994</v>
      </c>
      <c r="H2519" t="str">
        <f t="shared" si="53"/>
        <v>TEXAS COUNTY &amp; DISTRICT RET</v>
      </c>
    </row>
    <row r="2520" spans="5:8" x14ac:dyDescent="0.25">
      <c r="E2520" t="str">
        <f>"RET202108045060"</f>
        <v>RET202108045060</v>
      </c>
      <c r="F2520" t="str">
        <f>"TEXAS COUNTY  DISTRICT RET"</f>
        <v>TEXAS COUNTY  DISTRICT RET</v>
      </c>
      <c r="G2520" s="3">
        <v>3383.19</v>
      </c>
      <c r="H2520" t="str">
        <f>"TEXAS COUNTY  DISTRICT RET"</f>
        <v>TEXAS COUNTY  DISTRICT RET</v>
      </c>
    </row>
    <row r="2521" spans="5:8" x14ac:dyDescent="0.25">
      <c r="E2521" t="str">
        <f>""</f>
        <v/>
      </c>
      <c r="F2521" t="str">
        <f>""</f>
        <v/>
      </c>
      <c r="G2521" s="3">
        <v>2196.89</v>
      </c>
      <c r="H2521" t="str">
        <f>"TEXAS COUNTY  DISTRICT RET"</f>
        <v>TEXAS COUNTY  DISTRICT RET</v>
      </c>
    </row>
    <row r="2522" spans="5:8" x14ac:dyDescent="0.25">
      <c r="E2522" t="str">
        <f>"RET202108045061"</f>
        <v>RET202108045061</v>
      </c>
      <c r="F2522" t="str">
        <f>"TEXAS COUNTY &amp; DISTRICT RET"</f>
        <v>TEXAS COUNTY &amp; DISTRICT RET</v>
      </c>
      <c r="G2522" s="3">
        <v>4060.69</v>
      </c>
      <c r="H2522" t="str">
        <f t="shared" ref="H2522:H2553" si="54">"TEXAS COUNTY &amp; DISTRICT RET"</f>
        <v>TEXAS COUNTY &amp; DISTRICT RET</v>
      </c>
    </row>
    <row r="2523" spans="5:8" x14ac:dyDescent="0.25">
      <c r="E2523" t="str">
        <f>""</f>
        <v/>
      </c>
      <c r="F2523" t="str">
        <f>""</f>
        <v/>
      </c>
      <c r="G2523" s="3">
        <v>2636.79</v>
      </c>
      <c r="H2523" t="str">
        <f t="shared" si="54"/>
        <v>TEXAS COUNTY &amp; DISTRICT RET</v>
      </c>
    </row>
    <row r="2524" spans="5:8" x14ac:dyDescent="0.25">
      <c r="E2524" t="str">
        <f>"RET202108095120"</f>
        <v>RET202108095120</v>
      </c>
      <c r="F2524" t="str">
        <f>"TEXAS COUNTY &amp; DISTRICT RET"</f>
        <v>TEXAS COUNTY &amp; DISTRICT RET</v>
      </c>
      <c r="G2524" s="3">
        <v>50.66</v>
      </c>
      <c r="H2524" t="str">
        <f t="shared" si="54"/>
        <v>TEXAS COUNTY &amp; DISTRICT RET</v>
      </c>
    </row>
    <row r="2525" spans="5:8" x14ac:dyDescent="0.25">
      <c r="E2525" t="str">
        <f>""</f>
        <v/>
      </c>
      <c r="F2525" t="str">
        <f>""</f>
        <v/>
      </c>
      <c r="G2525" s="3">
        <v>215.91</v>
      </c>
      <c r="H2525" t="str">
        <f t="shared" si="54"/>
        <v>TEXAS COUNTY &amp; DISTRICT RET</v>
      </c>
    </row>
    <row r="2526" spans="5:8" x14ac:dyDescent="0.25">
      <c r="E2526" t="str">
        <f>""</f>
        <v/>
      </c>
      <c r="F2526" t="str">
        <f>""</f>
        <v/>
      </c>
      <c r="G2526" s="3">
        <v>173.1</v>
      </c>
      <c r="H2526" t="str">
        <f t="shared" si="54"/>
        <v>TEXAS COUNTY &amp; DISTRICT RET</v>
      </c>
    </row>
    <row r="2527" spans="5:8" x14ac:dyDescent="0.25">
      <c r="E2527" t="str">
        <f>"RET202108175280"</f>
        <v>RET202108175280</v>
      </c>
      <c r="F2527" t="str">
        <f>"TEXAS COUNTY &amp; DISTRICT RET"</f>
        <v>TEXAS COUNTY &amp; DISTRICT RET</v>
      </c>
      <c r="G2527" s="3">
        <v>914.16</v>
      </c>
      <c r="H2527" t="str">
        <f t="shared" si="54"/>
        <v>TEXAS COUNTY &amp; DISTRICT RET</v>
      </c>
    </row>
    <row r="2528" spans="5:8" x14ac:dyDescent="0.25">
      <c r="E2528" t="str">
        <f>""</f>
        <v/>
      </c>
      <c r="F2528" t="str">
        <f>""</f>
        <v/>
      </c>
      <c r="G2528" s="3">
        <v>647.16</v>
      </c>
      <c r="H2528" t="str">
        <f t="shared" si="54"/>
        <v>TEXAS COUNTY &amp; DISTRICT RET</v>
      </c>
    </row>
    <row r="2529" spans="5:8" x14ac:dyDescent="0.25">
      <c r="E2529" t="str">
        <f>""</f>
        <v/>
      </c>
      <c r="F2529" t="str">
        <f>""</f>
        <v/>
      </c>
      <c r="G2529" s="3">
        <v>1743.5</v>
      </c>
      <c r="H2529" t="str">
        <f t="shared" si="54"/>
        <v>TEXAS COUNTY &amp; DISTRICT RET</v>
      </c>
    </row>
    <row r="2530" spans="5:8" x14ac:dyDescent="0.25">
      <c r="E2530" t="str">
        <f>""</f>
        <v/>
      </c>
      <c r="F2530" t="str">
        <f>""</f>
        <v/>
      </c>
      <c r="G2530" s="3">
        <v>722.67</v>
      </c>
      <c r="H2530" t="str">
        <f t="shared" si="54"/>
        <v>TEXAS COUNTY &amp; DISTRICT RET</v>
      </c>
    </row>
    <row r="2531" spans="5:8" x14ac:dyDescent="0.25">
      <c r="E2531" t="str">
        <f>""</f>
        <v/>
      </c>
      <c r="F2531" t="str">
        <f>""</f>
        <v/>
      </c>
      <c r="G2531" s="3">
        <v>312.67</v>
      </c>
      <c r="H2531" t="str">
        <f t="shared" si="54"/>
        <v>TEXAS COUNTY &amp; DISTRICT RET</v>
      </c>
    </row>
    <row r="2532" spans="5:8" x14ac:dyDescent="0.25">
      <c r="E2532" t="str">
        <f>""</f>
        <v/>
      </c>
      <c r="F2532" t="str">
        <f>""</f>
        <v/>
      </c>
      <c r="G2532" s="3">
        <v>1382.04</v>
      </c>
      <c r="H2532" t="str">
        <f t="shared" si="54"/>
        <v>TEXAS COUNTY &amp; DISTRICT RET</v>
      </c>
    </row>
    <row r="2533" spans="5:8" x14ac:dyDescent="0.25">
      <c r="E2533" t="str">
        <f>""</f>
        <v/>
      </c>
      <c r="F2533" t="str">
        <f>""</f>
        <v/>
      </c>
      <c r="G2533" s="3">
        <v>5026.3</v>
      </c>
      <c r="H2533" t="str">
        <f t="shared" si="54"/>
        <v>TEXAS COUNTY &amp; DISTRICT RET</v>
      </c>
    </row>
    <row r="2534" spans="5:8" x14ac:dyDescent="0.25">
      <c r="E2534" t="str">
        <f>""</f>
        <v/>
      </c>
      <c r="F2534" t="str">
        <f>""</f>
        <v/>
      </c>
      <c r="G2534" s="3">
        <v>183.84</v>
      </c>
      <c r="H2534" t="str">
        <f t="shared" si="54"/>
        <v>TEXAS COUNTY &amp; DISTRICT RET</v>
      </c>
    </row>
    <row r="2535" spans="5:8" x14ac:dyDescent="0.25">
      <c r="E2535" t="str">
        <f>""</f>
        <v/>
      </c>
      <c r="F2535" t="str">
        <f>""</f>
        <v/>
      </c>
      <c r="G2535" s="3">
        <v>1466.1</v>
      </c>
      <c r="H2535" t="str">
        <f t="shared" si="54"/>
        <v>TEXAS COUNTY &amp; DISTRICT RET</v>
      </c>
    </row>
    <row r="2536" spans="5:8" x14ac:dyDescent="0.25">
      <c r="E2536" t="str">
        <f>""</f>
        <v/>
      </c>
      <c r="F2536" t="str">
        <f>""</f>
        <v/>
      </c>
      <c r="G2536" s="3">
        <v>1433.55</v>
      </c>
      <c r="H2536" t="str">
        <f t="shared" si="54"/>
        <v>TEXAS COUNTY &amp; DISTRICT RET</v>
      </c>
    </row>
    <row r="2537" spans="5:8" x14ac:dyDescent="0.25">
      <c r="E2537" t="str">
        <f>""</f>
        <v/>
      </c>
      <c r="F2537" t="str">
        <f>""</f>
        <v/>
      </c>
      <c r="G2537" s="3">
        <v>2677.05</v>
      </c>
      <c r="H2537" t="str">
        <f t="shared" si="54"/>
        <v>TEXAS COUNTY &amp; DISTRICT RET</v>
      </c>
    </row>
    <row r="2538" spans="5:8" x14ac:dyDescent="0.25">
      <c r="E2538" t="str">
        <f>""</f>
        <v/>
      </c>
      <c r="F2538" t="str">
        <f>""</f>
        <v/>
      </c>
      <c r="G2538" s="3">
        <v>806.08</v>
      </c>
      <c r="H2538" t="str">
        <f t="shared" si="54"/>
        <v>TEXAS COUNTY &amp; DISTRICT RET</v>
      </c>
    </row>
    <row r="2539" spans="5:8" x14ac:dyDescent="0.25">
      <c r="E2539" t="str">
        <f>""</f>
        <v/>
      </c>
      <c r="F2539" t="str">
        <f>""</f>
        <v/>
      </c>
      <c r="G2539" s="3">
        <v>661.69</v>
      </c>
      <c r="H2539" t="str">
        <f t="shared" si="54"/>
        <v>TEXAS COUNTY &amp; DISTRICT RET</v>
      </c>
    </row>
    <row r="2540" spans="5:8" x14ac:dyDescent="0.25">
      <c r="E2540" t="str">
        <f>""</f>
        <v/>
      </c>
      <c r="F2540" t="str">
        <f>""</f>
        <v/>
      </c>
      <c r="G2540" s="3">
        <v>704.35</v>
      </c>
      <c r="H2540" t="str">
        <f t="shared" si="54"/>
        <v>TEXAS COUNTY &amp; DISTRICT RET</v>
      </c>
    </row>
    <row r="2541" spans="5:8" x14ac:dyDescent="0.25">
      <c r="E2541" t="str">
        <f>""</f>
        <v/>
      </c>
      <c r="F2541" t="str">
        <f>""</f>
        <v/>
      </c>
      <c r="G2541" s="3">
        <v>735.04</v>
      </c>
      <c r="H2541" t="str">
        <f t="shared" si="54"/>
        <v>TEXAS COUNTY &amp; DISTRICT RET</v>
      </c>
    </row>
    <row r="2542" spans="5:8" x14ac:dyDescent="0.25">
      <c r="E2542" t="str">
        <f>""</f>
        <v/>
      </c>
      <c r="F2542" t="str">
        <f>""</f>
        <v/>
      </c>
      <c r="G2542" s="3">
        <v>385.4</v>
      </c>
      <c r="H2542" t="str">
        <f t="shared" si="54"/>
        <v>TEXAS COUNTY &amp; DISTRICT RET</v>
      </c>
    </row>
    <row r="2543" spans="5:8" x14ac:dyDescent="0.25">
      <c r="E2543" t="str">
        <f>""</f>
        <v/>
      </c>
      <c r="F2543" t="str">
        <f>""</f>
        <v/>
      </c>
      <c r="G2543" s="3">
        <v>4669.95</v>
      </c>
      <c r="H2543" t="str">
        <f t="shared" si="54"/>
        <v>TEXAS COUNTY &amp; DISTRICT RET</v>
      </c>
    </row>
    <row r="2544" spans="5:8" x14ac:dyDescent="0.25">
      <c r="E2544" t="str">
        <f>""</f>
        <v/>
      </c>
      <c r="F2544" t="str">
        <f>""</f>
        <v/>
      </c>
      <c r="G2544" s="3">
        <v>1838.56</v>
      </c>
      <c r="H2544" t="str">
        <f t="shared" si="54"/>
        <v>TEXAS COUNTY &amp; DISTRICT RET</v>
      </c>
    </row>
    <row r="2545" spans="5:8" x14ac:dyDescent="0.25">
      <c r="E2545" t="str">
        <f>""</f>
        <v/>
      </c>
      <c r="F2545" t="str">
        <f>""</f>
        <v/>
      </c>
      <c r="G2545" s="3">
        <v>939.79</v>
      </c>
      <c r="H2545" t="str">
        <f t="shared" si="54"/>
        <v>TEXAS COUNTY &amp; DISTRICT RET</v>
      </c>
    </row>
    <row r="2546" spans="5:8" x14ac:dyDescent="0.25">
      <c r="E2546" t="str">
        <f>""</f>
        <v/>
      </c>
      <c r="F2546" t="str">
        <f>""</f>
        <v/>
      </c>
      <c r="G2546" s="3">
        <v>858.91</v>
      </c>
      <c r="H2546" t="str">
        <f t="shared" si="54"/>
        <v>TEXAS COUNTY &amp; DISTRICT RET</v>
      </c>
    </row>
    <row r="2547" spans="5:8" x14ac:dyDescent="0.25">
      <c r="E2547" t="str">
        <f>""</f>
        <v/>
      </c>
      <c r="F2547" t="str">
        <f>""</f>
        <v/>
      </c>
      <c r="G2547" s="3">
        <v>2343.4899999999998</v>
      </c>
      <c r="H2547" t="str">
        <f t="shared" si="54"/>
        <v>TEXAS COUNTY &amp; DISTRICT RET</v>
      </c>
    </row>
    <row r="2548" spans="5:8" x14ac:dyDescent="0.25">
      <c r="E2548" t="str">
        <f>""</f>
        <v/>
      </c>
      <c r="F2548" t="str">
        <f>""</f>
        <v/>
      </c>
      <c r="G2548" s="3">
        <v>1290.1300000000001</v>
      </c>
      <c r="H2548" t="str">
        <f t="shared" si="54"/>
        <v>TEXAS COUNTY &amp; DISTRICT RET</v>
      </c>
    </row>
    <row r="2549" spans="5:8" x14ac:dyDescent="0.25">
      <c r="E2549" t="str">
        <f>""</f>
        <v/>
      </c>
      <c r="F2549" t="str">
        <f>""</f>
        <v/>
      </c>
      <c r="G2549" s="3">
        <v>3159.87</v>
      </c>
      <c r="H2549" t="str">
        <f t="shared" si="54"/>
        <v>TEXAS COUNTY &amp; DISTRICT RET</v>
      </c>
    </row>
    <row r="2550" spans="5:8" x14ac:dyDescent="0.25">
      <c r="E2550" t="str">
        <f>""</f>
        <v/>
      </c>
      <c r="F2550" t="str">
        <f>""</f>
        <v/>
      </c>
      <c r="G2550" s="3">
        <v>2137.6999999999998</v>
      </c>
      <c r="H2550" t="str">
        <f t="shared" si="54"/>
        <v>TEXAS COUNTY &amp; DISTRICT RET</v>
      </c>
    </row>
    <row r="2551" spans="5:8" x14ac:dyDescent="0.25">
      <c r="E2551" t="str">
        <f>""</f>
        <v/>
      </c>
      <c r="F2551" t="str">
        <f>""</f>
        <v/>
      </c>
      <c r="G2551" s="3">
        <v>4674.1499999999996</v>
      </c>
      <c r="H2551" t="str">
        <f t="shared" si="54"/>
        <v>TEXAS COUNTY &amp; DISTRICT RET</v>
      </c>
    </row>
    <row r="2552" spans="5:8" x14ac:dyDescent="0.25">
      <c r="E2552" t="str">
        <f>""</f>
        <v/>
      </c>
      <c r="F2552" t="str">
        <f>""</f>
        <v/>
      </c>
      <c r="G2552" s="3">
        <v>235.17</v>
      </c>
      <c r="H2552" t="str">
        <f t="shared" si="54"/>
        <v>TEXAS COUNTY &amp; DISTRICT RET</v>
      </c>
    </row>
    <row r="2553" spans="5:8" x14ac:dyDescent="0.25">
      <c r="E2553" t="str">
        <f>""</f>
        <v/>
      </c>
      <c r="F2553" t="str">
        <f>""</f>
        <v/>
      </c>
      <c r="G2553" s="3">
        <v>235.17</v>
      </c>
      <c r="H2553" t="str">
        <f t="shared" si="54"/>
        <v>TEXAS COUNTY &amp; DISTRICT RET</v>
      </c>
    </row>
    <row r="2554" spans="5:8" x14ac:dyDescent="0.25">
      <c r="E2554" t="str">
        <f>""</f>
        <v/>
      </c>
      <c r="F2554" t="str">
        <f>""</f>
        <v/>
      </c>
      <c r="G2554" s="3">
        <v>235.17</v>
      </c>
      <c r="H2554" t="str">
        <f t="shared" ref="H2554:H2578" si="55">"TEXAS COUNTY &amp; DISTRICT RET"</f>
        <v>TEXAS COUNTY &amp; DISTRICT RET</v>
      </c>
    </row>
    <row r="2555" spans="5:8" x14ac:dyDescent="0.25">
      <c r="E2555" t="str">
        <f>""</f>
        <v/>
      </c>
      <c r="F2555" t="str">
        <f>""</f>
        <v/>
      </c>
      <c r="G2555" s="3">
        <v>235.17</v>
      </c>
      <c r="H2555" t="str">
        <f t="shared" si="55"/>
        <v>TEXAS COUNTY &amp; DISTRICT RET</v>
      </c>
    </row>
    <row r="2556" spans="5:8" x14ac:dyDescent="0.25">
      <c r="E2556" t="str">
        <f>""</f>
        <v/>
      </c>
      <c r="F2556" t="str">
        <f>""</f>
        <v/>
      </c>
      <c r="G2556" s="3">
        <v>24556.74</v>
      </c>
      <c r="H2556" t="str">
        <f t="shared" si="55"/>
        <v>TEXAS COUNTY &amp; DISTRICT RET</v>
      </c>
    </row>
    <row r="2557" spans="5:8" x14ac:dyDescent="0.25">
      <c r="E2557" t="str">
        <f>""</f>
        <v/>
      </c>
      <c r="F2557" t="str">
        <f>""</f>
        <v/>
      </c>
      <c r="G2557" s="3">
        <v>1056.69</v>
      </c>
      <c r="H2557" t="str">
        <f t="shared" si="55"/>
        <v>TEXAS COUNTY &amp; DISTRICT RET</v>
      </c>
    </row>
    <row r="2558" spans="5:8" x14ac:dyDescent="0.25">
      <c r="E2558" t="str">
        <f>""</f>
        <v/>
      </c>
      <c r="F2558" t="str">
        <f>""</f>
        <v/>
      </c>
      <c r="G2558" s="3">
        <v>19019.330000000002</v>
      </c>
      <c r="H2558" t="str">
        <f t="shared" si="55"/>
        <v>TEXAS COUNTY &amp; DISTRICT RET</v>
      </c>
    </row>
    <row r="2559" spans="5:8" x14ac:dyDescent="0.25">
      <c r="E2559" t="str">
        <f>""</f>
        <v/>
      </c>
      <c r="F2559" t="str">
        <f>""</f>
        <v/>
      </c>
      <c r="G2559" s="3">
        <v>3101.46</v>
      </c>
      <c r="H2559" t="str">
        <f t="shared" si="55"/>
        <v>TEXAS COUNTY &amp; DISTRICT RET</v>
      </c>
    </row>
    <row r="2560" spans="5:8" x14ac:dyDescent="0.25">
      <c r="E2560" t="str">
        <f>""</f>
        <v/>
      </c>
      <c r="F2560" t="str">
        <f>""</f>
        <v/>
      </c>
      <c r="G2560" s="3">
        <v>209.99</v>
      </c>
      <c r="H2560" t="str">
        <f t="shared" si="55"/>
        <v>TEXAS COUNTY &amp; DISTRICT RET</v>
      </c>
    </row>
    <row r="2561" spans="5:8" x14ac:dyDescent="0.25">
      <c r="E2561" t="str">
        <f>""</f>
        <v/>
      </c>
      <c r="F2561" t="str">
        <f>""</f>
        <v/>
      </c>
      <c r="G2561" s="3">
        <v>618.89</v>
      </c>
      <c r="H2561" t="str">
        <f t="shared" si="55"/>
        <v>TEXAS COUNTY &amp; DISTRICT RET</v>
      </c>
    </row>
    <row r="2562" spans="5:8" x14ac:dyDescent="0.25">
      <c r="E2562" t="str">
        <f>""</f>
        <v/>
      </c>
      <c r="F2562" t="str">
        <f>""</f>
        <v/>
      </c>
      <c r="G2562" s="3">
        <v>60.22</v>
      </c>
      <c r="H2562" t="str">
        <f t="shared" si="55"/>
        <v>TEXAS COUNTY &amp; DISTRICT RET</v>
      </c>
    </row>
    <row r="2563" spans="5:8" x14ac:dyDescent="0.25">
      <c r="E2563" t="str">
        <f>""</f>
        <v/>
      </c>
      <c r="F2563" t="str">
        <f>""</f>
        <v/>
      </c>
      <c r="G2563" s="3">
        <v>569.58000000000004</v>
      </c>
      <c r="H2563" t="str">
        <f t="shared" si="55"/>
        <v>TEXAS COUNTY &amp; DISTRICT RET</v>
      </c>
    </row>
    <row r="2564" spans="5:8" x14ac:dyDescent="0.25">
      <c r="E2564" t="str">
        <f>""</f>
        <v/>
      </c>
      <c r="F2564" t="str">
        <f>""</f>
        <v/>
      </c>
      <c r="G2564" s="3">
        <v>201.13</v>
      </c>
      <c r="H2564" t="str">
        <f t="shared" si="55"/>
        <v>TEXAS COUNTY &amp; DISTRICT RET</v>
      </c>
    </row>
    <row r="2565" spans="5:8" x14ac:dyDescent="0.25">
      <c r="E2565" t="str">
        <f>""</f>
        <v/>
      </c>
      <c r="F2565" t="str">
        <f>""</f>
        <v/>
      </c>
      <c r="G2565" s="3">
        <v>629.57000000000005</v>
      </c>
      <c r="H2565" t="str">
        <f t="shared" si="55"/>
        <v>TEXAS COUNTY &amp; DISTRICT RET</v>
      </c>
    </row>
    <row r="2566" spans="5:8" x14ac:dyDescent="0.25">
      <c r="E2566" t="str">
        <f>""</f>
        <v/>
      </c>
      <c r="F2566" t="str">
        <f>""</f>
        <v/>
      </c>
      <c r="G2566" s="3">
        <v>333.57</v>
      </c>
      <c r="H2566" t="str">
        <f t="shared" si="55"/>
        <v>TEXAS COUNTY &amp; DISTRICT RET</v>
      </c>
    </row>
    <row r="2567" spans="5:8" x14ac:dyDescent="0.25">
      <c r="E2567" t="str">
        <f>""</f>
        <v/>
      </c>
      <c r="F2567" t="str">
        <f>""</f>
        <v/>
      </c>
      <c r="G2567" s="3">
        <v>203.97</v>
      </c>
      <c r="H2567" t="str">
        <f t="shared" si="55"/>
        <v>TEXAS COUNTY &amp; DISTRICT RET</v>
      </c>
    </row>
    <row r="2568" spans="5:8" x14ac:dyDescent="0.25">
      <c r="E2568" t="str">
        <f>""</f>
        <v/>
      </c>
      <c r="F2568" t="str">
        <f>""</f>
        <v/>
      </c>
      <c r="G2568" s="3">
        <v>2400.63</v>
      </c>
      <c r="H2568" t="str">
        <f t="shared" si="55"/>
        <v>TEXAS COUNTY &amp; DISTRICT RET</v>
      </c>
    </row>
    <row r="2569" spans="5:8" x14ac:dyDescent="0.25">
      <c r="E2569" t="str">
        <f>""</f>
        <v/>
      </c>
      <c r="F2569" t="str">
        <f>""</f>
        <v/>
      </c>
      <c r="G2569" s="3">
        <v>3145.57</v>
      </c>
      <c r="H2569" t="str">
        <f t="shared" si="55"/>
        <v>TEXAS COUNTY &amp; DISTRICT RET</v>
      </c>
    </row>
    <row r="2570" spans="5:8" x14ac:dyDescent="0.25">
      <c r="E2570" t="str">
        <f>""</f>
        <v/>
      </c>
      <c r="F2570" t="str">
        <f>""</f>
        <v/>
      </c>
      <c r="G2570" s="3">
        <v>2860.84</v>
      </c>
      <c r="H2570" t="str">
        <f t="shared" si="55"/>
        <v>TEXAS COUNTY &amp; DISTRICT RET</v>
      </c>
    </row>
    <row r="2571" spans="5:8" x14ac:dyDescent="0.25">
      <c r="E2571" t="str">
        <f>""</f>
        <v/>
      </c>
      <c r="F2571" t="str">
        <f>""</f>
        <v/>
      </c>
      <c r="G2571" s="3">
        <v>3354.04</v>
      </c>
      <c r="H2571" t="str">
        <f t="shared" si="55"/>
        <v>TEXAS COUNTY &amp; DISTRICT RET</v>
      </c>
    </row>
    <row r="2572" spans="5:8" x14ac:dyDescent="0.25">
      <c r="E2572" t="str">
        <f>""</f>
        <v/>
      </c>
      <c r="F2572" t="str">
        <f>""</f>
        <v/>
      </c>
      <c r="G2572" s="3">
        <v>551.08000000000004</v>
      </c>
      <c r="H2572" t="str">
        <f t="shared" si="55"/>
        <v>TEXAS COUNTY &amp; DISTRICT RET</v>
      </c>
    </row>
    <row r="2573" spans="5:8" x14ac:dyDescent="0.25">
      <c r="E2573" t="str">
        <f>""</f>
        <v/>
      </c>
      <c r="F2573" t="str">
        <f>""</f>
        <v/>
      </c>
      <c r="G2573" s="3">
        <v>404.88</v>
      </c>
      <c r="H2573" t="str">
        <f t="shared" si="55"/>
        <v>TEXAS COUNTY &amp; DISTRICT RET</v>
      </c>
    </row>
    <row r="2574" spans="5:8" x14ac:dyDescent="0.25">
      <c r="E2574" t="str">
        <f>""</f>
        <v/>
      </c>
      <c r="F2574" t="str">
        <f>""</f>
        <v/>
      </c>
      <c r="G2574" s="3">
        <v>53.98</v>
      </c>
      <c r="H2574" t="str">
        <f t="shared" si="55"/>
        <v>TEXAS COUNTY &amp; DISTRICT RET</v>
      </c>
    </row>
    <row r="2575" spans="5:8" x14ac:dyDescent="0.25">
      <c r="E2575" t="str">
        <f>""</f>
        <v/>
      </c>
      <c r="F2575" t="str">
        <f>""</f>
        <v/>
      </c>
      <c r="G2575" s="3">
        <v>26.88</v>
      </c>
      <c r="H2575" t="str">
        <f t="shared" si="55"/>
        <v>TEXAS COUNTY &amp; DISTRICT RET</v>
      </c>
    </row>
    <row r="2576" spans="5:8" x14ac:dyDescent="0.25">
      <c r="E2576" t="str">
        <f>""</f>
        <v/>
      </c>
      <c r="F2576" t="str">
        <f>""</f>
        <v/>
      </c>
      <c r="G2576" s="3">
        <v>37.950000000000003</v>
      </c>
      <c r="H2576" t="str">
        <f t="shared" si="55"/>
        <v>TEXAS COUNTY &amp; DISTRICT RET</v>
      </c>
    </row>
    <row r="2577" spans="1:8" x14ac:dyDescent="0.25">
      <c r="E2577" t="str">
        <f>""</f>
        <v/>
      </c>
      <c r="F2577" t="str">
        <f>""</f>
        <v/>
      </c>
      <c r="G2577" s="3">
        <v>640.99</v>
      </c>
      <c r="H2577" t="str">
        <f t="shared" si="55"/>
        <v>TEXAS COUNTY &amp; DISTRICT RET</v>
      </c>
    </row>
    <row r="2578" spans="1:8" x14ac:dyDescent="0.25">
      <c r="E2578" t="str">
        <f>""</f>
        <v/>
      </c>
      <c r="F2578" t="str">
        <f>""</f>
        <v/>
      </c>
      <c r="G2578" s="3">
        <v>69281.070000000007</v>
      </c>
      <c r="H2578" t="str">
        <f t="shared" si="55"/>
        <v>TEXAS COUNTY &amp; DISTRICT RET</v>
      </c>
    </row>
    <row r="2579" spans="1:8" x14ac:dyDescent="0.25">
      <c r="E2579" t="str">
        <f>"RET202108175281"</f>
        <v>RET202108175281</v>
      </c>
      <c r="F2579" t="str">
        <f>"TEXAS COUNTY  DISTRICT RET"</f>
        <v>TEXAS COUNTY  DISTRICT RET</v>
      </c>
      <c r="G2579" s="3">
        <v>3392.71</v>
      </c>
      <c r="H2579" t="str">
        <f>"TEXAS COUNTY  DISTRICT RET"</f>
        <v>TEXAS COUNTY  DISTRICT RET</v>
      </c>
    </row>
    <row r="2580" spans="1:8" x14ac:dyDescent="0.25">
      <c r="E2580" t="str">
        <f>""</f>
        <v/>
      </c>
      <c r="F2580" t="str">
        <f>""</f>
        <v/>
      </c>
      <c r="G2580" s="3">
        <v>2203.0700000000002</v>
      </c>
      <c r="H2580" t="str">
        <f>"TEXAS COUNTY  DISTRICT RET"</f>
        <v>TEXAS COUNTY  DISTRICT RET</v>
      </c>
    </row>
    <row r="2581" spans="1:8" x14ac:dyDescent="0.25">
      <c r="E2581" t="str">
        <f>"RET202108175282"</f>
        <v>RET202108175282</v>
      </c>
      <c r="F2581" t="str">
        <f>"TEXAS COUNTY &amp; DISTRICT RET"</f>
        <v>TEXAS COUNTY &amp; DISTRICT RET</v>
      </c>
      <c r="G2581" s="3">
        <v>4031.1</v>
      </c>
      <c r="H2581" t="str">
        <f>"TEXAS COUNTY &amp; DISTRICT RET"</f>
        <v>TEXAS COUNTY &amp; DISTRICT RET</v>
      </c>
    </row>
    <row r="2582" spans="1:8" x14ac:dyDescent="0.25">
      <c r="E2582" t="str">
        <f>""</f>
        <v/>
      </c>
      <c r="F2582" t="str">
        <f>""</f>
        <v/>
      </c>
      <c r="G2582" s="3">
        <v>2617.58</v>
      </c>
      <c r="H2582" t="str">
        <f>"TEXAS COUNTY &amp; DISTRICT RET"</f>
        <v>TEXAS COUNTY &amp; DISTRICT RET</v>
      </c>
    </row>
    <row r="2583" spans="1:8" x14ac:dyDescent="0.25">
      <c r="A2583" t="s">
        <v>408</v>
      </c>
      <c r="B2583">
        <v>48446</v>
      </c>
      <c r="C2583" s="3">
        <v>1696</v>
      </c>
      <c r="D2583" s="6">
        <v>44435</v>
      </c>
      <c r="E2583" t="str">
        <f>"LEG202108045059"</f>
        <v>LEG202108045059</v>
      </c>
      <c r="F2583" t="str">
        <f>"TEXAS LEGAL PROTECTION PLAN"</f>
        <v>TEXAS LEGAL PROTECTION PLAN</v>
      </c>
      <c r="G2583" s="3">
        <v>336</v>
      </c>
      <c r="H2583" t="str">
        <f>"TEXAS LEGAL PROTECTION PLAN"</f>
        <v>TEXAS LEGAL PROTECTION PLAN</v>
      </c>
    </row>
    <row r="2584" spans="1:8" x14ac:dyDescent="0.25">
      <c r="E2584" t="str">
        <f>"LEG202108175280"</f>
        <v>LEG202108175280</v>
      </c>
      <c r="F2584" t="str">
        <f>"TEXAS LEGAL PROTECTION PLAN"</f>
        <v>TEXAS LEGAL PROTECTION PLAN</v>
      </c>
      <c r="G2584" s="3">
        <v>336</v>
      </c>
      <c r="H2584" t="str">
        <f>"TEXAS LEGAL PROTECTION PLAN"</f>
        <v>TEXAS LEGAL PROTECTION PLAN</v>
      </c>
    </row>
    <row r="2585" spans="1:8" x14ac:dyDescent="0.25">
      <c r="E2585" t="str">
        <f>"LGF202108045059"</f>
        <v>LGF202108045059</v>
      </c>
      <c r="F2585" t="str">
        <f>"TEXAS LEGAL PROTECTION PLAN"</f>
        <v>TEXAS LEGAL PROTECTION PLAN</v>
      </c>
      <c r="G2585" s="3">
        <v>512</v>
      </c>
      <c r="H2585" t="str">
        <f>"TEXAS LEGAL PROTECTION PLAN"</f>
        <v>TEXAS LEGAL PROTECTION PLAN</v>
      </c>
    </row>
    <row r="2586" spans="1:8" x14ac:dyDescent="0.25">
      <c r="E2586" t="str">
        <f>"LGF202108175280"</f>
        <v>LGF202108175280</v>
      </c>
      <c r="F2586" t="str">
        <f>"TEXAS LEGAL PROTECTION PLAN"</f>
        <v>TEXAS LEGAL PROTECTION PLAN</v>
      </c>
      <c r="G2586" s="3">
        <v>512</v>
      </c>
      <c r="H2586" t="str">
        <f>"TEXAS LEGAL PROTECTION PLAN"</f>
        <v>TEXAS LEGAL PROTECTION PLAN</v>
      </c>
    </row>
    <row r="2587" spans="1:8" x14ac:dyDescent="0.25">
      <c r="A2587" t="s">
        <v>409</v>
      </c>
      <c r="B2587">
        <v>1253</v>
      </c>
      <c r="C2587" s="3">
        <v>16</v>
      </c>
      <c r="D2587" s="6">
        <v>44420</v>
      </c>
      <c r="E2587" t="str">
        <f>"202108115168"</f>
        <v>202108115168</v>
      </c>
      <c r="F2587" t="str">
        <f>"ACCT#72-5613 08032021"</f>
        <v>ACCT#72-5613 08032021</v>
      </c>
      <c r="G2587" s="3">
        <v>16</v>
      </c>
      <c r="H2587" t="str">
        <f>"ACCT#72-5613 08032021"</f>
        <v>ACCT#72-5613 08032021</v>
      </c>
    </row>
    <row r="2588" spans="1:8" x14ac:dyDescent="0.25">
      <c r="A2588" t="s">
        <v>410</v>
      </c>
      <c r="B2588">
        <v>1250</v>
      </c>
      <c r="C2588" s="3">
        <v>1113.8699999999999</v>
      </c>
      <c r="D2588" s="6">
        <v>44420</v>
      </c>
      <c r="E2588" t="str">
        <f>"202108115165"</f>
        <v>202108115165</v>
      </c>
      <c r="F2588" t="str">
        <f>"ACCT#72-5613 08032021"</f>
        <v>ACCT#72-5613 08032021</v>
      </c>
      <c r="G2588" s="3">
        <v>1113.8699999999999</v>
      </c>
      <c r="H2588" t="str">
        <f>"ACCT#72-5613 08032021"</f>
        <v>ACCT#72-5613 08032021</v>
      </c>
    </row>
    <row r="2589" spans="1:8" x14ac:dyDescent="0.25">
      <c r="A2589" t="s">
        <v>411</v>
      </c>
      <c r="B2589">
        <v>1241</v>
      </c>
      <c r="C2589" s="3">
        <v>10.99</v>
      </c>
      <c r="D2589" s="6">
        <v>44420</v>
      </c>
      <c r="E2589" t="str">
        <f>"202108115152"</f>
        <v>202108115152</v>
      </c>
      <c r="F2589" t="str">
        <f>"ACCT#72-5613 / 08032021"</f>
        <v>ACCT#72-5613 / 08032021</v>
      </c>
      <c r="G2589" s="3">
        <v>10.99</v>
      </c>
      <c r="H2589" t="str">
        <f>"ACCT#72-5613 / 08032021"</f>
        <v>ACCT#72-5613 / 08032021</v>
      </c>
    </row>
    <row r="2590" spans="1:8" x14ac:dyDescent="0.25">
      <c r="A2590" t="s">
        <v>43</v>
      </c>
      <c r="B2590">
        <v>1254</v>
      </c>
      <c r="C2590" s="3">
        <v>90.59</v>
      </c>
      <c r="D2590" s="6">
        <v>44420</v>
      </c>
      <c r="E2590" t="str">
        <f>"202108115169"</f>
        <v>202108115169</v>
      </c>
      <c r="F2590" t="str">
        <f>"ACCT#72-5613 08032021"</f>
        <v>ACCT#72-5613 08032021</v>
      </c>
      <c r="G2590" s="3">
        <v>68</v>
      </c>
      <c r="H2590" t="str">
        <f>"ACCT#72-5613 08032021"</f>
        <v>ACCT#72-5613 08032021</v>
      </c>
    </row>
    <row r="2591" spans="1:8" x14ac:dyDescent="0.25">
      <c r="E2591" t="str">
        <f>""</f>
        <v/>
      </c>
      <c r="F2591" t="str">
        <f>""</f>
        <v/>
      </c>
      <c r="G2591" s="3">
        <v>22.59</v>
      </c>
      <c r="H2591" t="str">
        <f>"ACCT#72-5613 08032021"</f>
        <v>ACCT#72-5613 08032021</v>
      </c>
    </row>
    <row r="2592" spans="1:8" x14ac:dyDescent="0.25">
      <c r="A2592" t="s">
        <v>45</v>
      </c>
      <c r="B2592">
        <v>1255</v>
      </c>
      <c r="C2592" s="3">
        <v>352.91</v>
      </c>
      <c r="D2592" s="6">
        <v>44420</v>
      </c>
      <c r="E2592" t="str">
        <f>"202108115170"</f>
        <v>202108115170</v>
      </c>
      <c r="F2592" t="str">
        <f>"ACCT#72-5613 08032021"</f>
        <v>ACCT#72-5613 08032021</v>
      </c>
      <c r="G2592" s="3">
        <v>352.91</v>
      </c>
      <c r="H2592" t="str">
        <f>"ACCT#72-5613 08032021"</f>
        <v>ACCT#72-5613 08032021</v>
      </c>
    </row>
    <row r="2593" spans="1:8" x14ac:dyDescent="0.25">
      <c r="A2593" t="s">
        <v>412</v>
      </c>
      <c r="B2593">
        <v>1242</v>
      </c>
      <c r="C2593" s="3">
        <v>7.49</v>
      </c>
      <c r="D2593" s="6">
        <v>44420</v>
      </c>
      <c r="E2593" t="str">
        <f>"202108115153"</f>
        <v>202108115153</v>
      </c>
      <c r="F2593" t="str">
        <f>"ACCT#72-5613 / 08032021"</f>
        <v>ACCT#72-5613 / 08032021</v>
      </c>
      <c r="G2593" s="3">
        <v>7.49</v>
      </c>
      <c r="H2593" t="str">
        <f>"ACCT#72-5613 / 08032021"</f>
        <v>ACCT#72-5613 / 08032021</v>
      </c>
    </row>
    <row r="2594" spans="1:8" x14ac:dyDescent="0.25">
      <c r="A2594" t="s">
        <v>413</v>
      </c>
      <c r="B2594">
        <v>1245</v>
      </c>
      <c r="C2594" s="3">
        <v>772.8</v>
      </c>
      <c r="D2594" s="6">
        <v>44420</v>
      </c>
      <c r="E2594" t="str">
        <f>"202108115160"</f>
        <v>202108115160</v>
      </c>
      <c r="F2594" t="str">
        <f>"ACCT#72-5613 / 08032021"</f>
        <v>ACCT#72-5613 / 08032021</v>
      </c>
      <c r="G2594" s="3">
        <v>772.8</v>
      </c>
      <c r="H2594" t="str">
        <f>"ACCT#72-5613 / 08032021"</f>
        <v>ACCT#72-5613 / 08032021</v>
      </c>
    </row>
    <row r="2595" spans="1:8" x14ac:dyDescent="0.25">
      <c r="A2595" t="s">
        <v>414</v>
      </c>
      <c r="B2595">
        <v>1234</v>
      </c>
      <c r="C2595" s="3">
        <v>506.1</v>
      </c>
      <c r="D2595" s="6">
        <v>44420</v>
      </c>
      <c r="E2595" t="str">
        <f>"202108115146"</f>
        <v>202108115146</v>
      </c>
      <c r="F2595" t="str">
        <f>"ACCT#72-5613 / 08032021"</f>
        <v>ACCT#72-5613 / 08032021</v>
      </c>
      <c r="G2595" s="3">
        <v>184.71</v>
      </c>
      <c r="H2595" t="str">
        <f>"ACCT#72-5613 / 08032021"</f>
        <v>ACCT#72-5613 / 08032021</v>
      </c>
    </row>
    <row r="2596" spans="1:8" x14ac:dyDescent="0.25">
      <c r="E2596" t="str">
        <f>""</f>
        <v/>
      </c>
      <c r="F2596" t="str">
        <f>""</f>
        <v/>
      </c>
      <c r="G2596" s="3">
        <v>321.39</v>
      </c>
      <c r="H2596" t="str">
        <f>"ACCT#72-5613 / 08032021"</f>
        <v>ACCT#72-5613 / 08032021</v>
      </c>
    </row>
    <row r="2597" spans="1:8" x14ac:dyDescent="0.25">
      <c r="A2597" t="s">
        <v>415</v>
      </c>
      <c r="B2597">
        <v>1252</v>
      </c>
      <c r="C2597" s="3">
        <v>3</v>
      </c>
      <c r="D2597" s="6">
        <v>44420</v>
      </c>
      <c r="E2597" t="str">
        <f>"202108115167"</f>
        <v>202108115167</v>
      </c>
      <c r="F2597" t="str">
        <f>"ACCT#72-5613 08032021"</f>
        <v>ACCT#72-5613 08032021</v>
      </c>
      <c r="G2597" s="3">
        <v>3</v>
      </c>
      <c r="H2597" t="str">
        <f>"ACCT#72-5613 08032021"</f>
        <v>ACCT#72-5613 08032021</v>
      </c>
    </row>
    <row r="2598" spans="1:8" x14ac:dyDescent="0.25">
      <c r="A2598" t="s">
        <v>416</v>
      </c>
      <c r="B2598">
        <v>1246</v>
      </c>
      <c r="C2598" s="3">
        <v>99.5</v>
      </c>
      <c r="D2598" s="6">
        <v>44420</v>
      </c>
      <c r="E2598" t="str">
        <f>"202108115161"</f>
        <v>202108115161</v>
      </c>
      <c r="F2598" t="str">
        <f>"ACCT#72-5613 / 08032021"</f>
        <v>ACCT#72-5613 / 08032021</v>
      </c>
      <c r="G2598" s="3">
        <v>99.5</v>
      </c>
      <c r="H2598" t="str">
        <f>"ACCT#72-5613 / 08032021"</f>
        <v>ACCT#72-5613 / 08032021</v>
      </c>
    </row>
    <row r="2599" spans="1:8" x14ac:dyDescent="0.25">
      <c r="A2599" t="s">
        <v>417</v>
      </c>
      <c r="B2599">
        <v>1238</v>
      </c>
      <c r="C2599" s="3">
        <v>78.45</v>
      </c>
      <c r="D2599" s="6">
        <v>44420</v>
      </c>
      <c r="E2599" t="str">
        <f>"202108115158"</f>
        <v>202108115158</v>
      </c>
      <c r="F2599" t="str">
        <f>"ACCT#72-5613 / 08032021"</f>
        <v>ACCT#72-5613 / 08032021</v>
      </c>
      <c r="G2599" s="3">
        <v>9.0500000000000007</v>
      </c>
      <c r="H2599" t="str">
        <f>"ACCT#72-5613 / 08032021"</f>
        <v>ACCT#72-5613 / 08032021</v>
      </c>
    </row>
    <row r="2600" spans="1:8" x14ac:dyDescent="0.25">
      <c r="E2600" t="str">
        <f>""</f>
        <v/>
      </c>
      <c r="F2600" t="str">
        <f>""</f>
        <v/>
      </c>
      <c r="G2600" s="3">
        <v>69.400000000000006</v>
      </c>
      <c r="H2600" t="str">
        <f>"ACCT#72-5613 / 08032021"</f>
        <v>ACCT#72-5613 / 08032021</v>
      </c>
    </row>
    <row r="2601" spans="1:8" x14ac:dyDescent="0.25">
      <c r="A2601" t="s">
        <v>418</v>
      </c>
      <c r="B2601">
        <v>1259</v>
      </c>
      <c r="C2601" s="3">
        <v>57.5</v>
      </c>
      <c r="D2601" s="6">
        <v>44420</v>
      </c>
      <c r="E2601" t="str">
        <f>"202108115173"</f>
        <v>202108115173</v>
      </c>
      <c r="F2601" t="str">
        <f>"ACCT#72-5613 08032021"</f>
        <v>ACCT#72-5613 08032021</v>
      </c>
      <c r="G2601" s="3">
        <v>57.5</v>
      </c>
      <c r="H2601" t="str">
        <f>"ACCT#72-5613 08032021"</f>
        <v>ACCT#72-5613 08032021</v>
      </c>
    </row>
    <row r="2602" spans="1:8" x14ac:dyDescent="0.25">
      <c r="A2602" t="s">
        <v>132</v>
      </c>
      <c r="B2602">
        <v>1236</v>
      </c>
      <c r="C2602" s="3">
        <v>6.1</v>
      </c>
      <c r="D2602" s="6">
        <v>44420</v>
      </c>
      <c r="E2602" t="str">
        <f>"202108115148"</f>
        <v>202108115148</v>
      </c>
      <c r="F2602" t="str">
        <f>"ACCT#72-5613 / 08032021"</f>
        <v>ACCT#72-5613 / 08032021</v>
      </c>
      <c r="G2602" s="3">
        <v>6.1</v>
      </c>
      <c r="H2602" t="str">
        <f>"ACCT#72-5613 / 08032021"</f>
        <v>ACCT#72-5613 / 08032021</v>
      </c>
    </row>
    <row r="2603" spans="1:8" x14ac:dyDescent="0.25">
      <c r="A2603" t="s">
        <v>140</v>
      </c>
      <c r="B2603">
        <v>1261</v>
      </c>
      <c r="C2603" s="3">
        <v>163.83000000000001</v>
      </c>
      <c r="D2603" s="6">
        <v>44420</v>
      </c>
      <c r="E2603" t="str">
        <f>"202108115175"</f>
        <v>202108115175</v>
      </c>
      <c r="F2603" t="str">
        <f>"ACCT#72-5613 08032021"</f>
        <v>ACCT#72-5613 08032021</v>
      </c>
      <c r="G2603" s="3">
        <v>163.83000000000001</v>
      </c>
      <c r="H2603" t="str">
        <f>"ACCT#72-5613 08032021"</f>
        <v>ACCT#72-5613 08032021</v>
      </c>
    </row>
    <row r="2604" spans="1:8" x14ac:dyDescent="0.25">
      <c r="A2604" t="s">
        <v>419</v>
      </c>
      <c r="B2604">
        <v>1244</v>
      </c>
      <c r="C2604" s="3">
        <v>1057.68</v>
      </c>
      <c r="D2604" s="6">
        <v>44420</v>
      </c>
      <c r="E2604" t="str">
        <f>"202108115156"</f>
        <v>202108115156</v>
      </c>
      <c r="F2604" t="str">
        <f>"ACCT#72-5613 / 08032021"</f>
        <v>ACCT#72-5613 / 08032021</v>
      </c>
      <c r="G2604" s="3">
        <v>1057.68</v>
      </c>
      <c r="H2604" t="str">
        <f t="shared" ref="H2604:H2609" si="56">"ACCT#72-5613 / 08032021"</f>
        <v>ACCT#72-5613 / 08032021</v>
      </c>
    </row>
    <row r="2605" spans="1:8" x14ac:dyDescent="0.25">
      <c r="A2605" t="s">
        <v>420</v>
      </c>
      <c r="B2605">
        <v>1248</v>
      </c>
      <c r="C2605" s="3">
        <v>867.6</v>
      </c>
      <c r="D2605" s="6">
        <v>44420</v>
      </c>
      <c r="E2605" t="str">
        <f>"202108115163"</f>
        <v>202108115163</v>
      </c>
      <c r="F2605" t="str">
        <f>"ACCT#72-5613 / 08032021"</f>
        <v>ACCT#72-5613 / 08032021</v>
      </c>
      <c r="G2605" s="3">
        <v>312</v>
      </c>
      <c r="H2605" t="str">
        <f t="shared" si="56"/>
        <v>ACCT#72-5613 / 08032021</v>
      </c>
    </row>
    <row r="2606" spans="1:8" x14ac:dyDescent="0.25">
      <c r="E2606" t="str">
        <f>""</f>
        <v/>
      </c>
      <c r="F2606" t="str">
        <f>""</f>
        <v/>
      </c>
      <c r="G2606" s="3">
        <v>555.6</v>
      </c>
      <c r="H2606" t="str">
        <f t="shared" si="56"/>
        <v>ACCT#72-5613 / 08032021</v>
      </c>
    </row>
    <row r="2607" spans="1:8" x14ac:dyDescent="0.25">
      <c r="A2607" t="s">
        <v>421</v>
      </c>
      <c r="B2607">
        <v>1237</v>
      </c>
      <c r="C2607" s="3">
        <v>476.54</v>
      </c>
      <c r="D2607" s="6">
        <v>44420</v>
      </c>
      <c r="E2607" t="str">
        <f>"202108115149"</f>
        <v>202108115149</v>
      </c>
      <c r="F2607" t="str">
        <f>"ACCT#72-5613 / 08032021"</f>
        <v>ACCT#72-5613 / 08032021</v>
      </c>
      <c r="G2607" s="3">
        <v>476.54</v>
      </c>
      <c r="H2607" t="str">
        <f t="shared" si="56"/>
        <v>ACCT#72-5613 / 08032021</v>
      </c>
    </row>
    <row r="2608" spans="1:8" x14ac:dyDescent="0.25">
      <c r="A2608" t="s">
        <v>422</v>
      </c>
      <c r="B2608">
        <v>1247</v>
      </c>
      <c r="C2608" s="3">
        <v>159.44</v>
      </c>
      <c r="D2608" s="6">
        <v>44420</v>
      </c>
      <c r="E2608" t="str">
        <f>"202108115162"</f>
        <v>202108115162</v>
      </c>
      <c r="F2608" t="str">
        <f>"ACCT#72-5613 / 08032021"</f>
        <v>ACCT#72-5613 / 08032021</v>
      </c>
      <c r="G2608" s="3">
        <v>159.44</v>
      </c>
      <c r="H2608" t="str">
        <f t="shared" si="56"/>
        <v>ACCT#72-5613 / 08032021</v>
      </c>
    </row>
    <row r="2609" spans="1:8" x14ac:dyDescent="0.25">
      <c r="A2609" t="s">
        <v>423</v>
      </c>
      <c r="B2609">
        <v>1233</v>
      </c>
      <c r="C2609" s="3">
        <v>1598.12</v>
      </c>
      <c r="D2609" s="6">
        <v>44420</v>
      </c>
      <c r="E2609" t="str">
        <f>"202108115145"</f>
        <v>202108115145</v>
      </c>
      <c r="F2609" t="str">
        <f>"ACCT#72-5613 / 08032021"</f>
        <v>ACCT#72-5613 / 08032021</v>
      </c>
      <c r="G2609" s="3">
        <v>1598.12</v>
      </c>
      <c r="H2609" t="str">
        <f t="shared" si="56"/>
        <v>ACCT#72-5613 / 08032021</v>
      </c>
    </row>
    <row r="2610" spans="1:8" x14ac:dyDescent="0.25">
      <c r="A2610" t="s">
        <v>424</v>
      </c>
      <c r="B2610">
        <v>1249</v>
      </c>
      <c r="C2610" s="3">
        <v>54.15</v>
      </c>
      <c r="D2610" s="6">
        <v>44420</v>
      </c>
      <c r="E2610" t="str">
        <f>"202108115164"</f>
        <v>202108115164</v>
      </c>
      <c r="F2610" t="str">
        <f>"ACCT#72-5613 08032021"</f>
        <v>ACCT#72-5613 08032021</v>
      </c>
      <c r="G2610" s="3">
        <v>54.15</v>
      </c>
      <c r="H2610" t="str">
        <f>"ACCT#72-5613 08032021"</f>
        <v>ACCT#72-5613 08032021</v>
      </c>
    </row>
    <row r="2611" spans="1:8" x14ac:dyDescent="0.25">
      <c r="A2611" t="s">
        <v>425</v>
      </c>
      <c r="B2611">
        <v>1256</v>
      </c>
      <c r="C2611" s="3">
        <v>19.36</v>
      </c>
      <c r="D2611" s="6">
        <v>44420</v>
      </c>
      <c r="E2611" t="str">
        <f>"202108115171"</f>
        <v>202108115171</v>
      </c>
      <c r="F2611" t="str">
        <f>"ACCT#72-5613 08032021"</f>
        <v>ACCT#72-5613 08032021</v>
      </c>
      <c r="G2611" s="3">
        <v>19.36</v>
      </c>
      <c r="H2611" t="str">
        <f>"ACCT#72-5613 08032021"</f>
        <v>ACCT#72-5613 08032021</v>
      </c>
    </row>
    <row r="2612" spans="1:8" x14ac:dyDescent="0.25">
      <c r="A2612" t="s">
        <v>426</v>
      </c>
      <c r="B2612">
        <v>1257</v>
      </c>
      <c r="C2612" s="3">
        <v>1651.85</v>
      </c>
      <c r="D2612" s="6">
        <v>44420</v>
      </c>
      <c r="E2612" t="str">
        <f>"202108115177"</f>
        <v>202108115177</v>
      </c>
      <c r="F2612" t="str">
        <f>"ACCT#72-5613 08032021"</f>
        <v>ACCT#72-5613 08032021</v>
      </c>
      <c r="G2612" s="3">
        <v>1651.85</v>
      </c>
      <c r="H2612" t="str">
        <f>"ACCT#72-5613 08032021"</f>
        <v>ACCT#72-5613 08032021</v>
      </c>
    </row>
    <row r="2613" spans="1:8" x14ac:dyDescent="0.25">
      <c r="A2613" t="s">
        <v>427</v>
      </c>
      <c r="B2613">
        <v>1251</v>
      </c>
      <c r="C2613" s="3">
        <v>973.83</v>
      </c>
      <c r="D2613" s="6">
        <v>44420</v>
      </c>
      <c r="E2613" t="str">
        <f>"202108115166"</f>
        <v>202108115166</v>
      </c>
      <c r="F2613" t="str">
        <f>"ACCT#72-5613 08032021"</f>
        <v>ACCT#72-5613 08032021</v>
      </c>
      <c r="G2613" s="3">
        <v>973.83</v>
      </c>
      <c r="H2613" t="str">
        <f>"ACCT#72-5613 08032021"</f>
        <v>ACCT#72-5613 08032021</v>
      </c>
    </row>
    <row r="2614" spans="1:8" x14ac:dyDescent="0.25">
      <c r="A2614" t="s">
        <v>428</v>
      </c>
      <c r="B2614">
        <v>1243</v>
      </c>
      <c r="C2614" s="3">
        <v>19.989999999999998</v>
      </c>
      <c r="D2614" s="6">
        <v>44420</v>
      </c>
      <c r="E2614" t="str">
        <f>"202108115154"</f>
        <v>202108115154</v>
      </c>
      <c r="F2614" t="str">
        <f>"ACCT#72-5613 / 08032021"</f>
        <v>ACCT#72-5613 / 08032021</v>
      </c>
      <c r="G2614" s="3">
        <v>19.989999999999998</v>
      </c>
      <c r="H2614" t="str">
        <f>"ACCT#72-5613 / 08032021"</f>
        <v>ACCT#72-5613 / 08032021</v>
      </c>
    </row>
    <row r="2615" spans="1:8" x14ac:dyDescent="0.25">
      <c r="A2615" t="s">
        <v>429</v>
      </c>
      <c r="B2615">
        <v>1258</v>
      </c>
      <c r="C2615" s="3">
        <v>182.74</v>
      </c>
      <c r="D2615" s="6">
        <v>44420</v>
      </c>
      <c r="E2615" t="str">
        <f>"202108115172"</f>
        <v>202108115172</v>
      </c>
      <c r="F2615" t="str">
        <f>"ACCT#72-5613 08032021"</f>
        <v>ACCT#72-5613 08032021</v>
      </c>
      <c r="G2615" s="3">
        <v>182.74</v>
      </c>
      <c r="H2615" t="str">
        <f>"ACCT#72-5613 08032021"</f>
        <v>ACCT#72-5613 08032021</v>
      </c>
    </row>
    <row r="2616" spans="1:8" x14ac:dyDescent="0.25">
      <c r="A2616" t="s">
        <v>296</v>
      </c>
      <c r="B2616">
        <v>1232</v>
      </c>
      <c r="C2616" s="3">
        <v>335</v>
      </c>
      <c r="D2616" s="6">
        <v>44420</v>
      </c>
      <c r="E2616" t="str">
        <f>"202108115157"</f>
        <v>202108115157</v>
      </c>
      <c r="F2616" t="str">
        <f>"ACCT#72-5613 / 08032021"</f>
        <v>ACCT#72-5613 / 08032021</v>
      </c>
      <c r="G2616" s="3">
        <v>335</v>
      </c>
      <c r="H2616" t="str">
        <f>"ACCT#72-5613 / 08032021"</f>
        <v>ACCT#72-5613 / 08032021</v>
      </c>
    </row>
    <row r="2617" spans="1:8" x14ac:dyDescent="0.25">
      <c r="A2617" t="s">
        <v>307</v>
      </c>
      <c r="B2617">
        <v>1231</v>
      </c>
      <c r="C2617" s="3">
        <v>51.04</v>
      </c>
      <c r="D2617" s="6">
        <v>44420</v>
      </c>
      <c r="E2617" t="str">
        <f>"202108115143"</f>
        <v>202108115143</v>
      </c>
      <c r="F2617" t="str">
        <f>"ACCT#72-5613 / 08032021"</f>
        <v>ACCT#72-5613 / 08032021</v>
      </c>
      <c r="G2617" s="3">
        <v>51.04</v>
      </c>
      <c r="H2617" t="str">
        <f>"ACCT#72-5613 / 08032021"</f>
        <v>ACCT#72-5613 / 08032021</v>
      </c>
    </row>
    <row r="2618" spans="1:8" x14ac:dyDescent="0.25">
      <c r="A2618" t="s">
        <v>430</v>
      </c>
      <c r="B2618">
        <v>1235</v>
      </c>
      <c r="C2618" s="3">
        <v>165</v>
      </c>
      <c r="D2618" s="6">
        <v>44420</v>
      </c>
      <c r="E2618" t="str">
        <f>"202108115147"</f>
        <v>202108115147</v>
      </c>
      <c r="F2618" t="str">
        <f>"ACCT#72-5613 / 08032021"</f>
        <v>ACCT#72-5613 / 08032021</v>
      </c>
      <c r="G2618" s="3">
        <v>165</v>
      </c>
      <c r="H2618" t="str">
        <f>"ACCT#72-5613 / 08032021"</f>
        <v>ACCT#72-5613 / 08032021</v>
      </c>
    </row>
    <row r="2619" spans="1:8" x14ac:dyDescent="0.25">
      <c r="A2619" t="s">
        <v>345</v>
      </c>
      <c r="B2619">
        <v>1239</v>
      </c>
      <c r="C2619" s="3">
        <v>315</v>
      </c>
      <c r="D2619" s="6">
        <v>44420</v>
      </c>
      <c r="E2619" t="str">
        <f>"202108115150"</f>
        <v>202108115150</v>
      </c>
      <c r="F2619" t="str">
        <f>"ACCT#72-5613 / 08032021"</f>
        <v>ACCT#72-5613 / 08032021</v>
      </c>
      <c r="G2619" s="3">
        <v>315</v>
      </c>
      <c r="H2619" t="str">
        <f>"ACCT#72-5613 / 08032021"</f>
        <v>ACCT#72-5613 / 08032021</v>
      </c>
    </row>
    <row r="2620" spans="1:8" x14ac:dyDescent="0.25">
      <c r="A2620" t="s">
        <v>356</v>
      </c>
      <c r="B2620">
        <v>1262</v>
      </c>
      <c r="C2620" s="3">
        <v>1353.99</v>
      </c>
      <c r="D2620" s="6">
        <v>44420</v>
      </c>
      <c r="E2620" t="str">
        <f>"202108115176"</f>
        <v>202108115176</v>
      </c>
      <c r="F2620" t="str">
        <f>"ACCT#72-5613 08032021"</f>
        <v>ACCT#72-5613 08032021</v>
      </c>
      <c r="G2620" s="3">
        <v>619.96</v>
      </c>
      <c r="H2620" t="str">
        <f>"ACCT#72-5613 08032021"</f>
        <v>ACCT#72-5613 08032021</v>
      </c>
    </row>
    <row r="2621" spans="1:8" x14ac:dyDescent="0.25">
      <c r="E2621" t="str">
        <f>""</f>
        <v/>
      </c>
      <c r="F2621" t="str">
        <f>""</f>
        <v/>
      </c>
      <c r="G2621" s="3">
        <v>84.11</v>
      </c>
      <c r="H2621" t="str">
        <f>"ACCT#72-5613 08032021"</f>
        <v>ACCT#72-5613 08032021</v>
      </c>
    </row>
    <row r="2622" spans="1:8" x14ac:dyDescent="0.25">
      <c r="E2622" t="str">
        <f>""</f>
        <v/>
      </c>
      <c r="F2622" t="str">
        <f>""</f>
        <v/>
      </c>
      <c r="G2622" s="3">
        <v>649.91999999999996</v>
      </c>
      <c r="H2622" t="str">
        <f>"ACCT#72-5613 08032021"</f>
        <v>ACCT#72-5613 08032021</v>
      </c>
    </row>
    <row r="2623" spans="1:8" x14ac:dyDescent="0.25">
      <c r="A2623" t="s">
        <v>368</v>
      </c>
      <c r="B2623">
        <v>1260</v>
      </c>
      <c r="C2623" s="3">
        <v>333</v>
      </c>
      <c r="D2623" s="6">
        <v>44420</v>
      </c>
      <c r="E2623" t="str">
        <f>"202108115174"</f>
        <v>202108115174</v>
      </c>
      <c r="F2623" t="str">
        <f>"ACCT#72-5613 08032021"</f>
        <v>ACCT#72-5613 08032021</v>
      </c>
      <c r="G2623" s="3">
        <v>333</v>
      </c>
      <c r="H2623" t="str">
        <f>"ACCT#72-5613 08032021"</f>
        <v>ACCT#72-5613 08032021</v>
      </c>
    </row>
    <row r="2624" spans="1:8" x14ac:dyDescent="0.25">
      <c r="A2624" t="s">
        <v>431</v>
      </c>
      <c r="B2624">
        <v>1240</v>
      </c>
      <c r="C2624" s="3">
        <v>2136.6999999999998</v>
      </c>
      <c r="D2624" s="6">
        <v>44420</v>
      </c>
      <c r="E2624" t="str">
        <f>"202108115151"</f>
        <v>202108115151</v>
      </c>
      <c r="F2624" t="str">
        <f>"ACCT#72-5613 / 08032021"</f>
        <v>ACCT#72-5613 / 08032021</v>
      </c>
      <c r="G2624" s="3">
        <v>62.12</v>
      </c>
      <c r="H2624" t="str">
        <f>"ACCT#72-5613 / 08032021"</f>
        <v>ACCT#72-5613 / 08032021</v>
      </c>
    </row>
    <row r="2625" spans="1:8" x14ac:dyDescent="0.25">
      <c r="E2625" t="str">
        <f>""</f>
        <v/>
      </c>
      <c r="F2625" t="str">
        <f>""</f>
        <v/>
      </c>
      <c r="G2625" s="3">
        <v>714.09</v>
      </c>
      <c r="H2625" t="str">
        <f>"ACCT#72-5613 / 08032021"</f>
        <v>ACCT#72-5613 / 08032021</v>
      </c>
    </row>
    <row r="2626" spans="1:8" x14ac:dyDescent="0.25">
      <c r="E2626" t="str">
        <f>""</f>
        <v/>
      </c>
      <c r="F2626" t="str">
        <f>""</f>
        <v/>
      </c>
      <c r="G2626" s="3">
        <v>1360.49</v>
      </c>
      <c r="H2626" t="str">
        <f>"ACCT#72-5613 / 08032021"</f>
        <v>ACCT#72-5613 / 08032021</v>
      </c>
    </row>
    <row r="2627" spans="1:8" x14ac:dyDescent="0.25">
      <c r="A2627" t="s">
        <v>432</v>
      </c>
      <c r="B2627">
        <v>1263</v>
      </c>
      <c r="C2627" s="3">
        <v>74.930000000000007</v>
      </c>
      <c r="D2627" s="6">
        <v>44420</v>
      </c>
      <c r="E2627" t="str">
        <f>"202108115178"</f>
        <v>202108115178</v>
      </c>
      <c r="F2627" t="str">
        <f>"ACCT#72-5613 08032021"</f>
        <v>ACCT#72-5613 08032021</v>
      </c>
      <c r="G2627" s="3">
        <v>74.930000000000007</v>
      </c>
      <c r="H2627" t="str">
        <f>"ACCT#72-5613 08032021"</f>
        <v>ACCT#72-5613 08032021</v>
      </c>
    </row>
    <row r="2628" spans="1:8" ht="15.75" thickBot="1" x14ac:dyDescent="0.3">
      <c r="C2628" s="4">
        <f>SUM(C2:C2627)</f>
        <v>3092908.9100000025</v>
      </c>
      <c r="G2628" s="4">
        <v>3092833.9100000011</v>
      </c>
    </row>
    <row r="2629" spans="1:8" ht="15.75" thickTop="1" x14ac:dyDescent="0.25"/>
  </sheetData>
  <autoFilter ref="A1:H262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AP-CHK-RPT-20210921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2021-09-21T17:52:54Z</dcterms:created>
  <dcterms:modified xsi:type="dcterms:W3CDTF">2021-09-21T18:11:59Z</dcterms:modified>
</cp:coreProperties>
</file>