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Check Registers\"/>
    </mc:Choice>
  </mc:AlternateContent>
  <bookViews>
    <workbookView xWindow="0" yWindow="0" windowWidth="28800" windowHeight="12435"/>
  </bookViews>
  <sheets>
    <sheet name="May 2020" sheetId="1" r:id="rId1"/>
  </sheets>
  <definedNames>
    <definedName name="_xlnm._FilterDatabase" localSheetId="0" hidden="1">'May 2020'!$A$1:$H$2491</definedName>
  </definedNames>
  <calcPr calcId="0"/>
</workbook>
</file>

<file path=xl/calcChain.xml><?xml version="1.0" encoding="utf-8"?>
<calcChain xmlns="http://schemas.openxmlformats.org/spreadsheetml/2006/main">
  <c r="C2492" i="1" l="1"/>
  <c r="E2" i="1"/>
  <c r="F2" i="1"/>
  <c r="H2" i="1"/>
  <c r="E3" i="1"/>
  <c r="F3" i="1"/>
  <c r="H3" i="1"/>
  <c r="E4" i="1"/>
  <c r="F4" i="1"/>
  <c r="H4" i="1"/>
  <c r="E5" i="1"/>
  <c r="F5" i="1"/>
  <c r="H5" i="1"/>
  <c r="E6" i="1"/>
  <c r="F6" i="1"/>
  <c r="H6" i="1"/>
  <c r="E7" i="1"/>
  <c r="F7" i="1"/>
  <c r="H7" i="1"/>
  <c r="E8" i="1"/>
  <c r="F8" i="1"/>
  <c r="H8" i="1"/>
  <c r="E9" i="1"/>
  <c r="F9" i="1"/>
  <c r="H9" i="1"/>
  <c r="E10" i="1"/>
  <c r="F10" i="1"/>
  <c r="H10" i="1"/>
  <c r="E11" i="1"/>
  <c r="F11" i="1"/>
  <c r="H11" i="1"/>
  <c r="E12" i="1"/>
  <c r="F12" i="1"/>
  <c r="H12" i="1"/>
  <c r="E13" i="1"/>
  <c r="F13" i="1"/>
  <c r="H13" i="1"/>
  <c r="E14" i="1"/>
  <c r="F14" i="1"/>
  <c r="H14" i="1"/>
  <c r="E15" i="1"/>
  <c r="F15" i="1"/>
  <c r="H15" i="1"/>
  <c r="E16" i="1"/>
  <c r="F16" i="1"/>
  <c r="H16" i="1"/>
  <c r="E17" i="1"/>
  <c r="F17" i="1"/>
  <c r="H17" i="1"/>
  <c r="E18" i="1"/>
  <c r="F18" i="1"/>
  <c r="H18" i="1"/>
  <c r="E19" i="1"/>
  <c r="F19" i="1"/>
  <c r="H19" i="1"/>
  <c r="E20" i="1"/>
  <c r="F20" i="1"/>
  <c r="H20" i="1"/>
  <c r="E21" i="1"/>
  <c r="F21" i="1"/>
  <c r="H21" i="1"/>
  <c r="E22" i="1"/>
  <c r="F22" i="1"/>
  <c r="H22" i="1"/>
  <c r="E23" i="1"/>
  <c r="F23" i="1"/>
  <c r="H23" i="1"/>
  <c r="E24" i="1"/>
  <c r="F24" i="1"/>
  <c r="H24" i="1"/>
  <c r="E25" i="1"/>
  <c r="F25" i="1"/>
  <c r="H25" i="1"/>
  <c r="E26" i="1"/>
  <c r="F26" i="1"/>
  <c r="H26" i="1"/>
  <c r="E27" i="1"/>
  <c r="F27" i="1"/>
  <c r="H27" i="1"/>
  <c r="E28" i="1"/>
  <c r="F28" i="1"/>
  <c r="H28" i="1"/>
  <c r="E29" i="1"/>
  <c r="F29" i="1"/>
  <c r="H29" i="1"/>
  <c r="E30" i="1"/>
  <c r="F30" i="1"/>
  <c r="H30" i="1"/>
  <c r="E31" i="1"/>
  <c r="F31" i="1"/>
  <c r="H31" i="1"/>
  <c r="E32" i="1"/>
  <c r="F32" i="1"/>
  <c r="H32" i="1"/>
  <c r="E33" i="1"/>
  <c r="F33" i="1"/>
  <c r="H33" i="1"/>
  <c r="E34" i="1"/>
  <c r="F34" i="1"/>
  <c r="H34" i="1"/>
  <c r="E35" i="1"/>
  <c r="F35" i="1"/>
  <c r="H35" i="1"/>
  <c r="E36" i="1"/>
  <c r="F36" i="1"/>
  <c r="H36" i="1"/>
  <c r="E37" i="1"/>
  <c r="F37" i="1"/>
  <c r="H37" i="1"/>
  <c r="E38" i="1"/>
  <c r="F38" i="1"/>
  <c r="H38" i="1"/>
  <c r="E39" i="1"/>
  <c r="F39" i="1"/>
  <c r="H39" i="1"/>
  <c r="E40" i="1"/>
  <c r="F40" i="1"/>
  <c r="H40" i="1"/>
  <c r="E41" i="1"/>
  <c r="F41" i="1"/>
  <c r="H41" i="1"/>
  <c r="E42" i="1"/>
  <c r="F42" i="1"/>
  <c r="H42" i="1"/>
  <c r="E43" i="1"/>
  <c r="F43" i="1"/>
  <c r="H43" i="1"/>
  <c r="E44" i="1"/>
  <c r="F44" i="1"/>
  <c r="H44" i="1"/>
  <c r="E45" i="1"/>
  <c r="F45" i="1"/>
  <c r="H45" i="1"/>
  <c r="E46" i="1"/>
  <c r="F46" i="1"/>
  <c r="H46" i="1"/>
  <c r="E47" i="1"/>
  <c r="F47" i="1"/>
  <c r="H47" i="1"/>
  <c r="E48" i="1"/>
  <c r="F48" i="1"/>
  <c r="H48" i="1"/>
  <c r="E49" i="1"/>
  <c r="F49" i="1"/>
  <c r="H49" i="1"/>
  <c r="E50" i="1"/>
  <c r="F50" i="1"/>
  <c r="H50" i="1"/>
  <c r="E51" i="1"/>
  <c r="F51" i="1"/>
  <c r="H51" i="1"/>
  <c r="E52" i="1"/>
  <c r="F52" i="1"/>
  <c r="H52" i="1"/>
  <c r="E53" i="1"/>
  <c r="F53" i="1"/>
  <c r="H53" i="1"/>
  <c r="E54" i="1"/>
  <c r="F54" i="1"/>
  <c r="H54" i="1"/>
  <c r="E55" i="1"/>
  <c r="F55" i="1"/>
  <c r="H55" i="1"/>
  <c r="E56" i="1"/>
  <c r="F56" i="1"/>
  <c r="H56" i="1"/>
  <c r="E57" i="1"/>
  <c r="F57" i="1"/>
  <c r="H57" i="1"/>
  <c r="E58" i="1"/>
  <c r="F58" i="1"/>
  <c r="H58" i="1"/>
  <c r="E59" i="1"/>
  <c r="F59" i="1"/>
  <c r="H59" i="1"/>
  <c r="E60" i="1"/>
  <c r="F60" i="1"/>
  <c r="H60" i="1"/>
  <c r="E61" i="1"/>
  <c r="F61" i="1"/>
  <c r="H61" i="1"/>
  <c r="E62" i="1"/>
  <c r="F62" i="1"/>
  <c r="H62" i="1"/>
  <c r="E63" i="1"/>
  <c r="F63" i="1"/>
  <c r="H63" i="1"/>
  <c r="E64" i="1"/>
  <c r="F64" i="1"/>
  <c r="H64" i="1"/>
  <c r="E65" i="1"/>
  <c r="F65" i="1"/>
  <c r="H65" i="1"/>
  <c r="E66" i="1"/>
  <c r="F66" i="1"/>
  <c r="H66" i="1"/>
  <c r="E67" i="1"/>
  <c r="F67" i="1"/>
  <c r="H67" i="1"/>
  <c r="E68" i="1"/>
  <c r="F68" i="1"/>
  <c r="H68" i="1"/>
  <c r="E69" i="1"/>
  <c r="F69" i="1"/>
  <c r="H69" i="1"/>
  <c r="E70" i="1"/>
  <c r="F70" i="1"/>
  <c r="H70" i="1"/>
  <c r="E71" i="1"/>
  <c r="F71" i="1"/>
  <c r="H71" i="1"/>
  <c r="E72" i="1"/>
  <c r="F72" i="1"/>
  <c r="H72" i="1"/>
  <c r="E73" i="1"/>
  <c r="F73" i="1"/>
  <c r="H73" i="1"/>
  <c r="E74" i="1"/>
  <c r="F74" i="1"/>
  <c r="H74" i="1"/>
  <c r="E75" i="1"/>
  <c r="F75" i="1"/>
  <c r="H75" i="1"/>
  <c r="E76" i="1"/>
  <c r="F76" i="1"/>
  <c r="H76" i="1"/>
  <c r="E77" i="1"/>
  <c r="F77" i="1"/>
  <c r="H77" i="1"/>
  <c r="E78" i="1"/>
  <c r="F78" i="1"/>
  <c r="H78" i="1"/>
  <c r="E79" i="1"/>
  <c r="F79" i="1"/>
  <c r="H79" i="1"/>
  <c r="E80" i="1"/>
  <c r="F80" i="1"/>
  <c r="H80" i="1"/>
  <c r="E81" i="1"/>
  <c r="F81" i="1"/>
  <c r="H81" i="1"/>
  <c r="E82" i="1"/>
  <c r="F82" i="1"/>
  <c r="H82" i="1"/>
  <c r="E83" i="1"/>
  <c r="F83" i="1"/>
  <c r="H83" i="1"/>
  <c r="E84" i="1"/>
  <c r="F84" i="1"/>
  <c r="H84" i="1"/>
  <c r="E85" i="1"/>
  <c r="F85" i="1"/>
  <c r="H85" i="1"/>
  <c r="E86" i="1"/>
  <c r="F86" i="1"/>
  <c r="H86" i="1"/>
  <c r="E87" i="1"/>
  <c r="F87" i="1"/>
  <c r="H87" i="1"/>
  <c r="E88" i="1"/>
  <c r="F88" i="1"/>
  <c r="H88" i="1"/>
  <c r="E89" i="1"/>
  <c r="F89" i="1"/>
  <c r="H89" i="1"/>
  <c r="E90" i="1"/>
  <c r="F90" i="1"/>
  <c r="H90" i="1"/>
  <c r="E91" i="1"/>
  <c r="F91" i="1"/>
  <c r="H91" i="1"/>
  <c r="E92" i="1"/>
  <c r="F92" i="1"/>
  <c r="H92" i="1"/>
  <c r="E93" i="1"/>
  <c r="F93" i="1"/>
  <c r="H93" i="1"/>
  <c r="E94" i="1"/>
  <c r="F94" i="1"/>
  <c r="H94" i="1"/>
  <c r="E95" i="1"/>
  <c r="F95" i="1"/>
  <c r="H95" i="1"/>
  <c r="E96" i="1"/>
  <c r="F96" i="1"/>
  <c r="H96" i="1"/>
  <c r="E97" i="1"/>
  <c r="F97" i="1"/>
  <c r="H97" i="1"/>
  <c r="E98" i="1"/>
  <c r="F98" i="1"/>
  <c r="H98" i="1"/>
  <c r="E99" i="1"/>
  <c r="F99" i="1"/>
  <c r="H99" i="1"/>
  <c r="E100" i="1"/>
  <c r="F100" i="1"/>
  <c r="H100" i="1"/>
  <c r="E101" i="1"/>
  <c r="F101" i="1"/>
  <c r="H101" i="1"/>
  <c r="E102" i="1"/>
  <c r="F102" i="1"/>
  <c r="H102" i="1"/>
  <c r="E103" i="1"/>
  <c r="F103" i="1"/>
  <c r="H103" i="1"/>
  <c r="E104" i="1"/>
  <c r="F104" i="1"/>
  <c r="H104" i="1"/>
  <c r="E105" i="1"/>
  <c r="F105" i="1"/>
  <c r="H105" i="1"/>
  <c r="E106" i="1"/>
  <c r="F106" i="1"/>
  <c r="H106" i="1"/>
  <c r="E107" i="1"/>
  <c r="F107" i="1"/>
  <c r="H107" i="1"/>
  <c r="E108" i="1"/>
  <c r="F108" i="1"/>
  <c r="H108" i="1"/>
  <c r="E109" i="1"/>
  <c r="F109" i="1"/>
  <c r="H109" i="1"/>
  <c r="E110" i="1"/>
  <c r="F110" i="1"/>
  <c r="H110" i="1"/>
  <c r="E111" i="1"/>
  <c r="F111" i="1"/>
  <c r="H111" i="1"/>
  <c r="E112" i="1"/>
  <c r="F112" i="1"/>
  <c r="H112" i="1"/>
  <c r="E113" i="1"/>
  <c r="F113" i="1"/>
  <c r="H113" i="1"/>
  <c r="E114" i="1"/>
  <c r="F114" i="1"/>
  <c r="H114" i="1"/>
  <c r="E115" i="1"/>
  <c r="F115" i="1"/>
  <c r="H115" i="1"/>
  <c r="E116" i="1"/>
  <c r="F116" i="1"/>
  <c r="H116" i="1"/>
  <c r="E117" i="1"/>
  <c r="F117" i="1"/>
  <c r="H117" i="1"/>
  <c r="E118" i="1"/>
  <c r="F118" i="1"/>
  <c r="H118" i="1"/>
  <c r="E119" i="1"/>
  <c r="F119" i="1"/>
  <c r="H119" i="1"/>
  <c r="E120" i="1"/>
  <c r="F120" i="1"/>
  <c r="H120" i="1"/>
  <c r="E121" i="1"/>
  <c r="F121" i="1"/>
  <c r="H121" i="1"/>
  <c r="E122" i="1"/>
  <c r="F122" i="1"/>
  <c r="H122" i="1"/>
  <c r="E123" i="1"/>
  <c r="F123" i="1"/>
  <c r="H123" i="1"/>
  <c r="E124" i="1"/>
  <c r="F124" i="1"/>
  <c r="H124" i="1"/>
  <c r="E125" i="1"/>
  <c r="F125" i="1"/>
  <c r="H125" i="1"/>
  <c r="E126" i="1"/>
  <c r="F126" i="1"/>
  <c r="H126" i="1"/>
  <c r="E127" i="1"/>
  <c r="F127" i="1"/>
  <c r="H127" i="1"/>
  <c r="E128" i="1"/>
  <c r="F128" i="1"/>
  <c r="H128" i="1"/>
  <c r="E129" i="1"/>
  <c r="F129" i="1"/>
  <c r="H129" i="1"/>
  <c r="E130" i="1"/>
  <c r="F130" i="1"/>
  <c r="H130" i="1"/>
  <c r="E131" i="1"/>
  <c r="F131" i="1"/>
  <c r="H131" i="1"/>
  <c r="E132" i="1"/>
  <c r="F132" i="1"/>
  <c r="H132" i="1"/>
  <c r="E133" i="1"/>
  <c r="F133" i="1"/>
  <c r="H133" i="1"/>
  <c r="E134" i="1"/>
  <c r="F134" i="1"/>
  <c r="H134" i="1"/>
  <c r="E135" i="1"/>
  <c r="F135" i="1"/>
  <c r="H135" i="1"/>
  <c r="E136" i="1"/>
  <c r="F136" i="1"/>
  <c r="H136" i="1"/>
  <c r="E137" i="1"/>
  <c r="F137" i="1"/>
  <c r="H137" i="1"/>
  <c r="E138" i="1"/>
  <c r="F138" i="1"/>
  <c r="H138" i="1"/>
  <c r="E139" i="1"/>
  <c r="F139" i="1"/>
  <c r="H139" i="1"/>
  <c r="E140" i="1"/>
  <c r="F140" i="1"/>
  <c r="H140" i="1"/>
  <c r="E141" i="1"/>
  <c r="F141" i="1"/>
  <c r="H141" i="1"/>
  <c r="E142" i="1"/>
  <c r="F142" i="1"/>
  <c r="H142" i="1"/>
  <c r="E143" i="1"/>
  <c r="F143" i="1"/>
  <c r="H143" i="1"/>
  <c r="E144" i="1"/>
  <c r="F144" i="1"/>
  <c r="H144" i="1"/>
  <c r="E145" i="1"/>
  <c r="F145" i="1"/>
  <c r="H145" i="1"/>
  <c r="E146" i="1"/>
  <c r="F146" i="1"/>
  <c r="H146" i="1"/>
  <c r="E147" i="1"/>
  <c r="F147" i="1"/>
  <c r="H147" i="1"/>
  <c r="E148" i="1"/>
  <c r="F148" i="1"/>
  <c r="H148" i="1"/>
  <c r="E149" i="1"/>
  <c r="F149" i="1"/>
  <c r="H149" i="1"/>
  <c r="E150" i="1"/>
  <c r="F150" i="1"/>
  <c r="H150" i="1"/>
  <c r="E151" i="1"/>
  <c r="F151" i="1"/>
  <c r="H151" i="1"/>
  <c r="E152" i="1"/>
  <c r="F152" i="1"/>
  <c r="H152" i="1"/>
  <c r="E153" i="1"/>
  <c r="F153" i="1"/>
  <c r="H153" i="1"/>
  <c r="E154" i="1"/>
  <c r="F154" i="1"/>
  <c r="H154" i="1"/>
  <c r="E155" i="1"/>
  <c r="F155" i="1"/>
  <c r="H155" i="1"/>
  <c r="E156" i="1"/>
  <c r="F156" i="1"/>
  <c r="H156" i="1"/>
  <c r="E157" i="1"/>
  <c r="F157" i="1"/>
  <c r="H157" i="1"/>
  <c r="E158" i="1"/>
  <c r="F158" i="1"/>
  <c r="H158" i="1"/>
  <c r="E159" i="1"/>
  <c r="F159" i="1"/>
  <c r="H159" i="1"/>
  <c r="E160" i="1"/>
  <c r="F160" i="1"/>
  <c r="H160" i="1"/>
  <c r="E161" i="1"/>
  <c r="F161" i="1"/>
  <c r="H161" i="1"/>
  <c r="E162" i="1"/>
  <c r="F162" i="1"/>
  <c r="H162" i="1"/>
  <c r="E163" i="1"/>
  <c r="F163" i="1"/>
  <c r="H163" i="1"/>
  <c r="E164" i="1"/>
  <c r="F164" i="1"/>
  <c r="H164" i="1"/>
  <c r="E165" i="1"/>
  <c r="F165" i="1"/>
  <c r="H165" i="1"/>
  <c r="E166" i="1"/>
  <c r="F166" i="1"/>
  <c r="H166" i="1"/>
  <c r="E167" i="1"/>
  <c r="F167" i="1"/>
  <c r="H167" i="1"/>
  <c r="E168" i="1"/>
  <c r="F168" i="1"/>
  <c r="H168" i="1"/>
  <c r="E169" i="1"/>
  <c r="F169" i="1"/>
  <c r="H169" i="1"/>
  <c r="E170" i="1"/>
  <c r="F170" i="1"/>
  <c r="H170" i="1"/>
  <c r="E171" i="1"/>
  <c r="F171" i="1"/>
  <c r="H171" i="1"/>
  <c r="E172" i="1"/>
  <c r="F172" i="1"/>
  <c r="H172" i="1"/>
  <c r="E173" i="1"/>
  <c r="F173" i="1"/>
  <c r="H173" i="1"/>
  <c r="E174" i="1"/>
  <c r="F174" i="1"/>
  <c r="H174" i="1"/>
  <c r="E175" i="1"/>
  <c r="F175" i="1"/>
  <c r="H175" i="1"/>
  <c r="E176" i="1"/>
  <c r="F176" i="1"/>
  <c r="H176" i="1"/>
  <c r="E177" i="1"/>
  <c r="F177" i="1"/>
  <c r="H177" i="1"/>
  <c r="E178" i="1"/>
  <c r="F178" i="1"/>
  <c r="H178" i="1"/>
  <c r="E179" i="1"/>
  <c r="F179" i="1"/>
  <c r="H179" i="1"/>
  <c r="E180" i="1"/>
  <c r="F180" i="1"/>
  <c r="H180" i="1"/>
  <c r="E181" i="1"/>
  <c r="F181" i="1"/>
  <c r="H181" i="1"/>
  <c r="E182" i="1"/>
  <c r="F182" i="1"/>
  <c r="H182" i="1"/>
  <c r="E183" i="1"/>
  <c r="F183" i="1"/>
  <c r="H183" i="1"/>
  <c r="E184" i="1"/>
  <c r="F184" i="1"/>
  <c r="H184" i="1"/>
  <c r="E185" i="1"/>
  <c r="F185" i="1"/>
  <c r="H185" i="1"/>
  <c r="E186" i="1"/>
  <c r="F186" i="1"/>
  <c r="H186" i="1"/>
  <c r="E187" i="1"/>
  <c r="F187" i="1"/>
  <c r="H187" i="1"/>
  <c r="E188" i="1"/>
  <c r="F188" i="1"/>
  <c r="H188" i="1"/>
  <c r="E189" i="1"/>
  <c r="F189" i="1"/>
  <c r="H189" i="1"/>
  <c r="E190" i="1"/>
  <c r="F190" i="1"/>
  <c r="H190" i="1"/>
  <c r="E191" i="1"/>
  <c r="F191" i="1"/>
  <c r="H191" i="1"/>
  <c r="E192" i="1"/>
  <c r="F192" i="1"/>
  <c r="H192" i="1"/>
  <c r="E193" i="1"/>
  <c r="F193" i="1"/>
  <c r="H193" i="1"/>
  <c r="E194" i="1"/>
  <c r="F194" i="1"/>
  <c r="H194" i="1"/>
  <c r="E195" i="1"/>
  <c r="F195" i="1"/>
  <c r="H195" i="1"/>
  <c r="E196" i="1"/>
  <c r="F196" i="1"/>
  <c r="H196" i="1"/>
  <c r="E197" i="1"/>
  <c r="F197" i="1"/>
  <c r="H197" i="1"/>
  <c r="E198" i="1"/>
  <c r="F198" i="1"/>
  <c r="H198" i="1"/>
  <c r="E199" i="1"/>
  <c r="F199" i="1"/>
  <c r="H199" i="1"/>
  <c r="E200" i="1"/>
  <c r="F200" i="1"/>
  <c r="H200" i="1"/>
  <c r="E201" i="1"/>
  <c r="F201" i="1"/>
  <c r="H201" i="1"/>
  <c r="E202" i="1"/>
  <c r="F202" i="1"/>
  <c r="H202" i="1"/>
  <c r="E203" i="1"/>
  <c r="F203" i="1"/>
  <c r="H203" i="1"/>
  <c r="E204" i="1"/>
  <c r="F204" i="1"/>
  <c r="H204" i="1"/>
  <c r="E205" i="1"/>
  <c r="F205" i="1"/>
  <c r="H205" i="1"/>
  <c r="E206" i="1"/>
  <c r="F206" i="1"/>
  <c r="H206" i="1"/>
  <c r="E207" i="1"/>
  <c r="F207" i="1"/>
  <c r="H207" i="1"/>
  <c r="E208" i="1"/>
  <c r="F208" i="1"/>
  <c r="H208" i="1"/>
  <c r="E209" i="1"/>
  <c r="F209" i="1"/>
  <c r="H209" i="1"/>
  <c r="E210" i="1"/>
  <c r="F210" i="1"/>
  <c r="H210" i="1"/>
  <c r="E211" i="1"/>
  <c r="F211" i="1"/>
  <c r="H211" i="1"/>
  <c r="E212" i="1"/>
  <c r="F212" i="1"/>
  <c r="H212" i="1"/>
  <c r="E213" i="1"/>
  <c r="F213" i="1"/>
  <c r="H213" i="1"/>
  <c r="E214" i="1"/>
  <c r="F214" i="1"/>
  <c r="H214" i="1"/>
  <c r="E215" i="1"/>
  <c r="F215" i="1"/>
  <c r="H215" i="1"/>
  <c r="E216" i="1"/>
  <c r="F216" i="1"/>
  <c r="H216" i="1"/>
  <c r="E217" i="1"/>
  <c r="F217" i="1"/>
  <c r="H217" i="1"/>
  <c r="E218" i="1"/>
  <c r="F218" i="1"/>
  <c r="H218" i="1"/>
  <c r="E219" i="1"/>
  <c r="F219" i="1"/>
  <c r="H219" i="1"/>
  <c r="E220" i="1"/>
  <c r="F220" i="1"/>
  <c r="H220" i="1"/>
  <c r="E221" i="1"/>
  <c r="F221" i="1"/>
  <c r="H221" i="1"/>
  <c r="E222" i="1"/>
  <c r="F222" i="1"/>
  <c r="H222" i="1"/>
  <c r="E223" i="1"/>
  <c r="F223" i="1"/>
  <c r="H223" i="1"/>
  <c r="E224" i="1"/>
  <c r="F224" i="1"/>
  <c r="H224" i="1"/>
  <c r="E225" i="1"/>
  <c r="F225" i="1"/>
  <c r="H225" i="1"/>
  <c r="E226" i="1"/>
  <c r="F226" i="1"/>
  <c r="H226" i="1"/>
  <c r="E227" i="1"/>
  <c r="F227" i="1"/>
  <c r="H227" i="1"/>
  <c r="E228" i="1"/>
  <c r="F228" i="1"/>
  <c r="H228" i="1"/>
  <c r="E229" i="1"/>
  <c r="F229" i="1"/>
  <c r="H229" i="1"/>
  <c r="E230" i="1"/>
  <c r="F230" i="1"/>
  <c r="H230" i="1"/>
  <c r="E231" i="1"/>
  <c r="F231" i="1"/>
  <c r="H231" i="1"/>
  <c r="E232" i="1"/>
  <c r="F232" i="1"/>
  <c r="H232" i="1"/>
  <c r="E233" i="1"/>
  <c r="F233" i="1"/>
  <c r="H233" i="1"/>
  <c r="E234" i="1"/>
  <c r="F234" i="1"/>
  <c r="H234" i="1"/>
  <c r="E235" i="1"/>
  <c r="F235" i="1"/>
  <c r="H235" i="1"/>
  <c r="E236" i="1"/>
  <c r="F236" i="1"/>
  <c r="H236" i="1"/>
  <c r="E237" i="1"/>
  <c r="F237" i="1"/>
  <c r="H237" i="1"/>
  <c r="E238" i="1"/>
  <c r="F238" i="1"/>
  <c r="H238" i="1"/>
  <c r="E239" i="1"/>
  <c r="F239" i="1"/>
  <c r="H239" i="1"/>
  <c r="E240" i="1"/>
  <c r="F240" i="1"/>
  <c r="H240" i="1"/>
  <c r="E241" i="1"/>
  <c r="F241" i="1"/>
  <c r="H241" i="1"/>
  <c r="E242" i="1"/>
  <c r="F242" i="1"/>
  <c r="H242" i="1"/>
  <c r="E243" i="1"/>
  <c r="F243" i="1"/>
  <c r="H243" i="1"/>
  <c r="E244" i="1"/>
  <c r="F244" i="1"/>
  <c r="H244" i="1"/>
  <c r="E245" i="1"/>
  <c r="F245" i="1"/>
  <c r="H245" i="1"/>
  <c r="E246" i="1"/>
  <c r="F246" i="1"/>
  <c r="H246" i="1"/>
  <c r="E247" i="1"/>
  <c r="F247" i="1"/>
  <c r="H247" i="1"/>
  <c r="E248" i="1"/>
  <c r="F248" i="1"/>
  <c r="H248" i="1"/>
  <c r="E249" i="1"/>
  <c r="F249" i="1"/>
  <c r="H249" i="1"/>
  <c r="E250" i="1"/>
  <c r="F250" i="1"/>
  <c r="H250" i="1"/>
  <c r="E251" i="1"/>
  <c r="F251" i="1"/>
  <c r="H251" i="1"/>
  <c r="E252" i="1"/>
  <c r="F252" i="1"/>
  <c r="H252" i="1"/>
  <c r="E253" i="1"/>
  <c r="F253" i="1"/>
  <c r="H253" i="1"/>
  <c r="E254" i="1"/>
  <c r="F254" i="1"/>
  <c r="H254" i="1"/>
  <c r="E255" i="1"/>
  <c r="F255" i="1"/>
  <c r="H255" i="1"/>
  <c r="E256" i="1"/>
  <c r="F256" i="1"/>
  <c r="H256" i="1"/>
  <c r="E257" i="1"/>
  <c r="F257" i="1"/>
  <c r="H257" i="1"/>
  <c r="E258" i="1"/>
  <c r="F258" i="1"/>
  <c r="H258" i="1"/>
  <c r="E259" i="1"/>
  <c r="F259" i="1"/>
  <c r="H259" i="1"/>
  <c r="E260" i="1"/>
  <c r="F260" i="1"/>
  <c r="H260" i="1"/>
  <c r="E261" i="1"/>
  <c r="F261" i="1"/>
  <c r="H261" i="1"/>
  <c r="E262" i="1"/>
  <c r="F262" i="1"/>
  <c r="H262" i="1"/>
  <c r="E263" i="1"/>
  <c r="F263" i="1"/>
  <c r="H263" i="1"/>
  <c r="E264" i="1"/>
  <c r="F264" i="1"/>
  <c r="H264" i="1"/>
  <c r="E265" i="1"/>
  <c r="F265" i="1"/>
  <c r="H265" i="1"/>
  <c r="E266" i="1"/>
  <c r="F266" i="1"/>
  <c r="H266" i="1"/>
  <c r="E267" i="1"/>
  <c r="F267" i="1"/>
  <c r="H267" i="1"/>
  <c r="E268" i="1"/>
  <c r="F268" i="1"/>
  <c r="H268" i="1"/>
  <c r="E269" i="1"/>
  <c r="F269" i="1"/>
  <c r="H269" i="1"/>
  <c r="E270" i="1"/>
  <c r="F270" i="1"/>
  <c r="H270" i="1"/>
  <c r="E271" i="1"/>
  <c r="F271" i="1"/>
  <c r="H271" i="1"/>
  <c r="E272" i="1"/>
  <c r="F272" i="1"/>
  <c r="H272" i="1"/>
  <c r="E273" i="1"/>
  <c r="F273" i="1"/>
  <c r="H273" i="1"/>
  <c r="E274" i="1"/>
  <c r="F274" i="1"/>
  <c r="H274" i="1"/>
  <c r="E275" i="1"/>
  <c r="F275" i="1"/>
  <c r="H275" i="1"/>
  <c r="E276" i="1"/>
  <c r="F276" i="1"/>
  <c r="H276" i="1"/>
  <c r="E277" i="1"/>
  <c r="F277" i="1"/>
  <c r="H277" i="1"/>
  <c r="E278" i="1"/>
  <c r="F278" i="1"/>
  <c r="H278" i="1"/>
  <c r="E279" i="1"/>
  <c r="F279" i="1"/>
  <c r="H279" i="1"/>
  <c r="E280" i="1"/>
  <c r="F280" i="1"/>
  <c r="H280" i="1"/>
  <c r="E281" i="1"/>
  <c r="F281" i="1"/>
  <c r="H281" i="1"/>
  <c r="E282" i="1"/>
  <c r="F282" i="1"/>
  <c r="H282" i="1"/>
  <c r="E283" i="1"/>
  <c r="F283" i="1"/>
  <c r="H283" i="1"/>
  <c r="E284" i="1"/>
  <c r="F284" i="1"/>
  <c r="H284" i="1"/>
  <c r="E285" i="1"/>
  <c r="F285" i="1"/>
  <c r="H285" i="1"/>
  <c r="E286" i="1"/>
  <c r="F286" i="1"/>
  <c r="H286" i="1"/>
  <c r="F287" i="1"/>
  <c r="H287" i="1"/>
  <c r="E288" i="1"/>
  <c r="F288" i="1"/>
  <c r="H288" i="1"/>
  <c r="E289" i="1"/>
  <c r="F289" i="1"/>
  <c r="H289" i="1"/>
  <c r="E290" i="1"/>
  <c r="F290" i="1"/>
  <c r="H290" i="1"/>
  <c r="E291" i="1"/>
  <c r="F291" i="1"/>
  <c r="H291" i="1"/>
  <c r="E292" i="1"/>
  <c r="F292" i="1"/>
  <c r="H292" i="1"/>
  <c r="E293" i="1"/>
  <c r="F293" i="1"/>
  <c r="H293" i="1"/>
  <c r="E294" i="1"/>
  <c r="F294" i="1"/>
  <c r="H294" i="1"/>
  <c r="E295" i="1"/>
  <c r="F295" i="1"/>
  <c r="H295" i="1"/>
  <c r="E296" i="1"/>
  <c r="F296" i="1"/>
  <c r="H296" i="1"/>
  <c r="E297" i="1"/>
  <c r="F297" i="1"/>
  <c r="H297" i="1"/>
  <c r="E298" i="1"/>
  <c r="F298" i="1"/>
  <c r="H298" i="1"/>
  <c r="E299" i="1"/>
  <c r="F299" i="1"/>
  <c r="H299" i="1"/>
  <c r="E300" i="1"/>
  <c r="F300" i="1"/>
  <c r="H300" i="1"/>
  <c r="E301" i="1"/>
  <c r="F301" i="1"/>
  <c r="H301" i="1"/>
  <c r="E302" i="1"/>
  <c r="F302" i="1"/>
  <c r="H302" i="1"/>
  <c r="E303" i="1"/>
  <c r="F303" i="1"/>
  <c r="H303" i="1"/>
  <c r="E304" i="1"/>
  <c r="F304" i="1"/>
  <c r="H304" i="1"/>
  <c r="E305" i="1"/>
  <c r="F305" i="1"/>
  <c r="H305" i="1"/>
  <c r="E306" i="1"/>
  <c r="F306" i="1"/>
  <c r="H306" i="1"/>
  <c r="E307" i="1"/>
  <c r="F307" i="1"/>
  <c r="H307" i="1"/>
  <c r="E308" i="1"/>
  <c r="F308" i="1"/>
  <c r="H308" i="1"/>
  <c r="E309" i="1"/>
  <c r="F309" i="1"/>
  <c r="H309" i="1"/>
  <c r="E310" i="1"/>
  <c r="F310" i="1"/>
  <c r="H310" i="1"/>
  <c r="E311" i="1"/>
  <c r="F311" i="1"/>
  <c r="H311" i="1"/>
  <c r="E312" i="1"/>
  <c r="F312" i="1"/>
  <c r="H312" i="1"/>
  <c r="E313" i="1"/>
  <c r="F313" i="1"/>
  <c r="H313" i="1"/>
  <c r="F314" i="1"/>
  <c r="H314" i="1"/>
  <c r="E315" i="1"/>
  <c r="F315" i="1"/>
  <c r="H315" i="1"/>
  <c r="E316" i="1"/>
  <c r="F316" i="1"/>
  <c r="H316" i="1"/>
  <c r="E317" i="1"/>
  <c r="F317" i="1"/>
  <c r="H317" i="1"/>
  <c r="E318" i="1"/>
  <c r="F318" i="1"/>
  <c r="H318" i="1"/>
  <c r="E319" i="1"/>
  <c r="F319" i="1"/>
  <c r="H319" i="1"/>
  <c r="E320" i="1"/>
  <c r="F320" i="1"/>
  <c r="H320" i="1"/>
  <c r="E321" i="1"/>
  <c r="F321" i="1"/>
  <c r="H321" i="1"/>
  <c r="E322" i="1"/>
  <c r="F322" i="1"/>
  <c r="H322" i="1"/>
  <c r="E323" i="1"/>
  <c r="F323" i="1"/>
  <c r="H323" i="1"/>
  <c r="E324" i="1"/>
  <c r="F324" i="1"/>
  <c r="H324" i="1"/>
  <c r="E325" i="1"/>
  <c r="F325" i="1"/>
  <c r="H325" i="1"/>
  <c r="E326" i="1"/>
  <c r="F326" i="1"/>
  <c r="H326" i="1"/>
  <c r="E327" i="1"/>
  <c r="F327" i="1"/>
  <c r="H327" i="1"/>
  <c r="E328" i="1"/>
  <c r="F328" i="1"/>
  <c r="H328" i="1"/>
  <c r="E329" i="1"/>
  <c r="F329" i="1"/>
  <c r="H329" i="1"/>
  <c r="E330" i="1"/>
  <c r="F330" i="1"/>
  <c r="H330" i="1"/>
  <c r="E331" i="1"/>
  <c r="F331" i="1"/>
  <c r="H331" i="1"/>
  <c r="E332" i="1"/>
  <c r="F332" i="1"/>
  <c r="H332" i="1"/>
  <c r="E333" i="1"/>
  <c r="F333" i="1"/>
  <c r="H333" i="1"/>
  <c r="E334" i="1"/>
  <c r="F334" i="1"/>
  <c r="H334" i="1"/>
  <c r="E335" i="1"/>
  <c r="F335" i="1"/>
  <c r="H335" i="1"/>
  <c r="E336" i="1"/>
  <c r="F336" i="1"/>
  <c r="H336" i="1"/>
  <c r="E337" i="1"/>
  <c r="F337" i="1"/>
  <c r="H337" i="1"/>
  <c r="E338" i="1"/>
  <c r="F338" i="1"/>
  <c r="H338" i="1"/>
  <c r="E339" i="1"/>
  <c r="F339" i="1"/>
  <c r="H339" i="1"/>
  <c r="E340" i="1"/>
  <c r="F340" i="1"/>
  <c r="H340" i="1"/>
  <c r="E341" i="1"/>
  <c r="F341" i="1"/>
  <c r="H341" i="1"/>
  <c r="E342" i="1"/>
  <c r="F342" i="1"/>
  <c r="H342" i="1"/>
  <c r="E343" i="1"/>
  <c r="F343" i="1"/>
  <c r="H343" i="1"/>
  <c r="E344" i="1"/>
  <c r="F344" i="1"/>
  <c r="H344" i="1"/>
  <c r="E345" i="1"/>
  <c r="F345" i="1"/>
  <c r="H345" i="1"/>
  <c r="E346" i="1"/>
  <c r="F346" i="1"/>
  <c r="H346" i="1"/>
  <c r="E347" i="1"/>
  <c r="F347" i="1"/>
  <c r="H347" i="1"/>
  <c r="E348" i="1"/>
  <c r="F348" i="1"/>
  <c r="H348" i="1"/>
  <c r="E349" i="1"/>
  <c r="F349" i="1"/>
  <c r="H349" i="1"/>
  <c r="E350" i="1"/>
  <c r="F350" i="1"/>
  <c r="H350" i="1"/>
  <c r="E351" i="1"/>
  <c r="F351" i="1"/>
  <c r="H351" i="1"/>
  <c r="E352" i="1"/>
  <c r="F352" i="1"/>
  <c r="H352" i="1"/>
  <c r="E353" i="1"/>
  <c r="F353" i="1"/>
  <c r="H353" i="1"/>
  <c r="E354" i="1"/>
  <c r="F354" i="1"/>
  <c r="H354" i="1"/>
  <c r="E355" i="1"/>
  <c r="F355" i="1"/>
  <c r="H355" i="1"/>
  <c r="E356" i="1"/>
  <c r="F356" i="1"/>
  <c r="H356" i="1"/>
  <c r="E357" i="1"/>
  <c r="F357" i="1"/>
  <c r="H357" i="1"/>
  <c r="E358" i="1"/>
  <c r="F358" i="1"/>
  <c r="H358" i="1"/>
  <c r="E359" i="1"/>
  <c r="F359" i="1"/>
  <c r="H359" i="1"/>
  <c r="E360" i="1"/>
  <c r="F360" i="1"/>
  <c r="H360" i="1"/>
  <c r="E361" i="1"/>
  <c r="F361" i="1"/>
  <c r="H361" i="1"/>
  <c r="E362" i="1"/>
  <c r="F362" i="1"/>
  <c r="H362" i="1"/>
  <c r="E363" i="1"/>
  <c r="F363" i="1"/>
  <c r="H363" i="1"/>
  <c r="E364" i="1"/>
  <c r="F364" i="1"/>
  <c r="H364" i="1"/>
  <c r="E365" i="1"/>
  <c r="F365" i="1"/>
  <c r="H365" i="1"/>
  <c r="E366" i="1"/>
  <c r="F366" i="1"/>
  <c r="H366" i="1"/>
  <c r="E367" i="1"/>
  <c r="F367" i="1"/>
  <c r="H367" i="1"/>
  <c r="E368" i="1"/>
  <c r="F368" i="1"/>
  <c r="H368" i="1"/>
  <c r="E369" i="1"/>
  <c r="F369" i="1"/>
  <c r="H369" i="1"/>
  <c r="E370" i="1"/>
  <c r="F370" i="1"/>
  <c r="H370" i="1"/>
  <c r="E371" i="1"/>
  <c r="F371" i="1"/>
  <c r="H371" i="1"/>
  <c r="E372" i="1"/>
  <c r="F372" i="1"/>
  <c r="H372" i="1"/>
  <c r="E373" i="1"/>
  <c r="F373" i="1"/>
  <c r="H373" i="1"/>
  <c r="E374" i="1"/>
  <c r="F374" i="1"/>
  <c r="H374" i="1"/>
  <c r="E375" i="1"/>
  <c r="F375" i="1"/>
  <c r="H375" i="1"/>
  <c r="E376" i="1"/>
  <c r="F376" i="1"/>
  <c r="H376" i="1"/>
  <c r="E377" i="1"/>
  <c r="F377" i="1"/>
  <c r="H377" i="1"/>
  <c r="E378" i="1"/>
  <c r="F378" i="1"/>
  <c r="H378" i="1"/>
  <c r="E379" i="1"/>
  <c r="F379" i="1"/>
  <c r="H379" i="1"/>
  <c r="E380" i="1"/>
  <c r="F380" i="1"/>
  <c r="H380" i="1"/>
  <c r="E381" i="1"/>
  <c r="F381" i="1"/>
  <c r="H381" i="1"/>
  <c r="E382" i="1"/>
  <c r="F382" i="1"/>
  <c r="H382" i="1"/>
  <c r="E383" i="1"/>
  <c r="F383" i="1"/>
  <c r="H383" i="1"/>
  <c r="E384" i="1"/>
  <c r="F384" i="1"/>
  <c r="H384" i="1"/>
  <c r="E385" i="1"/>
  <c r="F385" i="1"/>
  <c r="H385" i="1"/>
  <c r="E386" i="1"/>
  <c r="F386" i="1"/>
  <c r="H386" i="1"/>
  <c r="E387" i="1"/>
  <c r="F387" i="1"/>
  <c r="H387" i="1"/>
  <c r="E388" i="1"/>
  <c r="F388" i="1"/>
  <c r="H388" i="1"/>
  <c r="E389" i="1"/>
  <c r="F389" i="1"/>
  <c r="H389" i="1"/>
  <c r="E390" i="1"/>
  <c r="F390" i="1"/>
  <c r="H390" i="1"/>
  <c r="E391" i="1"/>
  <c r="F391" i="1"/>
  <c r="H391" i="1"/>
  <c r="E392" i="1"/>
  <c r="F392" i="1"/>
  <c r="H392" i="1"/>
  <c r="E393" i="1"/>
  <c r="F393" i="1"/>
  <c r="H393" i="1"/>
  <c r="E394" i="1"/>
  <c r="F394" i="1"/>
  <c r="H394" i="1"/>
  <c r="E395" i="1"/>
  <c r="F395" i="1"/>
  <c r="H395" i="1"/>
  <c r="E396" i="1"/>
  <c r="F396" i="1"/>
  <c r="H396" i="1"/>
  <c r="E397" i="1"/>
  <c r="F397" i="1"/>
  <c r="H397" i="1"/>
  <c r="E398" i="1"/>
  <c r="F398" i="1"/>
  <c r="H398" i="1"/>
  <c r="E399" i="1"/>
  <c r="F399" i="1"/>
  <c r="H399" i="1"/>
  <c r="E400" i="1"/>
  <c r="F400" i="1"/>
  <c r="H400" i="1"/>
  <c r="E401" i="1"/>
  <c r="F401" i="1"/>
  <c r="H401" i="1"/>
  <c r="E402" i="1"/>
  <c r="F402" i="1"/>
  <c r="H402" i="1"/>
  <c r="E403" i="1"/>
  <c r="F403" i="1"/>
  <c r="H403" i="1"/>
  <c r="E404" i="1"/>
  <c r="F404" i="1"/>
  <c r="H404" i="1"/>
  <c r="E405" i="1"/>
  <c r="F405" i="1"/>
  <c r="H405" i="1"/>
  <c r="E406" i="1"/>
  <c r="F406" i="1"/>
  <c r="H406" i="1"/>
  <c r="E407" i="1"/>
  <c r="F407" i="1"/>
  <c r="H407" i="1"/>
  <c r="E408" i="1"/>
  <c r="F408" i="1"/>
  <c r="H408" i="1"/>
  <c r="E409" i="1"/>
  <c r="F409" i="1"/>
  <c r="H409" i="1"/>
  <c r="E410" i="1"/>
  <c r="F410" i="1"/>
  <c r="H410" i="1"/>
  <c r="E411" i="1"/>
  <c r="F411" i="1"/>
  <c r="H411" i="1"/>
  <c r="E412" i="1"/>
  <c r="F412" i="1"/>
  <c r="H412" i="1"/>
  <c r="E413" i="1"/>
  <c r="F413" i="1"/>
  <c r="H413" i="1"/>
  <c r="E414" i="1"/>
  <c r="F414" i="1"/>
  <c r="H414" i="1"/>
  <c r="E415" i="1"/>
  <c r="F415" i="1"/>
  <c r="H415" i="1"/>
  <c r="E416" i="1"/>
  <c r="F416" i="1"/>
  <c r="H416" i="1"/>
  <c r="E417" i="1"/>
  <c r="F417" i="1"/>
  <c r="H417" i="1"/>
  <c r="E418" i="1"/>
  <c r="F418" i="1"/>
  <c r="H418" i="1"/>
  <c r="E419" i="1"/>
  <c r="F419" i="1"/>
  <c r="H419" i="1"/>
  <c r="E420" i="1"/>
  <c r="F420" i="1"/>
  <c r="H420" i="1"/>
  <c r="E421" i="1"/>
  <c r="F421" i="1"/>
  <c r="H421" i="1"/>
  <c r="E422" i="1"/>
  <c r="F422" i="1"/>
  <c r="H422" i="1"/>
  <c r="E423" i="1"/>
  <c r="F423" i="1"/>
  <c r="H423" i="1"/>
  <c r="E424" i="1"/>
  <c r="F424" i="1"/>
  <c r="H424" i="1"/>
  <c r="E425" i="1"/>
  <c r="F425" i="1"/>
  <c r="H425" i="1"/>
  <c r="E426" i="1"/>
  <c r="F426" i="1"/>
  <c r="H426" i="1"/>
  <c r="E427" i="1"/>
  <c r="F427" i="1"/>
  <c r="H427" i="1"/>
  <c r="E428" i="1"/>
  <c r="F428" i="1"/>
  <c r="H428" i="1"/>
  <c r="F429" i="1"/>
  <c r="H429" i="1"/>
  <c r="E430" i="1"/>
  <c r="F430" i="1"/>
  <c r="H430" i="1"/>
  <c r="E431" i="1"/>
  <c r="F431" i="1"/>
  <c r="H431" i="1"/>
  <c r="E432" i="1"/>
  <c r="F432" i="1"/>
  <c r="H432" i="1"/>
  <c r="E433" i="1"/>
  <c r="F433" i="1"/>
  <c r="H433" i="1"/>
  <c r="E434" i="1"/>
  <c r="F434" i="1"/>
  <c r="H434" i="1"/>
  <c r="E435" i="1"/>
  <c r="F435" i="1"/>
  <c r="H435" i="1"/>
  <c r="E436" i="1"/>
  <c r="F436" i="1"/>
  <c r="H436" i="1"/>
  <c r="E437" i="1"/>
  <c r="F437" i="1"/>
  <c r="H437" i="1"/>
  <c r="E438" i="1"/>
  <c r="F438" i="1"/>
  <c r="H438" i="1"/>
  <c r="E439" i="1"/>
  <c r="F439" i="1"/>
  <c r="H439" i="1"/>
  <c r="E440" i="1"/>
  <c r="F440" i="1"/>
  <c r="H440" i="1"/>
  <c r="E441" i="1"/>
  <c r="F441" i="1"/>
  <c r="H441" i="1"/>
  <c r="E442" i="1"/>
  <c r="F442" i="1"/>
  <c r="H442" i="1"/>
  <c r="E443" i="1"/>
  <c r="F443" i="1"/>
  <c r="H443" i="1"/>
  <c r="E444" i="1"/>
  <c r="F444" i="1"/>
  <c r="H444" i="1"/>
  <c r="E445" i="1"/>
  <c r="F445" i="1"/>
  <c r="H445" i="1"/>
  <c r="E446" i="1"/>
  <c r="F446" i="1"/>
  <c r="H446" i="1"/>
  <c r="E447" i="1"/>
  <c r="F447" i="1"/>
  <c r="H447" i="1"/>
  <c r="E448" i="1"/>
  <c r="F448" i="1"/>
  <c r="H448" i="1"/>
  <c r="E449" i="1"/>
  <c r="F449" i="1"/>
  <c r="H449" i="1"/>
  <c r="E450" i="1"/>
  <c r="F450" i="1"/>
  <c r="H450" i="1"/>
  <c r="E451" i="1"/>
  <c r="F451" i="1"/>
  <c r="H451" i="1"/>
  <c r="E452" i="1"/>
  <c r="F452" i="1"/>
  <c r="H452" i="1"/>
  <c r="E453" i="1"/>
  <c r="F453" i="1"/>
  <c r="H453" i="1"/>
  <c r="E454" i="1"/>
  <c r="F454" i="1"/>
  <c r="H454" i="1"/>
  <c r="F455" i="1"/>
  <c r="H455" i="1"/>
  <c r="E456" i="1"/>
  <c r="F456" i="1"/>
  <c r="H456" i="1"/>
  <c r="E457" i="1"/>
  <c r="F457" i="1"/>
  <c r="H457" i="1"/>
  <c r="E458" i="1"/>
  <c r="F458" i="1"/>
  <c r="H458" i="1"/>
  <c r="E459" i="1"/>
  <c r="F459" i="1"/>
  <c r="H459" i="1"/>
  <c r="E460" i="1"/>
  <c r="F460" i="1"/>
  <c r="H460" i="1"/>
  <c r="E461" i="1"/>
  <c r="F461" i="1"/>
  <c r="H461" i="1"/>
  <c r="E462" i="1"/>
  <c r="F462" i="1"/>
  <c r="H462" i="1"/>
  <c r="E463" i="1"/>
  <c r="F463" i="1"/>
  <c r="H463" i="1"/>
  <c r="E464" i="1"/>
  <c r="F464" i="1"/>
  <c r="H464" i="1"/>
  <c r="E465" i="1"/>
  <c r="F465" i="1"/>
  <c r="H465" i="1"/>
  <c r="E466" i="1"/>
  <c r="F466" i="1"/>
  <c r="H466" i="1"/>
  <c r="E467" i="1"/>
  <c r="F467" i="1"/>
  <c r="H467" i="1"/>
  <c r="E468" i="1"/>
  <c r="F468" i="1"/>
  <c r="H468" i="1"/>
  <c r="E469" i="1"/>
  <c r="F469" i="1"/>
  <c r="H469" i="1"/>
  <c r="E470" i="1"/>
  <c r="F470" i="1"/>
  <c r="H470" i="1"/>
  <c r="E471" i="1"/>
  <c r="F471" i="1"/>
  <c r="H471" i="1"/>
  <c r="E472" i="1"/>
  <c r="F472" i="1"/>
  <c r="H472" i="1"/>
  <c r="E473" i="1"/>
  <c r="F473" i="1"/>
  <c r="H473" i="1"/>
  <c r="E474" i="1"/>
  <c r="F474" i="1"/>
  <c r="H474" i="1"/>
  <c r="E475" i="1"/>
  <c r="F475" i="1"/>
  <c r="H475" i="1"/>
  <c r="E476" i="1"/>
  <c r="F476" i="1"/>
  <c r="H476" i="1"/>
  <c r="E477" i="1"/>
  <c r="F477" i="1"/>
  <c r="H477" i="1"/>
  <c r="E478" i="1"/>
  <c r="F478" i="1"/>
  <c r="H478" i="1"/>
  <c r="E479" i="1"/>
  <c r="F479" i="1"/>
  <c r="H479" i="1"/>
  <c r="E480" i="1"/>
  <c r="F480" i="1"/>
  <c r="H480" i="1"/>
  <c r="E481" i="1"/>
  <c r="F481" i="1"/>
  <c r="H481" i="1"/>
  <c r="E482" i="1"/>
  <c r="F482" i="1"/>
  <c r="H482" i="1"/>
  <c r="E483" i="1"/>
  <c r="F483" i="1"/>
  <c r="H483" i="1"/>
  <c r="E484" i="1"/>
  <c r="F484" i="1"/>
  <c r="H484" i="1"/>
  <c r="E485" i="1"/>
  <c r="F485" i="1"/>
  <c r="H485" i="1"/>
  <c r="E486" i="1"/>
  <c r="F486" i="1"/>
  <c r="H486" i="1"/>
  <c r="E487" i="1"/>
  <c r="F487" i="1"/>
  <c r="H487" i="1"/>
  <c r="E488" i="1"/>
  <c r="F488" i="1"/>
  <c r="H488" i="1"/>
  <c r="E489" i="1"/>
  <c r="F489" i="1"/>
  <c r="H489" i="1"/>
  <c r="E490" i="1"/>
  <c r="F490" i="1"/>
  <c r="H490" i="1"/>
  <c r="E491" i="1"/>
  <c r="F491" i="1"/>
  <c r="H491" i="1"/>
  <c r="E492" i="1"/>
  <c r="F492" i="1"/>
  <c r="H492" i="1"/>
  <c r="E493" i="1"/>
  <c r="F493" i="1"/>
  <c r="H493" i="1"/>
  <c r="E494" i="1"/>
  <c r="F494" i="1"/>
  <c r="H494" i="1"/>
  <c r="E495" i="1"/>
  <c r="F495" i="1"/>
  <c r="H495" i="1"/>
  <c r="E496" i="1"/>
  <c r="F496" i="1"/>
  <c r="H496" i="1"/>
  <c r="E497" i="1"/>
  <c r="F497" i="1"/>
  <c r="H497" i="1"/>
  <c r="E498" i="1"/>
  <c r="F498" i="1"/>
  <c r="H498" i="1"/>
  <c r="E499" i="1"/>
  <c r="F499" i="1"/>
  <c r="H499" i="1"/>
  <c r="E500" i="1"/>
  <c r="F500" i="1"/>
  <c r="H500" i="1"/>
  <c r="E501" i="1"/>
  <c r="F501" i="1"/>
  <c r="H501" i="1"/>
  <c r="E502" i="1"/>
  <c r="F502" i="1"/>
  <c r="H502" i="1"/>
  <c r="E503" i="1"/>
  <c r="F503" i="1"/>
  <c r="H503" i="1"/>
  <c r="E504" i="1"/>
  <c r="F504" i="1"/>
  <c r="H504" i="1"/>
  <c r="E505" i="1"/>
  <c r="F505" i="1"/>
  <c r="H505" i="1"/>
  <c r="E506" i="1"/>
  <c r="F506" i="1"/>
  <c r="H506" i="1"/>
  <c r="E507" i="1"/>
  <c r="F507" i="1"/>
  <c r="H507" i="1"/>
  <c r="E508" i="1"/>
  <c r="F508" i="1"/>
  <c r="H508" i="1"/>
  <c r="E509" i="1"/>
  <c r="F509" i="1"/>
  <c r="H509" i="1"/>
  <c r="E510" i="1"/>
  <c r="F510" i="1"/>
  <c r="H510" i="1"/>
  <c r="E511" i="1"/>
  <c r="F511" i="1"/>
  <c r="H511" i="1"/>
  <c r="E512" i="1"/>
  <c r="F512" i="1"/>
  <c r="H512" i="1"/>
  <c r="E513" i="1"/>
  <c r="F513" i="1"/>
  <c r="H513" i="1"/>
  <c r="E514" i="1"/>
  <c r="F514" i="1"/>
  <c r="H514" i="1"/>
  <c r="E515" i="1"/>
  <c r="F515" i="1"/>
  <c r="H515" i="1"/>
  <c r="E516" i="1"/>
  <c r="F516" i="1"/>
  <c r="H516" i="1"/>
  <c r="E517" i="1"/>
  <c r="F517" i="1"/>
  <c r="H517" i="1"/>
  <c r="E518" i="1"/>
  <c r="F518" i="1"/>
  <c r="H518" i="1"/>
  <c r="E519" i="1"/>
  <c r="F519" i="1"/>
  <c r="H519" i="1"/>
  <c r="E520" i="1"/>
  <c r="F520" i="1"/>
  <c r="H520" i="1"/>
  <c r="E521" i="1"/>
  <c r="F521" i="1"/>
  <c r="H521" i="1"/>
  <c r="E522" i="1"/>
  <c r="F522" i="1"/>
  <c r="H522" i="1"/>
  <c r="E523" i="1"/>
  <c r="F523" i="1"/>
  <c r="H523" i="1"/>
  <c r="E524" i="1"/>
  <c r="F524" i="1"/>
  <c r="H524" i="1"/>
  <c r="E525" i="1"/>
  <c r="F525" i="1"/>
  <c r="H525" i="1"/>
  <c r="E526" i="1"/>
  <c r="F526" i="1"/>
  <c r="H526" i="1"/>
  <c r="E527" i="1"/>
  <c r="F527" i="1"/>
  <c r="H527" i="1"/>
  <c r="E528" i="1"/>
  <c r="F528" i="1"/>
  <c r="H528" i="1"/>
  <c r="E529" i="1"/>
  <c r="F529" i="1"/>
  <c r="H529" i="1"/>
  <c r="E530" i="1"/>
  <c r="F530" i="1"/>
  <c r="H530" i="1"/>
  <c r="E531" i="1"/>
  <c r="F531" i="1"/>
  <c r="H531" i="1"/>
  <c r="E532" i="1"/>
  <c r="F532" i="1"/>
  <c r="H532" i="1"/>
  <c r="E533" i="1"/>
  <c r="F533" i="1"/>
  <c r="H533" i="1"/>
  <c r="E534" i="1"/>
  <c r="F534" i="1"/>
  <c r="H534" i="1"/>
  <c r="E535" i="1"/>
  <c r="F535" i="1"/>
  <c r="H535" i="1"/>
  <c r="E536" i="1"/>
  <c r="F536" i="1"/>
  <c r="H536" i="1"/>
  <c r="E537" i="1"/>
  <c r="F537" i="1"/>
  <c r="H537" i="1"/>
  <c r="E538" i="1"/>
  <c r="F538" i="1"/>
  <c r="H538" i="1"/>
  <c r="E539" i="1"/>
  <c r="F539" i="1"/>
  <c r="H539" i="1"/>
  <c r="E540" i="1"/>
  <c r="F540" i="1"/>
  <c r="H540" i="1"/>
  <c r="E541" i="1"/>
  <c r="F541" i="1"/>
  <c r="H541" i="1"/>
  <c r="E542" i="1"/>
  <c r="F542" i="1"/>
  <c r="H542" i="1"/>
  <c r="E543" i="1"/>
  <c r="F543" i="1"/>
  <c r="H543" i="1"/>
  <c r="F544" i="1"/>
  <c r="H544" i="1"/>
  <c r="E545" i="1"/>
  <c r="F545" i="1"/>
  <c r="H545" i="1"/>
  <c r="E546" i="1"/>
  <c r="F546" i="1"/>
  <c r="H546" i="1"/>
  <c r="E547" i="1"/>
  <c r="F547" i="1"/>
  <c r="H547" i="1"/>
  <c r="E548" i="1"/>
  <c r="F548" i="1"/>
  <c r="H548" i="1"/>
  <c r="E549" i="1"/>
  <c r="F549" i="1"/>
  <c r="H549" i="1"/>
  <c r="E550" i="1"/>
  <c r="F550" i="1"/>
  <c r="H550" i="1"/>
  <c r="E551" i="1"/>
  <c r="F551" i="1"/>
  <c r="H551" i="1"/>
  <c r="E552" i="1"/>
  <c r="F552" i="1"/>
  <c r="H552" i="1"/>
  <c r="E553" i="1"/>
  <c r="F553" i="1"/>
  <c r="H553" i="1"/>
  <c r="E554" i="1"/>
  <c r="F554" i="1"/>
  <c r="H554" i="1"/>
  <c r="E555" i="1"/>
  <c r="F555" i="1"/>
  <c r="H555" i="1"/>
  <c r="E556" i="1"/>
  <c r="F556" i="1"/>
  <c r="H556" i="1"/>
  <c r="E557" i="1"/>
  <c r="F557" i="1"/>
  <c r="H557" i="1"/>
  <c r="E558" i="1"/>
  <c r="F558" i="1"/>
  <c r="H558" i="1"/>
  <c r="E559" i="1"/>
  <c r="F559" i="1"/>
  <c r="H559" i="1"/>
  <c r="E560" i="1"/>
  <c r="F560" i="1"/>
  <c r="H560" i="1"/>
  <c r="E561" i="1"/>
  <c r="F561" i="1"/>
  <c r="H561" i="1"/>
  <c r="E562" i="1"/>
  <c r="F562" i="1"/>
  <c r="H562" i="1"/>
  <c r="E563" i="1"/>
  <c r="F563" i="1"/>
  <c r="H563" i="1"/>
  <c r="E564" i="1"/>
  <c r="F564" i="1"/>
  <c r="H564" i="1"/>
  <c r="E565" i="1"/>
  <c r="F565" i="1"/>
  <c r="H565" i="1"/>
  <c r="E566" i="1"/>
  <c r="F566" i="1"/>
  <c r="H566" i="1"/>
  <c r="E567" i="1"/>
  <c r="F567" i="1"/>
  <c r="H567" i="1"/>
  <c r="E568" i="1"/>
  <c r="F568" i="1"/>
  <c r="H568" i="1"/>
  <c r="E569" i="1"/>
  <c r="F569" i="1"/>
  <c r="H569" i="1"/>
  <c r="E570" i="1"/>
  <c r="F570" i="1"/>
  <c r="H570" i="1"/>
  <c r="E571" i="1"/>
  <c r="F571" i="1"/>
  <c r="H571" i="1"/>
  <c r="E572" i="1"/>
  <c r="F572" i="1"/>
  <c r="H572" i="1"/>
  <c r="E573" i="1"/>
  <c r="F573" i="1"/>
  <c r="H573" i="1"/>
  <c r="E574" i="1"/>
  <c r="F574" i="1"/>
  <c r="H574" i="1"/>
  <c r="E575" i="1"/>
  <c r="F575" i="1"/>
  <c r="H575" i="1"/>
  <c r="E576" i="1"/>
  <c r="F576" i="1"/>
  <c r="H576" i="1"/>
  <c r="E577" i="1"/>
  <c r="F577" i="1"/>
  <c r="H577" i="1"/>
  <c r="E578" i="1"/>
  <c r="F578" i="1"/>
  <c r="H578" i="1"/>
  <c r="E579" i="1"/>
  <c r="F579" i="1"/>
  <c r="H579" i="1"/>
  <c r="E580" i="1"/>
  <c r="F580" i="1"/>
  <c r="H580" i="1"/>
  <c r="E581" i="1"/>
  <c r="F581" i="1"/>
  <c r="H581" i="1"/>
  <c r="E582" i="1"/>
  <c r="F582" i="1"/>
  <c r="H582" i="1"/>
  <c r="E583" i="1"/>
  <c r="F583" i="1"/>
  <c r="H583" i="1"/>
  <c r="E584" i="1"/>
  <c r="F584" i="1"/>
  <c r="H584" i="1"/>
  <c r="E585" i="1"/>
  <c r="F585" i="1"/>
  <c r="H585" i="1"/>
  <c r="E586" i="1"/>
  <c r="F586" i="1"/>
  <c r="H586" i="1"/>
  <c r="E587" i="1"/>
  <c r="F587" i="1"/>
  <c r="H587" i="1"/>
  <c r="E588" i="1"/>
  <c r="F588" i="1"/>
  <c r="H588" i="1"/>
  <c r="E589" i="1"/>
  <c r="F589" i="1"/>
  <c r="H589" i="1"/>
  <c r="E590" i="1"/>
  <c r="F590" i="1"/>
  <c r="H590" i="1"/>
  <c r="E591" i="1"/>
  <c r="F591" i="1"/>
  <c r="H591" i="1"/>
  <c r="E592" i="1"/>
  <c r="F592" i="1"/>
  <c r="H592" i="1"/>
  <c r="E593" i="1"/>
  <c r="F593" i="1"/>
  <c r="H593" i="1"/>
  <c r="E594" i="1"/>
  <c r="F594" i="1"/>
  <c r="H594" i="1"/>
  <c r="E595" i="1"/>
  <c r="F595" i="1"/>
  <c r="H595" i="1"/>
  <c r="E596" i="1"/>
  <c r="F596" i="1"/>
  <c r="H596" i="1"/>
  <c r="E597" i="1"/>
  <c r="F597" i="1"/>
  <c r="H597" i="1"/>
  <c r="E598" i="1"/>
  <c r="F598" i="1"/>
  <c r="H598" i="1"/>
  <c r="E599" i="1"/>
  <c r="F599" i="1"/>
  <c r="H599" i="1"/>
  <c r="E600" i="1"/>
  <c r="F600" i="1"/>
  <c r="H600" i="1"/>
  <c r="E601" i="1"/>
  <c r="F601" i="1"/>
  <c r="H601" i="1"/>
  <c r="E602" i="1"/>
  <c r="F602" i="1"/>
  <c r="H602" i="1"/>
  <c r="E603" i="1"/>
  <c r="F603" i="1"/>
  <c r="H603" i="1"/>
  <c r="E604" i="1"/>
  <c r="F604" i="1"/>
  <c r="H604" i="1"/>
  <c r="E605" i="1"/>
  <c r="F605" i="1"/>
  <c r="H605" i="1"/>
  <c r="E606" i="1"/>
  <c r="F606" i="1"/>
  <c r="H606" i="1"/>
  <c r="E607" i="1"/>
  <c r="F607" i="1"/>
  <c r="H607" i="1"/>
  <c r="E608" i="1"/>
  <c r="F608" i="1"/>
  <c r="H608" i="1"/>
  <c r="E609" i="1"/>
  <c r="F609" i="1"/>
  <c r="H609" i="1"/>
  <c r="E610" i="1"/>
  <c r="F610" i="1"/>
  <c r="H610" i="1"/>
  <c r="E611" i="1"/>
  <c r="F611" i="1"/>
  <c r="H611" i="1"/>
  <c r="E612" i="1"/>
  <c r="F612" i="1"/>
  <c r="H612" i="1"/>
  <c r="E613" i="1"/>
  <c r="F613" i="1"/>
  <c r="H613" i="1"/>
  <c r="E614" i="1"/>
  <c r="F614" i="1"/>
  <c r="H614" i="1"/>
  <c r="E615" i="1"/>
  <c r="F615" i="1"/>
  <c r="H615" i="1"/>
  <c r="E616" i="1"/>
  <c r="F616" i="1"/>
  <c r="H616" i="1"/>
  <c r="E617" i="1"/>
  <c r="F617" i="1"/>
  <c r="H617" i="1"/>
  <c r="E618" i="1"/>
  <c r="F618" i="1"/>
  <c r="H618" i="1"/>
  <c r="E619" i="1"/>
  <c r="F619" i="1"/>
  <c r="H619" i="1"/>
  <c r="E620" i="1"/>
  <c r="F620" i="1"/>
  <c r="H620" i="1"/>
  <c r="E621" i="1"/>
  <c r="F621" i="1"/>
  <c r="H621" i="1"/>
  <c r="E622" i="1"/>
  <c r="F622" i="1"/>
  <c r="H622" i="1"/>
  <c r="E623" i="1"/>
  <c r="F623" i="1"/>
  <c r="H623" i="1"/>
  <c r="E624" i="1"/>
  <c r="F624" i="1"/>
  <c r="H624" i="1"/>
  <c r="E625" i="1"/>
  <c r="F625" i="1"/>
  <c r="H625" i="1"/>
  <c r="E626" i="1"/>
  <c r="F626" i="1"/>
  <c r="H626" i="1"/>
  <c r="E627" i="1"/>
  <c r="F627" i="1"/>
  <c r="H627" i="1"/>
  <c r="E628" i="1"/>
  <c r="F628" i="1"/>
  <c r="H628" i="1"/>
  <c r="E629" i="1"/>
  <c r="F629" i="1"/>
  <c r="H629" i="1"/>
  <c r="E630" i="1"/>
  <c r="F630" i="1"/>
  <c r="H630" i="1"/>
  <c r="E631" i="1"/>
  <c r="F631" i="1"/>
  <c r="H631" i="1"/>
  <c r="E632" i="1"/>
  <c r="F632" i="1"/>
  <c r="H632" i="1"/>
  <c r="E633" i="1"/>
  <c r="F633" i="1"/>
  <c r="H633" i="1"/>
  <c r="E634" i="1"/>
  <c r="F634" i="1"/>
  <c r="H634" i="1"/>
  <c r="E635" i="1"/>
  <c r="F635" i="1"/>
  <c r="H635" i="1"/>
  <c r="E636" i="1"/>
  <c r="F636" i="1"/>
  <c r="H636" i="1"/>
  <c r="E637" i="1"/>
  <c r="F637" i="1"/>
  <c r="H637" i="1"/>
  <c r="E638" i="1"/>
  <c r="F638" i="1"/>
  <c r="H638" i="1"/>
  <c r="E639" i="1"/>
  <c r="F639" i="1"/>
  <c r="H639" i="1"/>
  <c r="E640" i="1"/>
  <c r="F640" i="1"/>
  <c r="H640" i="1"/>
  <c r="E641" i="1"/>
  <c r="F641" i="1"/>
  <c r="H641" i="1"/>
  <c r="E642" i="1"/>
  <c r="F642" i="1"/>
  <c r="H642" i="1"/>
  <c r="E643" i="1"/>
  <c r="F643" i="1"/>
  <c r="H643" i="1"/>
  <c r="E644" i="1"/>
  <c r="F644" i="1"/>
  <c r="H644" i="1"/>
  <c r="E645" i="1"/>
  <c r="F645" i="1"/>
  <c r="H645" i="1"/>
  <c r="E646" i="1"/>
  <c r="F646" i="1"/>
  <c r="H646" i="1"/>
  <c r="E647" i="1"/>
  <c r="F647" i="1"/>
  <c r="H647" i="1"/>
  <c r="E648" i="1"/>
  <c r="F648" i="1"/>
  <c r="H648" i="1"/>
  <c r="E649" i="1"/>
  <c r="F649" i="1"/>
  <c r="H649" i="1"/>
  <c r="E650" i="1"/>
  <c r="F650" i="1"/>
  <c r="H650" i="1"/>
  <c r="E651" i="1"/>
  <c r="F651" i="1"/>
  <c r="H651" i="1"/>
  <c r="E652" i="1"/>
  <c r="F652" i="1"/>
  <c r="H652" i="1"/>
  <c r="E653" i="1"/>
  <c r="F653" i="1"/>
  <c r="H653" i="1"/>
  <c r="E654" i="1"/>
  <c r="F654" i="1"/>
  <c r="H654" i="1"/>
  <c r="E655" i="1"/>
  <c r="F655" i="1"/>
  <c r="H655" i="1"/>
  <c r="E656" i="1"/>
  <c r="F656" i="1"/>
  <c r="H656" i="1"/>
  <c r="E657" i="1"/>
  <c r="F657" i="1"/>
  <c r="H657" i="1"/>
  <c r="E658" i="1"/>
  <c r="F658" i="1"/>
  <c r="H658" i="1"/>
  <c r="E659" i="1"/>
  <c r="F659" i="1"/>
  <c r="H659" i="1"/>
  <c r="E660" i="1"/>
  <c r="F660" i="1"/>
  <c r="H660" i="1"/>
  <c r="E661" i="1"/>
  <c r="F661" i="1"/>
  <c r="H661" i="1"/>
  <c r="E662" i="1"/>
  <c r="F662" i="1"/>
  <c r="H662" i="1"/>
  <c r="E663" i="1"/>
  <c r="F663" i="1"/>
  <c r="H663" i="1"/>
  <c r="E664" i="1"/>
  <c r="F664" i="1"/>
  <c r="H664" i="1"/>
  <c r="E665" i="1"/>
  <c r="F665" i="1"/>
  <c r="H665" i="1"/>
  <c r="E666" i="1"/>
  <c r="F666" i="1"/>
  <c r="H666" i="1"/>
  <c r="E667" i="1"/>
  <c r="F667" i="1"/>
  <c r="H667" i="1"/>
  <c r="E668" i="1"/>
  <c r="F668" i="1"/>
  <c r="H668" i="1"/>
  <c r="E669" i="1"/>
  <c r="F669" i="1"/>
  <c r="H669" i="1"/>
  <c r="E670" i="1"/>
  <c r="F670" i="1"/>
  <c r="H670" i="1"/>
  <c r="E671" i="1"/>
  <c r="F671" i="1"/>
  <c r="H671" i="1"/>
  <c r="E672" i="1"/>
  <c r="F672" i="1"/>
  <c r="H672" i="1"/>
  <c r="E673" i="1"/>
  <c r="F673" i="1"/>
  <c r="H673" i="1"/>
  <c r="E674" i="1"/>
  <c r="F674" i="1"/>
  <c r="H674" i="1"/>
  <c r="E675" i="1"/>
  <c r="F675" i="1"/>
  <c r="H675" i="1"/>
  <c r="E676" i="1"/>
  <c r="F676" i="1"/>
  <c r="H676" i="1"/>
  <c r="E677" i="1"/>
  <c r="F677" i="1"/>
  <c r="H677" i="1"/>
  <c r="E678" i="1"/>
  <c r="F678" i="1"/>
  <c r="H678" i="1"/>
  <c r="E679" i="1"/>
  <c r="F679" i="1"/>
  <c r="H679" i="1"/>
  <c r="E680" i="1"/>
  <c r="F680" i="1"/>
  <c r="H680" i="1"/>
  <c r="E681" i="1"/>
  <c r="F681" i="1"/>
  <c r="H681" i="1"/>
  <c r="E682" i="1"/>
  <c r="F682" i="1"/>
  <c r="H682" i="1"/>
  <c r="E683" i="1"/>
  <c r="F683" i="1"/>
  <c r="H683" i="1"/>
  <c r="E684" i="1"/>
  <c r="F684" i="1"/>
  <c r="H684" i="1"/>
  <c r="E685" i="1"/>
  <c r="F685" i="1"/>
  <c r="H685" i="1"/>
  <c r="E686" i="1"/>
  <c r="F686" i="1"/>
  <c r="H686" i="1"/>
  <c r="E687" i="1"/>
  <c r="F687" i="1"/>
  <c r="H687" i="1"/>
  <c r="E688" i="1"/>
  <c r="F688" i="1"/>
  <c r="H688" i="1"/>
  <c r="E689" i="1"/>
  <c r="F689" i="1"/>
  <c r="H689" i="1"/>
  <c r="E690" i="1"/>
  <c r="F690" i="1"/>
  <c r="H690" i="1"/>
  <c r="E691" i="1"/>
  <c r="F691" i="1"/>
  <c r="H691" i="1"/>
  <c r="E692" i="1"/>
  <c r="F692" i="1"/>
  <c r="H692" i="1"/>
  <c r="E693" i="1"/>
  <c r="F693" i="1"/>
  <c r="H693" i="1"/>
  <c r="E694" i="1"/>
  <c r="F694" i="1"/>
  <c r="H694" i="1"/>
  <c r="E695" i="1"/>
  <c r="F695" i="1"/>
  <c r="H695" i="1"/>
  <c r="E696" i="1"/>
  <c r="F696" i="1"/>
  <c r="H696" i="1"/>
  <c r="E697" i="1"/>
  <c r="F697" i="1"/>
  <c r="H697" i="1"/>
  <c r="E698" i="1"/>
  <c r="F698" i="1"/>
  <c r="H698" i="1"/>
  <c r="E699" i="1"/>
  <c r="F699" i="1"/>
  <c r="H699" i="1"/>
  <c r="E700" i="1"/>
  <c r="F700" i="1"/>
  <c r="H700" i="1"/>
  <c r="E701" i="1"/>
  <c r="F701" i="1"/>
  <c r="H701" i="1"/>
  <c r="E702" i="1"/>
  <c r="F702" i="1"/>
  <c r="H702" i="1"/>
  <c r="E703" i="1"/>
  <c r="F703" i="1"/>
  <c r="H703" i="1"/>
  <c r="E704" i="1"/>
  <c r="F704" i="1"/>
  <c r="H704" i="1"/>
  <c r="E705" i="1"/>
  <c r="F705" i="1"/>
  <c r="H705" i="1"/>
  <c r="E706" i="1"/>
  <c r="F706" i="1"/>
  <c r="H706" i="1"/>
  <c r="E707" i="1"/>
  <c r="F707" i="1"/>
  <c r="H707" i="1"/>
  <c r="E708" i="1"/>
  <c r="F708" i="1"/>
  <c r="H708" i="1"/>
  <c r="E709" i="1"/>
  <c r="F709" i="1"/>
  <c r="H709" i="1"/>
  <c r="E710" i="1"/>
  <c r="F710" i="1"/>
  <c r="H710" i="1"/>
  <c r="E711" i="1"/>
  <c r="F711" i="1"/>
  <c r="H711" i="1"/>
  <c r="E712" i="1"/>
  <c r="F712" i="1"/>
  <c r="H712" i="1"/>
  <c r="E713" i="1"/>
  <c r="F713" i="1"/>
  <c r="H713" i="1"/>
  <c r="E714" i="1"/>
  <c r="F714" i="1"/>
  <c r="H714" i="1"/>
  <c r="E715" i="1"/>
  <c r="F715" i="1"/>
  <c r="H715" i="1"/>
  <c r="E716" i="1"/>
  <c r="F716" i="1"/>
  <c r="H716" i="1"/>
  <c r="E717" i="1"/>
  <c r="F717" i="1"/>
  <c r="H717" i="1"/>
  <c r="E718" i="1"/>
  <c r="F718" i="1"/>
  <c r="H718" i="1"/>
  <c r="E719" i="1"/>
  <c r="F719" i="1"/>
  <c r="H719" i="1"/>
  <c r="E720" i="1"/>
  <c r="F720" i="1"/>
  <c r="H720" i="1"/>
  <c r="E721" i="1"/>
  <c r="F721" i="1"/>
  <c r="H721" i="1"/>
  <c r="E722" i="1"/>
  <c r="F722" i="1"/>
  <c r="H722" i="1"/>
  <c r="E723" i="1"/>
  <c r="F723" i="1"/>
  <c r="H723" i="1"/>
  <c r="E724" i="1"/>
  <c r="F724" i="1"/>
  <c r="H724" i="1"/>
  <c r="E725" i="1"/>
  <c r="F725" i="1"/>
  <c r="H725" i="1"/>
  <c r="E726" i="1"/>
  <c r="F726" i="1"/>
  <c r="H726" i="1"/>
  <c r="E727" i="1"/>
  <c r="F727" i="1"/>
  <c r="H727" i="1"/>
  <c r="E728" i="1"/>
  <c r="F728" i="1"/>
  <c r="H728" i="1"/>
  <c r="F729" i="1"/>
  <c r="H729" i="1"/>
  <c r="E730" i="1"/>
  <c r="F730" i="1"/>
  <c r="H730" i="1"/>
  <c r="E731" i="1"/>
  <c r="F731" i="1"/>
  <c r="H731" i="1"/>
  <c r="E732" i="1"/>
  <c r="F732" i="1"/>
  <c r="H732" i="1"/>
  <c r="E733" i="1"/>
  <c r="F733" i="1"/>
  <c r="H733" i="1"/>
  <c r="E734" i="1"/>
  <c r="F734" i="1"/>
  <c r="H734" i="1"/>
  <c r="E735" i="1"/>
  <c r="F735" i="1"/>
  <c r="H735" i="1"/>
  <c r="E736" i="1"/>
  <c r="F736" i="1"/>
  <c r="H736" i="1"/>
  <c r="E737" i="1"/>
  <c r="F737" i="1"/>
  <c r="H737" i="1"/>
  <c r="E738" i="1"/>
  <c r="F738" i="1"/>
  <c r="H738" i="1"/>
  <c r="E739" i="1"/>
  <c r="F739" i="1"/>
  <c r="H739" i="1"/>
  <c r="E740" i="1"/>
  <c r="F740" i="1"/>
  <c r="H740" i="1"/>
  <c r="E741" i="1"/>
  <c r="F741" i="1"/>
  <c r="H741" i="1"/>
  <c r="E742" i="1"/>
  <c r="F742" i="1"/>
  <c r="H742" i="1"/>
  <c r="E743" i="1"/>
  <c r="F743" i="1"/>
  <c r="H743" i="1"/>
  <c r="E744" i="1"/>
  <c r="F744" i="1"/>
  <c r="H744" i="1"/>
  <c r="E745" i="1"/>
  <c r="F745" i="1"/>
  <c r="H745" i="1"/>
  <c r="E746" i="1"/>
  <c r="F746" i="1"/>
  <c r="H746" i="1"/>
  <c r="E747" i="1"/>
  <c r="F747" i="1"/>
  <c r="H747" i="1"/>
  <c r="E748" i="1"/>
  <c r="F748" i="1"/>
  <c r="H748" i="1"/>
  <c r="E749" i="1"/>
  <c r="F749" i="1"/>
  <c r="H749" i="1"/>
  <c r="E750" i="1"/>
  <c r="F750" i="1"/>
  <c r="H750" i="1"/>
  <c r="E751" i="1"/>
  <c r="F751" i="1"/>
  <c r="H751" i="1"/>
  <c r="E752" i="1"/>
  <c r="F752" i="1"/>
  <c r="H752" i="1"/>
  <c r="E753" i="1"/>
  <c r="F753" i="1"/>
  <c r="H753" i="1"/>
  <c r="E754" i="1"/>
  <c r="F754" i="1"/>
  <c r="H754" i="1"/>
  <c r="E755" i="1"/>
  <c r="F755" i="1"/>
  <c r="H755" i="1"/>
  <c r="E756" i="1"/>
  <c r="F756" i="1"/>
  <c r="H756" i="1"/>
  <c r="E757" i="1"/>
  <c r="F757" i="1"/>
  <c r="H757" i="1"/>
  <c r="E758" i="1"/>
  <c r="F758" i="1"/>
  <c r="H758" i="1"/>
  <c r="E759" i="1"/>
  <c r="F759" i="1"/>
  <c r="H759" i="1"/>
  <c r="E760" i="1"/>
  <c r="F760" i="1"/>
  <c r="H760" i="1"/>
  <c r="E761" i="1"/>
  <c r="F761" i="1"/>
  <c r="H761" i="1"/>
  <c r="E762" i="1"/>
  <c r="F762" i="1"/>
  <c r="H762" i="1"/>
  <c r="E763" i="1"/>
  <c r="F763" i="1"/>
  <c r="H763" i="1"/>
  <c r="E764" i="1"/>
  <c r="F764" i="1"/>
  <c r="H764" i="1"/>
  <c r="E765" i="1"/>
  <c r="F765" i="1"/>
  <c r="H765" i="1"/>
  <c r="E766" i="1"/>
  <c r="F766" i="1"/>
  <c r="H766" i="1"/>
  <c r="E767" i="1"/>
  <c r="F767" i="1"/>
  <c r="H767" i="1"/>
  <c r="E768" i="1"/>
  <c r="F768" i="1"/>
  <c r="H768" i="1"/>
  <c r="E769" i="1"/>
  <c r="F769" i="1"/>
  <c r="H769" i="1"/>
  <c r="E770" i="1"/>
  <c r="F770" i="1"/>
  <c r="H770" i="1"/>
  <c r="E771" i="1"/>
  <c r="F771" i="1"/>
  <c r="H771" i="1"/>
  <c r="E772" i="1"/>
  <c r="F772" i="1"/>
  <c r="H772" i="1"/>
  <c r="E773" i="1"/>
  <c r="F773" i="1"/>
  <c r="H773" i="1"/>
  <c r="E774" i="1"/>
  <c r="F774" i="1"/>
  <c r="H774" i="1"/>
  <c r="E775" i="1"/>
  <c r="F775" i="1"/>
  <c r="H775" i="1"/>
  <c r="E776" i="1"/>
  <c r="F776" i="1"/>
  <c r="H776" i="1"/>
  <c r="E777" i="1"/>
  <c r="F777" i="1"/>
  <c r="H777" i="1"/>
  <c r="E778" i="1"/>
  <c r="F778" i="1"/>
  <c r="H778" i="1"/>
  <c r="E779" i="1"/>
  <c r="F779" i="1"/>
  <c r="H779" i="1"/>
  <c r="E780" i="1"/>
  <c r="F780" i="1"/>
  <c r="H780" i="1"/>
  <c r="E781" i="1"/>
  <c r="F781" i="1"/>
  <c r="H781" i="1"/>
  <c r="E782" i="1"/>
  <c r="F782" i="1"/>
  <c r="H782" i="1"/>
  <c r="E783" i="1"/>
  <c r="F783" i="1"/>
  <c r="H783" i="1"/>
  <c r="E784" i="1"/>
  <c r="F784" i="1"/>
  <c r="H784" i="1"/>
  <c r="E785" i="1"/>
  <c r="F785" i="1"/>
  <c r="H785" i="1"/>
  <c r="E786" i="1"/>
  <c r="F786" i="1"/>
  <c r="H786" i="1"/>
  <c r="E787" i="1"/>
  <c r="F787" i="1"/>
  <c r="H787" i="1"/>
  <c r="E788" i="1"/>
  <c r="F788" i="1"/>
  <c r="H788" i="1"/>
  <c r="E789" i="1"/>
  <c r="F789" i="1"/>
  <c r="H789" i="1"/>
  <c r="E790" i="1"/>
  <c r="F790" i="1"/>
  <c r="H790" i="1"/>
  <c r="E791" i="1"/>
  <c r="F791" i="1"/>
  <c r="H791" i="1"/>
  <c r="E792" i="1"/>
  <c r="F792" i="1"/>
  <c r="H792" i="1"/>
  <c r="E793" i="1"/>
  <c r="F793" i="1"/>
  <c r="H793" i="1"/>
  <c r="E794" i="1"/>
  <c r="F794" i="1"/>
  <c r="H794" i="1"/>
  <c r="E795" i="1"/>
  <c r="F795" i="1"/>
  <c r="H795" i="1"/>
  <c r="E796" i="1"/>
  <c r="F796" i="1"/>
  <c r="H796" i="1"/>
  <c r="E797" i="1"/>
  <c r="F797" i="1"/>
  <c r="H797" i="1"/>
  <c r="E798" i="1"/>
  <c r="F798" i="1"/>
  <c r="H798" i="1"/>
  <c r="E799" i="1"/>
  <c r="F799" i="1"/>
  <c r="H799" i="1"/>
  <c r="E800" i="1"/>
  <c r="F800" i="1"/>
  <c r="H800" i="1"/>
  <c r="E801" i="1"/>
  <c r="F801" i="1"/>
  <c r="H801" i="1"/>
  <c r="E802" i="1"/>
  <c r="F802" i="1"/>
  <c r="H802" i="1"/>
  <c r="E803" i="1"/>
  <c r="F803" i="1"/>
  <c r="H803" i="1"/>
  <c r="E804" i="1"/>
  <c r="F804" i="1"/>
  <c r="H804" i="1"/>
  <c r="E805" i="1"/>
  <c r="F805" i="1"/>
  <c r="H805" i="1"/>
  <c r="E806" i="1"/>
  <c r="F806" i="1"/>
  <c r="H806" i="1"/>
  <c r="E807" i="1"/>
  <c r="F807" i="1"/>
  <c r="H807" i="1"/>
  <c r="E808" i="1"/>
  <c r="F808" i="1"/>
  <c r="H808" i="1"/>
  <c r="E809" i="1"/>
  <c r="F809" i="1"/>
  <c r="H809" i="1"/>
  <c r="E810" i="1"/>
  <c r="F810" i="1"/>
  <c r="H810" i="1"/>
  <c r="E811" i="1"/>
  <c r="F811" i="1"/>
  <c r="H811" i="1"/>
  <c r="E812" i="1"/>
  <c r="F812" i="1"/>
  <c r="H812" i="1"/>
  <c r="E813" i="1"/>
  <c r="F813" i="1"/>
  <c r="H813" i="1"/>
  <c r="E814" i="1"/>
  <c r="F814" i="1"/>
  <c r="H814" i="1"/>
  <c r="E815" i="1"/>
  <c r="F815" i="1"/>
  <c r="H815" i="1"/>
  <c r="E816" i="1"/>
  <c r="F816" i="1"/>
  <c r="H816" i="1"/>
  <c r="E817" i="1"/>
  <c r="F817" i="1"/>
  <c r="H817" i="1"/>
  <c r="E818" i="1"/>
  <c r="F818" i="1"/>
  <c r="H818" i="1"/>
  <c r="E819" i="1"/>
  <c r="F819" i="1"/>
  <c r="H819" i="1"/>
  <c r="E820" i="1"/>
  <c r="F820" i="1"/>
  <c r="H820" i="1"/>
  <c r="E821" i="1"/>
  <c r="F821" i="1"/>
  <c r="H821" i="1"/>
  <c r="E822" i="1"/>
  <c r="F822" i="1"/>
  <c r="H822" i="1"/>
  <c r="E823" i="1"/>
  <c r="F823" i="1"/>
  <c r="H823" i="1"/>
  <c r="E824" i="1"/>
  <c r="F824" i="1"/>
  <c r="H824" i="1"/>
  <c r="E825" i="1"/>
  <c r="F825" i="1"/>
  <c r="H825" i="1"/>
  <c r="E826" i="1"/>
  <c r="F826" i="1"/>
  <c r="H826" i="1"/>
  <c r="E827" i="1"/>
  <c r="F827" i="1"/>
  <c r="H827" i="1"/>
  <c r="E828" i="1"/>
  <c r="F828" i="1"/>
  <c r="H828" i="1"/>
  <c r="E829" i="1"/>
  <c r="F829" i="1"/>
  <c r="H829" i="1"/>
  <c r="E830" i="1"/>
  <c r="F830" i="1"/>
  <c r="H830" i="1"/>
  <c r="E831" i="1"/>
  <c r="F831" i="1"/>
  <c r="H831" i="1"/>
  <c r="E832" i="1"/>
  <c r="F832" i="1"/>
  <c r="H832" i="1"/>
  <c r="E833" i="1"/>
  <c r="F833" i="1"/>
  <c r="H833" i="1"/>
  <c r="E834" i="1"/>
  <c r="F834" i="1"/>
  <c r="H834" i="1"/>
  <c r="E835" i="1"/>
  <c r="F835" i="1"/>
  <c r="H835" i="1"/>
  <c r="E836" i="1"/>
  <c r="F836" i="1"/>
  <c r="H836" i="1"/>
  <c r="E837" i="1"/>
  <c r="F837" i="1"/>
  <c r="H837" i="1"/>
  <c r="E838" i="1"/>
  <c r="F838" i="1"/>
  <c r="H838" i="1"/>
  <c r="E839" i="1"/>
  <c r="F839" i="1"/>
  <c r="H839" i="1"/>
  <c r="E840" i="1"/>
  <c r="F840" i="1"/>
  <c r="H840" i="1"/>
  <c r="E841" i="1"/>
  <c r="F841" i="1"/>
  <c r="H841" i="1"/>
  <c r="E842" i="1"/>
  <c r="F842" i="1"/>
  <c r="H842" i="1"/>
  <c r="E843" i="1"/>
  <c r="F843" i="1"/>
  <c r="H843" i="1"/>
  <c r="E844" i="1"/>
  <c r="F844" i="1"/>
  <c r="H844" i="1"/>
  <c r="E845" i="1"/>
  <c r="F845" i="1"/>
  <c r="H845" i="1"/>
  <c r="E846" i="1"/>
  <c r="F846" i="1"/>
  <c r="H846" i="1"/>
  <c r="E847" i="1"/>
  <c r="F847" i="1"/>
  <c r="H847" i="1"/>
  <c r="E848" i="1"/>
  <c r="F848" i="1"/>
  <c r="H848" i="1"/>
  <c r="E849" i="1"/>
  <c r="F849" i="1"/>
  <c r="H849" i="1"/>
  <c r="E850" i="1"/>
  <c r="F850" i="1"/>
  <c r="H850" i="1"/>
  <c r="E851" i="1"/>
  <c r="F851" i="1"/>
  <c r="H851" i="1"/>
  <c r="E852" i="1"/>
  <c r="F852" i="1"/>
  <c r="H852" i="1"/>
  <c r="E853" i="1"/>
  <c r="F853" i="1"/>
  <c r="H853" i="1"/>
  <c r="E854" i="1"/>
  <c r="F854" i="1"/>
  <c r="H854" i="1"/>
  <c r="E855" i="1"/>
  <c r="F855" i="1"/>
  <c r="H855" i="1"/>
  <c r="E856" i="1"/>
  <c r="F856" i="1"/>
  <c r="H856" i="1"/>
  <c r="E857" i="1"/>
  <c r="F857" i="1"/>
  <c r="H857" i="1"/>
  <c r="E858" i="1"/>
  <c r="F858" i="1"/>
  <c r="H858" i="1"/>
  <c r="E859" i="1"/>
  <c r="F859" i="1"/>
  <c r="H859" i="1"/>
  <c r="E860" i="1"/>
  <c r="F860" i="1"/>
  <c r="H860" i="1"/>
  <c r="E861" i="1"/>
  <c r="F861" i="1"/>
  <c r="H861" i="1"/>
  <c r="E862" i="1"/>
  <c r="F862" i="1"/>
  <c r="H862" i="1"/>
  <c r="E863" i="1"/>
  <c r="F863" i="1"/>
  <c r="H863" i="1"/>
  <c r="E864" i="1"/>
  <c r="F864" i="1"/>
  <c r="H864" i="1"/>
  <c r="E865" i="1"/>
  <c r="F865" i="1"/>
  <c r="H865" i="1"/>
  <c r="E866" i="1"/>
  <c r="F866" i="1"/>
  <c r="H866" i="1"/>
  <c r="E867" i="1"/>
  <c r="F867" i="1"/>
  <c r="H867" i="1"/>
  <c r="E868" i="1"/>
  <c r="F868" i="1"/>
  <c r="H868" i="1"/>
  <c r="E869" i="1"/>
  <c r="F869" i="1"/>
  <c r="H869" i="1"/>
  <c r="E870" i="1"/>
  <c r="F870" i="1"/>
  <c r="H870" i="1"/>
  <c r="E871" i="1"/>
  <c r="F871" i="1"/>
  <c r="H871" i="1"/>
  <c r="E872" i="1"/>
  <c r="F872" i="1"/>
  <c r="H872" i="1"/>
  <c r="E873" i="1"/>
  <c r="F873" i="1"/>
  <c r="H873" i="1"/>
  <c r="E874" i="1"/>
  <c r="F874" i="1"/>
  <c r="H874" i="1"/>
  <c r="E875" i="1"/>
  <c r="F875" i="1"/>
  <c r="H875" i="1"/>
  <c r="E876" i="1"/>
  <c r="F876" i="1"/>
  <c r="H876" i="1"/>
  <c r="E877" i="1"/>
  <c r="F877" i="1"/>
  <c r="H877" i="1"/>
  <c r="E878" i="1"/>
  <c r="F878" i="1"/>
  <c r="H878" i="1"/>
  <c r="E879" i="1"/>
  <c r="F879" i="1"/>
  <c r="H879" i="1"/>
  <c r="E880" i="1"/>
  <c r="F880" i="1"/>
  <c r="H880" i="1"/>
  <c r="E881" i="1"/>
  <c r="F881" i="1"/>
  <c r="H881" i="1"/>
  <c r="E882" i="1"/>
  <c r="F882" i="1"/>
  <c r="H882" i="1"/>
  <c r="E883" i="1"/>
  <c r="F883" i="1"/>
  <c r="H883" i="1"/>
  <c r="E884" i="1"/>
  <c r="F884" i="1"/>
  <c r="H884" i="1"/>
  <c r="E885" i="1"/>
  <c r="F885" i="1"/>
  <c r="H885" i="1"/>
  <c r="E886" i="1"/>
  <c r="F886" i="1"/>
  <c r="H886" i="1"/>
  <c r="E887" i="1"/>
  <c r="F887" i="1"/>
  <c r="H887" i="1"/>
  <c r="E888" i="1"/>
  <c r="F888" i="1"/>
  <c r="H888" i="1"/>
  <c r="E889" i="1"/>
  <c r="F889" i="1"/>
  <c r="H889" i="1"/>
  <c r="E890" i="1"/>
  <c r="F890" i="1"/>
  <c r="H890" i="1"/>
  <c r="E891" i="1"/>
  <c r="F891" i="1"/>
  <c r="H891" i="1"/>
  <c r="E892" i="1"/>
  <c r="F892" i="1"/>
  <c r="H892" i="1"/>
  <c r="E893" i="1"/>
  <c r="F893" i="1"/>
  <c r="H893" i="1"/>
  <c r="E894" i="1"/>
  <c r="F894" i="1"/>
  <c r="H894" i="1"/>
  <c r="E895" i="1"/>
  <c r="F895" i="1"/>
  <c r="H895" i="1"/>
  <c r="E896" i="1"/>
  <c r="F896" i="1"/>
  <c r="H896" i="1"/>
  <c r="E897" i="1"/>
  <c r="F897" i="1"/>
  <c r="H897" i="1"/>
  <c r="E898" i="1"/>
  <c r="F898" i="1"/>
  <c r="H898" i="1"/>
  <c r="E899" i="1"/>
  <c r="F899" i="1"/>
  <c r="H899" i="1"/>
  <c r="E900" i="1"/>
  <c r="F900" i="1"/>
  <c r="H900" i="1"/>
  <c r="E901" i="1"/>
  <c r="F901" i="1"/>
  <c r="H901" i="1"/>
  <c r="E902" i="1"/>
  <c r="F902" i="1"/>
  <c r="H902" i="1"/>
  <c r="E903" i="1"/>
  <c r="F903" i="1"/>
  <c r="H903" i="1"/>
  <c r="E904" i="1"/>
  <c r="F904" i="1"/>
  <c r="H904" i="1"/>
  <c r="E905" i="1"/>
  <c r="F905" i="1"/>
  <c r="H905" i="1"/>
  <c r="E906" i="1"/>
  <c r="F906" i="1"/>
  <c r="H906" i="1"/>
  <c r="E907" i="1"/>
  <c r="F907" i="1"/>
  <c r="H907" i="1"/>
  <c r="E908" i="1"/>
  <c r="F908" i="1"/>
  <c r="H908" i="1"/>
  <c r="E909" i="1"/>
  <c r="F909" i="1"/>
  <c r="H909" i="1"/>
  <c r="E910" i="1"/>
  <c r="F910" i="1"/>
  <c r="H910" i="1"/>
  <c r="E911" i="1"/>
  <c r="F911" i="1"/>
  <c r="H911" i="1"/>
  <c r="E912" i="1"/>
  <c r="F912" i="1"/>
  <c r="H912" i="1"/>
  <c r="E913" i="1"/>
  <c r="F913" i="1"/>
  <c r="H913" i="1"/>
  <c r="E914" i="1"/>
  <c r="F914" i="1"/>
  <c r="H914" i="1"/>
  <c r="E915" i="1"/>
  <c r="F915" i="1"/>
  <c r="H915" i="1"/>
  <c r="E916" i="1"/>
  <c r="F916" i="1"/>
  <c r="H916" i="1"/>
  <c r="E917" i="1"/>
  <c r="F917" i="1"/>
  <c r="H917" i="1"/>
  <c r="E918" i="1"/>
  <c r="F918" i="1"/>
  <c r="H918" i="1"/>
  <c r="E919" i="1"/>
  <c r="F919" i="1"/>
  <c r="H919" i="1"/>
  <c r="E920" i="1"/>
  <c r="F920" i="1"/>
  <c r="H920" i="1"/>
  <c r="E921" i="1"/>
  <c r="F921" i="1"/>
  <c r="H921" i="1"/>
  <c r="E922" i="1"/>
  <c r="F922" i="1"/>
  <c r="H922" i="1"/>
  <c r="E923" i="1"/>
  <c r="F923" i="1"/>
  <c r="H923" i="1"/>
  <c r="E924" i="1"/>
  <c r="F924" i="1"/>
  <c r="H924" i="1"/>
  <c r="E925" i="1"/>
  <c r="F925" i="1"/>
  <c r="H925" i="1"/>
  <c r="E926" i="1"/>
  <c r="F926" i="1"/>
  <c r="H926" i="1"/>
  <c r="E927" i="1"/>
  <c r="F927" i="1"/>
  <c r="H927" i="1"/>
  <c r="E928" i="1"/>
  <c r="F928" i="1"/>
  <c r="H928" i="1"/>
  <c r="E929" i="1"/>
  <c r="F929" i="1"/>
  <c r="H929" i="1"/>
  <c r="E930" i="1"/>
  <c r="F930" i="1"/>
  <c r="H930" i="1"/>
  <c r="E931" i="1"/>
  <c r="F931" i="1"/>
  <c r="H931" i="1"/>
  <c r="E932" i="1"/>
  <c r="F932" i="1"/>
  <c r="H932" i="1"/>
  <c r="E933" i="1"/>
  <c r="F933" i="1"/>
  <c r="H933" i="1"/>
  <c r="E934" i="1"/>
  <c r="F934" i="1"/>
  <c r="H934" i="1"/>
  <c r="E935" i="1"/>
  <c r="F935" i="1"/>
  <c r="H935" i="1"/>
  <c r="E936" i="1"/>
  <c r="F936" i="1"/>
  <c r="H936" i="1"/>
  <c r="E937" i="1"/>
  <c r="F937" i="1"/>
  <c r="H937" i="1"/>
  <c r="E938" i="1"/>
  <c r="F938" i="1"/>
  <c r="H938" i="1"/>
  <c r="E939" i="1"/>
  <c r="F939" i="1"/>
  <c r="H939" i="1"/>
  <c r="E940" i="1"/>
  <c r="F940" i="1"/>
  <c r="H940" i="1"/>
  <c r="E941" i="1"/>
  <c r="F941" i="1"/>
  <c r="H941" i="1"/>
  <c r="E942" i="1"/>
  <c r="F942" i="1"/>
  <c r="H942" i="1"/>
  <c r="E943" i="1"/>
  <c r="F943" i="1"/>
  <c r="H943" i="1"/>
  <c r="E944" i="1"/>
  <c r="F944" i="1"/>
  <c r="H944" i="1"/>
  <c r="E945" i="1"/>
  <c r="F945" i="1"/>
  <c r="H945" i="1"/>
  <c r="E946" i="1"/>
  <c r="F946" i="1"/>
  <c r="H946" i="1"/>
  <c r="E947" i="1"/>
  <c r="F947" i="1"/>
  <c r="H947" i="1"/>
  <c r="E948" i="1"/>
  <c r="F948" i="1"/>
  <c r="H948" i="1"/>
  <c r="E949" i="1"/>
  <c r="F949" i="1"/>
  <c r="H949" i="1"/>
  <c r="E950" i="1"/>
  <c r="F950" i="1"/>
  <c r="H950" i="1"/>
  <c r="E951" i="1"/>
  <c r="F951" i="1"/>
  <c r="H951" i="1"/>
  <c r="E952" i="1"/>
  <c r="F952" i="1"/>
  <c r="H952" i="1"/>
  <c r="E953" i="1"/>
  <c r="F953" i="1"/>
  <c r="H953" i="1"/>
  <c r="E954" i="1"/>
  <c r="F954" i="1"/>
  <c r="H954" i="1"/>
  <c r="E955" i="1"/>
  <c r="F955" i="1"/>
  <c r="H955" i="1"/>
  <c r="E956" i="1"/>
  <c r="F956" i="1"/>
  <c r="H956" i="1"/>
  <c r="E957" i="1"/>
  <c r="F957" i="1"/>
  <c r="H957" i="1"/>
  <c r="E958" i="1"/>
  <c r="F958" i="1"/>
  <c r="H958" i="1"/>
  <c r="E959" i="1"/>
  <c r="F959" i="1"/>
  <c r="H959" i="1"/>
  <c r="E960" i="1"/>
  <c r="F960" i="1"/>
  <c r="H960" i="1"/>
  <c r="E961" i="1"/>
  <c r="F961" i="1"/>
  <c r="H961" i="1"/>
  <c r="E962" i="1"/>
  <c r="F962" i="1"/>
  <c r="H962" i="1"/>
  <c r="E963" i="1"/>
  <c r="F963" i="1"/>
  <c r="H963" i="1"/>
  <c r="E964" i="1"/>
  <c r="F964" i="1"/>
  <c r="H964" i="1"/>
  <c r="E965" i="1"/>
  <c r="F965" i="1"/>
  <c r="H965" i="1"/>
  <c r="E966" i="1"/>
  <c r="F966" i="1"/>
  <c r="H966" i="1"/>
  <c r="E967" i="1"/>
  <c r="F967" i="1"/>
  <c r="H967" i="1"/>
  <c r="E968" i="1"/>
  <c r="F968" i="1"/>
  <c r="H968" i="1"/>
  <c r="E969" i="1"/>
  <c r="F969" i="1"/>
  <c r="H969" i="1"/>
  <c r="E970" i="1"/>
  <c r="F970" i="1"/>
  <c r="H970" i="1"/>
  <c r="E971" i="1"/>
  <c r="F971" i="1"/>
  <c r="H971" i="1"/>
  <c r="E972" i="1"/>
  <c r="F972" i="1"/>
  <c r="H972" i="1"/>
  <c r="E973" i="1"/>
  <c r="F973" i="1"/>
  <c r="H973" i="1"/>
  <c r="E974" i="1"/>
  <c r="F974" i="1"/>
  <c r="H974" i="1"/>
  <c r="E975" i="1"/>
  <c r="F975" i="1"/>
  <c r="H975" i="1"/>
  <c r="E976" i="1"/>
  <c r="F976" i="1"/>
  <c r="H976" i="1"/>
  <c r="E977" i="1"/>
  <c r="F977" i="1"/>
  <c r="H977" i="1"/>
  <c r="E978" i="1"/>
  <c r="F978" i="1"/>
  <c r="H978" i="1"/>
  <c r="E979" i="1"/>
  <c r="F979" i="1"/>
  <c r="H979" i="1"/>
  <c r="E980" i="1"/>
  <c r="F980" i="1"/>
  <c r="H980" i="1"/>
  <c r="E981" i="1"/>
  <c r="F981" i="1"/>
  <c r="H981" i="1"/>
  <c r="E982" i="1"/>
  <c r="F982" i="1"/>
  <c r="H982" i="1"/>
  <c r="E983" i="1"/>
  <c r="F983" i="1"/>
  <c r="H983" i="1"/>
  <c r="E984" i="1"/>
  <c r="F984" i="1"/>
  <c r="H984" i="1"/>
  <c r="E985" i="1"/>
  <c r="F985" i="1"/>
  <c r="H985" i="1"/>
  <c r="E986" i="1"/>
  <c r="F986" i="1"/>
  <c r="H986" i="1"/>
  <c r="E987" i="1"/>
  <c r="F987" i="1"/>
  <c r="H987" i="1"/>
  <c r="E988" i="1"/>
  <c r="F988" i="1"/>
  <c r="H988" i="1"/>
  <c r="E989" i="1"/>
  <c r="F989" i="1"/>
  <c r="H989" i="1"/>
  <c r="E990" i="1"/>
  <c r="F990" i="1"/>
  <c r="H990" i="1"/>
  <c r="E991" i="1"/>
  <c r="F991" i="1"/>
  <c r="H991" i="1"/>
  <c r="E992" i="1"/>
  <c r="F992" i="1"/>
  <c r="H992" i="1"/>
  <c r="E993" i="1"/>
  <c r="F993" i="1"/>
  <c r="H993" i="1"/>
  <c r="E994" i="1"/>
  <c r="F994" i="1"/>
  <c r="H994" i="1"/>
  <c r="E995" i="1"/>
  <c r="F995" i="1"/>
  <c r="H995" i="1"/>
  <c r="E996" i="1"/>
  <c r="F996" i="1"/>
  <c r="H996" i="1"/>
  <c r="E997" i="1"/>
  <c r="F997" i="1"/>
  <c r="H997" i="1"/>
  <c r="E998" i="1"/>
  <c r="F998" i="1"/>
  <c r="H998" i="1"/>
  <c r="E999" i="1"/>
  <c r="F999" i="1"/>
  <c r="H999" i="1"/>
  <c r="E1000" i="1"/>
  <c r="F1000" i="1"/>
  <c r="H1000" i="1"/>
  <c r="E1001" i="1"/>
  <c r="F1001" i="1"/>
  <c r="H1001" i="1"/>
  <c r="E1002" i="1"/>
  <c r="F1002" i="1"/>
  <c r="H1002" i="1"/>
  <c r="E1003" i="1"/>
  <c r="F1003" i="1"/>
  <c r="H1003" i="1"/>
  <c r="E1004" i="1"/>
  <c r="F1004" i="1"/>
  <c r="H1004" i="1"/>
  <c r="E1005" i="1"/>
  <c r="F1005" i="1"/>
  <c r="H1005" i="1"/>
  <c r="E1006" i="1"/>
  <c r="F1006" i="1"/>
  <c r="H1006" i="1"/>
  <c r="E1007" i="1"/>
  <c r="F1007" i="1"/>
  <c r="H1007" i="1"/>
  <c r="E1008" i="1"/>
  <c r="F1008" i="1"/>
  <c r="H1008" i="1"/>
  <c r="E1009" i="1"/>
  <c r="F1009" i="1"/>
  <c r="H1009" i="1"/>
  <c r="E1010" i="1"/>
  <c r="F1010" i="1"/>
  <c r="H1010" i="1"/>
  <c r="E1011" i="1"/>
  <c r="F1011" i="1"/>
  <c r="H1011" i="1"/>
  <c r="E1012" i="1"/>
  <c r="F1012" i="1"/>
  <c r="H1012" i="1"/>
  <c r="E1013" i="1"/>
  <c r="F1013" i="1"/>
  <c r="H1013" i="1"/>
  <c r="E1014" i="1"/>
  <c r="F1014" i="1"/>
  <c r="H1014" i="1"/>
  <c r="E1015" i="1"/>
  <c r="F1015" i="1"/>
  <c r="H1015" i="1"/>
  <c r="E1016" i="1"/>
  <c r="F1016" i="1"/>
  <c r="H1016" i="1"/>
  <c r="E1017" i="1"/>
  <c r="F1017" i="1"/>
  <c r="H1017" i="1"/>
  <c r="E1018" i="1"/>
  <c r="F1018" i="1"/>
  <c r="H1018" i="1"/>
  <c r="E1019" i="1"/>
  <c r="F1019" i="1"/>
  <c r="H1019" i="1"/>
  <c r="E1020" i="1"/>
  <c r="F1020" i="1"/>
  <c r="H1020" i="1"/>
  <c r="E1021" i="1"/>
  <c r="F1021" i="1"/>
  <c r="H1021" i="1"/>
  <c r="E1022" i="1"/>
  <c r="F1022" i="1"/>
  <c r="H1022" i="1"/>
  <c r="E1023" i="1"/>
  <c r="F1023" i="1"/>
  <c r="H1023" i="1"/>
  <c r="E1024" i="1"/>
  <c r="F1024" i="1"/>
  <c r="H1024" i="1"/>
  <c r="E1025" i="1"/>
  <c r="F1025" i="1"/>
  <c r="H1025" i="1"/>
  <c r="E1026" i="1"/>
  <c r="F1026" i="1"/>
  <c r="H1026" i="1"/>
  <c r="E1027" i="1"/>
  <c r="F1027" i="1"/>
  <c r="H1027" i="1"/>
  <c r="E1028" i="1"/>
  <c r="F1028" i="1"/>
  <c r="H1028" i="1"/>
  <c r="E1029" i="1"/>
  <c r="F1029" i="1"/>
  <c r="H1029" i="1"/>
  <c r="E1030" i="1"/>
  <c r="F1030" i="1"/>
  <c r="H1030" i="1"/>
  <c r="E1031" i="1"/>
  <c r="F1031" i="1"/>
  <c r="H1031" i="1"/>
  <c r="E1032" i="1"/>
  <c r="F1032" i="1"/>
  <c r="H1032" i="1"/>
  <c r="E1033" i="1"/>
  <c r="F1033" i="1"/>
  <c r="H1033" i="1"/>
  <c r="E1034" i="1"/>
  <c r="F1034" i="1"/>
  <c r="H1034" i="1"/>
  <c r="E1035" i="1"/>
  <c r="F1035" i="1"/>
  <c r="H1035" i="1"/>
  <c r="E1036" i="1"/>
  <c r="F1036" i="1"/>
  <c r="H1036" i="1"/>
  <c r="E1037" i="1"/>
  <c r="F1037" i="1"/>
  <c r="H1037" i="1"/>
  <c r="E1038" i="1"/>
  <c r="F1038" i="1"/>
  <c r="H1038" i="1"/>
  <c r="E1039" i="1"/>
  <c r="F1039" i="1"/>
  <c r="H1039" i="1"/>
  <c r="E1040" i="1"/>
  <c r="F1040" i="1"/>
  <c r="H1040" i="1"/>
  <c r="E1041" i="1"/>
  <c r="F1041" i="1"/>
  <c r="H1041" i="1"/>
  <c r="E1042" i="1"/>
  <c r="F1042" i="1"/>
  <c r="H1042" i="1"/>
  <c r="E1043" i="1"/>
  <c r="F1043" i="1"/>
  <c r="H1043" i="1"/>
  <c r="E1044" i="1"/>
  <c r="F1044" i="1"/>
  <c r="H1044" i="1"/>
  <c r="E1045" i="1"/>
  <c r="F1045" i="1"/>
  <c r="H1045" i="1"/>
  <c r="E1046" i="1"/>
  <c r="F1046" i="1"/>
  <c r="H1046" i="1"/>
  <c r="E1047" i="1"/>
  <c r="F1047" i="1"/>
  <c r="H1047" i="1"/>
  <c r="E1048" i="1"/>
  <c r="F1048" i="1"/>
  <c r="H1048" i="1"/>
  <c r="E1049" i="1"/>
  <c r="F1049" i="1"/>
  <c r="H1049" i="1"/>
  <c r="E1050" i="1"/>
  <c r="F1050" i="1"/>
  <c r="H1050" i="1"/>
  <c r="E1051" i="1"/>
  <c r="F1051" i="1"/>
  <c r="H1051" i="1"/>
  <c r="E1052" i="1"/>
  <c r="F1052" i="1"/>
  <c r="H1052" i="1"/>
  <c r="E1053" i="1"/>
  <c r="F1053" i="1"/>
  <c r="H1053" i="1"/>
  <c r="E1054" i="1"/>
  <c r="F1054" i="1"/>
  <c r="H1054" i="1"/>
  <c r="E1055" i="1"/>
  <c r="F1055" i="1"/>
  <c r="H1055" i="1"/>
  <c r="E1056" i="1"/>
  <c r="F1056" i="1"/>
  <c r="H1056" i="1"/>
  <c r="E1057" i="1"/>
  <c r="F1057" i="1"/>
  <c r="H1057" i="1"/>
  <c r="E1058" i="1"/>
  <c r="F1058" i="1"/>
  <c r="H1058" i="1"/>
  <c r="E1059" i="1"/>
  <c r="F1059" i="1"/>
  <c r="H1059" i="1"/>
  <c r="E1060" i="1"/>
  <c r="F1060" i="1"/>
  <c r="H1060" i="1"/>
  <c r="E1061" i="1"/>
  <c r="F1061" i="1"/>
  <c r="H1061" i="1"/>
  <c r="E1062" i="1"/>
  <c r="F1062" i="1"/>
  <c r="H1062" i="1"/>
  <c r="E1063" i="1"/>
  <c r="F1063" i="1"/>
  <c r="H1063" i="1"/>
  <c r="E1064" i="1"/>
  <c r="F1064" i="1"/>
  <c r="H1064" i="1"/>
  <c r="E1065" i="1"/>
  <c r="F1065" i="1"/>
  <c r="H1065" i="1"/>
  <c r="E1066" i="1"/>
  <c r="F1066" i="1"/>
  <c r="H1066" i="1"/>
  <c r="E1067" i="1"/>
  <c r="F1067" i="1"/>
  <c r="H1067" i="1"/>
  <c r="E1068" i="1"/>
  <c r="F1068" i="1"/>
  <c r="H1068" i="1"/>
  <c r="E1069" i="1"/>
  <c r="F1069" i="1"/>
  <c r="H1069" i="1"/>
  <c r="E1070" i="1"/>
  <c r="F1070" i="1"/>
  <c r="H1070" i="1"/>
  <c r="E1071" i="1"/>
  <c r="F1071" i="1"/>
  <c r="H1071" i="1"/>
  <c r="E1072" i="1"/>
  <c r="F1072" i="1"/>
  <c r="H1072" i="1"/>
  <c r="E1073" i="1"/>
  <c r="F1073" i="1"/>
  <c r="H1073" i="1"/>
  <c r="E1074" i="1"/>
  <c r="F1074" i="1"/>
  <c r="H1074" i="1"/>
  <c r="E1075" i="1"/>
  <c r="F1075" i="1"/>
  <c r="H1075" i="1"/>
  <c r="E1076" i="1"/>
  <c r="F1076" i="1"/>
  <c r="H1076" i="1"/>
  <c r="E1077" i="1"/>
  <c r="F1077" i="1"/>
  <c r="H1077" i="1"/>
  <c r="E1078" i="1"/>
  <c r="F1078" i="1"/>
  <c r="H1078" i="1"/>
  <c r="E1079" i="1"/>
  <c r="F1079" i="1"/>
  <c r="H1079" i="1"/>
  <c r="E1080" i="1"/>
  <c r="F1080" i="1"/>
  <c r="H1080" i="1"/>
  <c r="E1081" i="1"/>
  <c r="F1081" i="1"/>
  <c r="H1081" i="1"/>
  <c r="E1082" i="1"/>
  <c r="F1082" i="1"/>
  <c r="H1082" i="1"/>
  <c r="E1083" i="1"/>
  <c r="F1083" i="1"/>
  <c r="H1083" i="1"/>
  <c r="E1084" i="1"/>
  <c r="F1084" i="1"/>
  <c r="H1084" i="1"/>
  <c r="E1085" i="1"/>
  <c r="F1085" i="1"/>
  <c r="H1085" i="1"/>
  <c r="E1086" i="1"/>
  <c r="F1086" i="1"/>
  <c r="H1086" i="1"/>
  <c r="E1087" i="1"/>
  <c r="F1087" i="1"/>
  <c r="H1087" i="1"/>
  <c r="E1088" i="1"/>
  <c r="F1088" i="1"/>
  <c r="H1088" i="1"/>
  <c r="E1089" i="1"/>
  <c r="F1089" i="1"/>
  <c r="H1089" i="1"/>
  <c r="E1090" i="1"/>
  <c r="F1090" i="1"/>
  <c r="H1090" i="1"/>
  <c r="E1091" i="1"/>
  <c r="F1091" i="1"/>
  <c r="H1091" i="1"/>
  <c r="E1092" i="1"/>
  <c r="F1092" i="1"/>
  <c r="H1092" i="1"/>
  <c r="E1093" i="1"/>
  <c r="F1093" i="1"/>
  <c r="H1093" i="1"/>
  <c r="E1094" i="1"/>
  <c r="F1094" i="1"/>
  <c r="H1094" i="1"/>
  <c r="E1095" i="1"/>
  <c r="F1095" i="1"/>
  <c r="H1095" i="1"/>
  <c r="E1096" i="1"/>
  <c r="F1096" i="1"/>
  <c r="H1096" i="1"/>
  <c r="E1097" i="1"/>
  <c r="F1097" i="1"/>
  <c r="H1097" i="1"/>
  <c r="E1098" i="1"/>
  <c r="F1098" i="1"/>
  <c r="H1098" i="1"/>
  <c r="E1099" i="1"/>
  <c r="F1099" i="1"/>
  <c r="H1099" i="1"/>
  <c r="E1100" i="1"/>
  <c r="F1100" i="1"/>
  <c r="H1100" i="1"/>
  <c r="E1101" i="1"/>
  <c r="F1101" i="1"/>
  <c r="H1101" i="1"/>
  <c r="E1102" i="1"/>
  <c r="F1102" i="1"/>
  <c r="H1102" i="1"/>
  <c r="E1103" i="1"/>
  <c r="F1103" i="1"/>
  <c r="H1103" i="1"/>
  <c r="E1104" i="1"/>
  <c r="F1104" i="1"/>
  <c r="H1104" i="1"/>
  <c r="E1105" i="1"/>
  <c r="F1105" i="1"/>
  <c r="H1105" i="1"/>
  <c r="E1106" i="1"/>
  <c r="F1106" i="1"/>
  <c r="H1106" i="1"/>
  <c r="E1107" i="1"/>
  <c r="F1107" i="1"/>
  <c r="H1107" i="1"/>
  <c r="E1108" i="1"/>
  <c r="F1108" i="1"/>
  <c r="H1108" i="1"/>
  <c r="E1109" i="1"/>
  <c r="F1109" i="1"/>
  <c r="H1109" i="1"/>
  <c r="E1110" i="1"/>
  <c r="F1110" i="1"/>
  <c r="H1110" i="1"/>
  <c r="E1111" i="1"/>
  <c r="F1111" i="1"/>
  <c r="H1111" i="1"/>
  <c r="E1112" i="1"/>
  <c r="F1112" i="1"/>
  <c r="H1112" i="1"/>
  <c r="E1113" i="1"/>
  <c r="F1113" i="1"/>
  <c r="H1113" i="1"/>
  <c r="E1114" i="1"/>
  <c r="F1114" i="1"/>
  <c r="H1114" i="1"/>
  <c r="E1115" i="1"/>
  <c r="F1115" i="1"/>
  <c r="H1115" i="1"/>
  <c r="E1116" i="1"/>
  <c r="F1116" i="1"/>
  <c r="H1116" i="1"/>
  <c r="E1117" i="1"/>
  <c r="F1117" i="1"/>
  <c r="H1117" i="1"/>
  <c r="E1118" i="1"/>
  <c r="F1118" i="1"/>
  <c r="H1118" i="1"/>
  <c r="E1119" i="1"/>
  <c r="F1119" i="1"/>
  <c r="H1119" i="1"/>
  <c r="E1120" i="1"/>
  <c r="F1120" i="1"/>
  <c r="H1120" i="1"/>
  <c r="E1121" i="1"/>
  <c r="F1121" i="1"/>
  <c r="H1121" i="1"/>
  <c r="E1122" i="1"/>
  <c r="F1122" i="1"/>
  <c r="H1122" i="1"/>
  <c r="E1123" i="1"/>
  <c r="F1123" i="1"/>
  <c r="H1123" i="1"/>
  <c r="E1124" i="1"/>
  <c r="F1124" i="1"/>
  <c r="H1124" i="1"/>
  <c r="E1125" i="1"/>
  <c r="F1125" i="1"/>
  <c r="H1125" i="1"/>
  <c r="E1126" i="1"/>
  <c r="F1126" i="1"/>
  <c r="H1126" i="1"/>
  <c r="E1127" i="1"/>
  <c r="F1127" i="1"/>
  <c r="H1127" i="1"/>
  <c r="E1128" i="1"/>
  <c r="F1128" i="1"/>
  <c r="H1128" i="1"/>
  <c r="E1129" i="1"/>
  <c r="F1129" i="1"/>
  <c r="H1129" i="1"/>
  <c r="E1130" i="1"/>
  <c r="F1130" i="1"/>
  <c r="H1130" i="1"/>
  <c r="E1131" i="1"/>
  <c r="F1131" i="1"/>
  <c r="H1131" i="1"/>
  <c r="E1132" i="1"/>
  <c r="F1132" i="1"/>
  <c r="H1132" i="1"/>
  <c r="E1133" i="1"/>
  <c r="F1133" i="1"/>
  <c r="H1133" i="1"/>
  <c r="E1134" i="1"/>
  <c r="F1134" i="1"/>
  <c r="H1134" i="1"/>
  <c r="E1135" i="1"/>
  <c r="F1135" i="1"/>
  <c r="H1135" i="1"/>
  <c r="E1136" i="1"/>
  <c r="F1136" i="1"/>
  <c r="H1136" i="1"/>
  <c r="E1137" i="1"/>
  <c r="F1137" i="1"/>
  <c r="H1137" i="1"/>
  <c r="E1138" i="1"/>
  <c r="F1138" i="1"/>
  <c r="H1138" i="1"/>
  <c r="E1139" i="1"/>
  <c r="F1139" i="1"/>
  <c r="H1139" i="1"/>
  <c r="E1140" i="1"/>
  <c r="F1140" i="1"/>
  <c r="H1140" i="1"/>
  <c r="E1141" i="1"/>
  <c r="F1141" i="1"/>
  <c r="H1141" i="1"/>
  <c r="E1142" i="1"/>
  <c r="F1142" i="1"/>
  <c r="H1142" i="1"/>
  <c r="E1143" i="1"/>
  <c r="F1143" i="1"/>
  <c r="H1143" i="1"/>
  <c r="E1144" i="1"/>
  <c r="F1144" i="1"/>
  <c r="H1144" i="1"/>
  <c r="E1145" i="1"/>
  <c r="F1145" i="1"/>
  <c r="H1145" i="1"/>
  <c r="E1146" i="1"/>
  <c r="F1146" i="1"/>
  <c r="H1146" i="1"/>
  <c r="E1147" i="1"/>
  <c r="F1147" i="1"/>
  <c r="H1147" i="1"/>
  <c r="E1148" i="1"/>
  <c r="F1148" i="1"/>
  <c r="H1148" i="1"/>
  <c r="E1149" i="1"/>
  <c r="F1149" i="1"/>
  <c r="H1149" i="1"/>
  <c r="E1150" i="1"/>
  <c r="F1150" i="1"/>
  <c r="H1150" i="1"/>
  <c r="E1151" i="1"/>
  <c r="F1151" i="1"/>
  <c r="H1151" i="1"/>
  <c r="E1152" i="1"/>
  <c r="F1152" i="1"/>
  <c r="H1152" i="1"/>
  <c r="E1153" i="1"/>
  <c r="F1153" i="1"/>
  <c r="H1153" i="1"/>
  <c r="E1154" i="1"/>
  <c r="F1154" i="1"/>
  <c r="H1154" i="1"/>
  <c r="E1155" i="1"/>
  <c r="F1155" i="1"/>
  <c r="H1155" i="1"/>
  <c r="E1156" i="1"/>
  <c r="F1156" i="1"/>
  <c r="H1156" i="1"/>
  <c r="E1157" i="1"/>
  <c r="F1157" i="1"/>
  <c r="H1157" i="1"/>
  <c r="E1158" i="1"/>
  <c r="F1158" i="1"/>
  <c r="H1158" i="1"/>
  <c r="E1159" i="1"/>
  <c r="F1159" i="1"/>
  <c r="H1159" i="1"/>
  <c r="E1160" i="1"/>
  <c r="F1160" i="1"/>
  <c r="H1160" i="1"/>
  <c r="E1161" i="1"/>
  <c r="F1161" i="1"/>
  <c r="H1161" i="1"/>
  <c r="E1162" i="1"/>
  <c r="F1162" i="1"/>
  <c r="H1162" i="1"/>
  <c r="E1163" i="1"/>
  <c r="F1163" i="1"/>
  <c r="H1163" i="1"/>
  <c r="E1164" i="1"/>
  <c r="F1164" i="1"/>
  <c r="H1164" i="1"/>
  <c r="E1165" i="1"/>
  <c r="F1165" i="1"/>
  <c r="H1165" i="1"/>
  <c r="E1166" i="1"/>
  <c r="F1166" i="1"/>
  <c r="H1166" i="1"/>
  <c r="E1167" i="1"/>
  <c r="F1167" i="1"/>
  <c r="H1167" i="1"/>
  <c r="E1168" i="1"/>
  <c r="F1168" i="1"/>
  <c r="H1168" i="1"/>
  <c r="E1169" i="1"/>
  <c r="F1169" i="1"/>
  <c r="H1169" i="1"/>
  <c r="E1170" i="1"/>
  <c r="F1170" i="1"/>
  <c r="H1170" i="1"/>
  <c r="E1171" i="1"/>
  <c r="F1171" i="1"/>
  <c r="H1171" i="1"/>
  <c r="E1172" i="1"/>
  <c r="F1172" i="1"/>
  <c r="H1172" i="1"/>
  <c r="E1173" i="1"/>
  <c r="F1173" i="1"/>
  <c r="H1173" i="1"/>
  <c r="E1174" i="1"/>
  <c r="F1174" i="1"/>
  <c r="H1174" i="1"/>
  <c r="E1175" i="1"/>
  <c r="F1175" i="1"/>
  <c r="H1175" i="1"/>
  <c r="E1176" i="1"/>
  <c r="F1176" i="1"/>
  <c r="H1176" i="1"/>
  <c r="E1177" i="1"/>
  <c r="F1177" i="1"/>
  <c r="H1177" i="1"/>
  <c r="E1178" i="1"/>
  <c r="F1178" i="1"/>
  <c r="H1178" i="1"/>
  <c r="E1179" i="1"/>
  <c r="F1179" i="1"/>
  <c r="H1179" i="1"/>
  <c r="E1180" i="1"/>
  <c r="F1180" i="1"/>
  <c r="H1180" i="1"/>
  <c r="E1181" i="1"/>
  <c r="F1181" i="1"/>
  <c r="H1181" i="1"/>
  <c r="E1182" i="1"/>
  <c r="F1182" i="1"/>
  <c r="H1182" i="1"/>
  <c r="E1183" i="1"/>
  <c r="F1183" i="1"/>
  <c r="H1183" i="1"/>
  <c r="E1184" i="1"/>
  <c r="F1184" i="1"/>
  <c r="H1184" i="1"/>
  <c r="E1185" i="1"/>
  <c r="F1185" i="1"/>
  <c r="H1185" i="1"/>
  <c r="E1186" i="1"/>
  <c r="F1186" i="1"/>
  <c r="H1186" i="1"/>
  <c r="E1187" i="1"/>
  <c r="F1187" i="1"/>
  <c r="H1187" i="1"/>
  <c r="E1188" i="1"/>
  <c r="F1188" i="1"/>
  <c r="H1188" i="1"/>
  <c r="E1189" i="1"/>
  <c r="F1189" i="1"/>
  <c r="H1189" i="1"/>
  <c r="E1190" i="1"/>
  <c r="F1190" i="1"/>
  <c r="H1190" i="1"/>
  <c r="E1191" i="1"/>
  <c r="F1191" i="1"/>
  <c r="H1191" i="1"/>
  <c r="E1192" i="1"/>
  <c r="F1192" i="1"/>
  <c r="H1192" i="1"/>
  <c r="E1193" i="1"/>
  <c r="F1193" i="1"/>
  <c r="H1193" i="1"/>
  <c r="E1194" i="1"/>
  <c r="F1194" i="1"/>
  <c r="H1194" i="1"/>
  <c r="E1195" i="1"/>
  <c r="F1195" i="1"/>
  <c r="H1195" i="1"/>
  <c r="E1196" i="1"/>
  <c r="F1196" i="1"/>
  <c r="H1196" i="1"/>
  <c r="E1197" i="1"/>
  <c r="F1197" i="1"/>
  <c r="H1197" i="1"/>
  <c r="E1198" i="1"/>
  <c r="F1198" i="1"/>
  <c r="H1198" i="1"/>
  <c r="E1199" i="1"/>
  <c r="F1199" i="1"/>
  <c r="H1199" i="1"/>
  <c r="E1200" i="1"/>
  <c r="F1200" i="1"/>
  <c r="H1200" i="1"/>
  <c r="E1201" i="1"/>
  <c r="F1201" i="1"/>
  <c r="H1201" i="1"/>
  <c r="E1202" i="1"/>
  <c r="F1202" i="1"/>
  <c r="H1202" i="1"/>
  <c r="E1203" i="1"/>
  <c r="F1203" i="1"/>
  <c r="H1203" i="1"/>
  <c r="E1204" i="1"/>
  <c r="F1204" i="1"/>
  <c r="H1204" i="1"/>
  <c r="E1205" i="1"/>
  <c r="F1205" i="1"/>
  <c r="H1205" i="1"/>
  <c r="E1206" i="1"/>
  <c r="F1206" i="1"/>
  <c r="H1206" i="1"/>
  <c r="E1207" i="1"/>
  <c r="F1207" i="1"/>
  <c r="H1207" i="1"/>
  <c r="E1208" i="1"/>
  <c r="F1208" i="1"/>
  <c r="H1208" i="1"/>
  <c r="E1209" i="1"/>
  <c r="F1209" i="1"/>
  <c r="H1209" i="1"/>
  <c r="E1210" i="1"/>
  <c r="F1210" i="1"/>
  <c r="H1210" i="1"/>
  <c r="E1211" i="1"/>
  <c r="F1211" i="1"/>
  <c r="H1211" i="1"/>
  <c r="E1212" i="1"/>
  <c r="F1212" i="1"/>
  <c r="H1212" i="1"/>
  <c r="E1213" i="1"/>
  <c r="F1213" i="1"/>
  <c r="H1213" i="1"/>
  <c r="E1214" i="1"/>
  <c r="F1214" i="1"/>
  <c r="H1214" i="1"/>
  <c r="E1215" i="1"/>
  <c r="F1215" i="1"/>
  <c r="H1215" i="1"/>
  <c r="E1216" i="1"/>
  <c r="F1216" i="1"/>
  <c r="H1216" i="1"/>
  <c r="E1217" i="1"/>
  <c r="F1217" i="1"/>
  <c r="H1217" i="1"/>
  <c r="E1218" i="1"/>
  <c r="F1218" i="1"/>
  <c r="H1218" i="1"/>
  <c r="E1219" i="1"/>
  <c r="F1219" i="1"/>
  <c r="H1219" i="1"/>
  <c r="E1220" i="1"/>
  <c r="F1220" i="1"/>
  <c r="H1220" i="1"/>
  <c r="E1221" i="1"/>
  <c r="F1221" i="1"/>
  <c r="H1221" i="1"/>
  <c r="E1222" i="1"/>
  <c r="F1222" i="1"/>
  <c r="H1222" i="1"/>
  <c r="E1223" i="1"/>
  <c r="F1223" i="1"/>
  <c r="H1223" i="1"/>
  <c r="E1224" i="1"/>
  <c r="F1224" i="1"/>
  <c r="H1224" i="1"/>
  <c r="E1225" i="1"/>
  <c r="F1225" i="1"/>
  <c r="H1225" i="1"/>
  <c r="E1226" i="1"/>
  <c r="F1226" i="1"/>
  <c r="H1226" i="1"/>
  <c r="E1227" i="1"/>
  <c r="F1227" i="1"/>
  <c r="H1227" i="1"/>
  <c r="E1228" i="1"/>
  <c r="F1228" i="1"/>
  <c r="H1228" i="1"/>
  <c r="E1229" i="1"/>
  <c r="F1229" i="1"/>
  <c r="H1229" i="1"/>
  <c r="E1230" i="1"/>
  <c r="F1230" i="1"/>
  <c r="H1230" i="1"/>
  <c r="E1231" i="1"/>
  <c r="F1231" i="1"/>
  <c r="H1231" i="1"/>
  <c r="E1232" i="1"/>
  <c r="F1232" i="1"/>
  <c r="H1232" i="1"/>
  <c r="E1233" i="1"/>
  <c r="F1233" i="1"/>
  <c r="H1233" i="1"/>
  <c r="E1234" i="1"/>
  <c r="F1234" i="1"/>
  <c r="H1234" i="1"/>
  <c r="E1235" i="1"/>
  <c r="F1235" i="1"/>
  <c r="H1235" i="1"/>
  <c r="E1236" i="1"/>
  <c r="F1236" i="1"/>
  <c r="H1236" i="1"/>
  <c r="E1237" i="1"/>
  <c r="F1237" i="1"/>
  <c r="H1237" i="1"/>
  <c r="E1238" i="1"/>
  <c r="F1238" i="1"/>
  <c r="H1238" i="1"/>
  <c r="E1239" i="1"/>
  <c r="F1239" i="1"/>
  <c r="H1239" i="1"/>
  <c r="E1240" i="1"/>
  <c r="F1240" i="1"/>
  <c r="H1240" i="1"/>
  <c r="E1241" i="1"/>
  <c r="F1241" i="1"/>
  <c r="H1241" i="1"/>
  <c r="E1242" i="1"/>
  <c r="F1242" i="1"/>
  <c r="H1242" i="1"/>
  <c r="E1243" i="1"/>
  <c r="F1243" i="1"/>
  <c r="H1243" i="1"/>
  <c r="E1244" i="1"/>
  <c r="F1244" i="1"/>
  <c r="H1244" i="1"/>
  <c r="E1245" i="1"/>
  <c r="F1245" i="1"/>
  <c r="H1245" i="1"/>
  <c r="E1246" i="1"/>
  <c r="F1246" i="1"/>
  <c r="H1246" i="1"/>
  <c r="E1247" i="1"/>
  <c r="F1247" i="1"/>
  <c r="H1247" i="1"/>
  <c r="E1248" i="1"/>
  <c r="F1248" i="1"/>
  <c r="H1248" i="1"/>
  <c r="E1249" i="1"/>
  <c r="F1249" i="1"/>
  <c r="H1249" i="1"/>
  <c r="E1250" i="1"/>
  <c r="F1250" i="1"/>
  <c r="H1250" i="1"/>
  <c r="E1251" i="1"/>
  <c r="F1251" i="1"/>
  <c r="H1251" i="1"/>
  <c r="E1252" i="1"/>
  <c r="F1252" i="1"/>
  <c r="H1252" i="1"/>
  <c r="E1253" i="1"/>
  <c r="F1253" i="1"/>
  <c r="H1253" i="1"/>
  <c r="E1254" i="1"/>
  <c r="F1254" i="1"/>
  <c r="H1254" i="1"/>
  <c r="E1255" i="1"/>
  <c r="F1255" i="1"/>
  <c r="H1255" i="1"/>
  <c r="E1256" i="1"/>
  <c r="F1256" i="1"/>
  <c r="H1256" i="1"/>
  <c r="E1257" i="1"/>
  <c r="F1257" i="1"/>
  <c r="H1257" i="1"/>
  <c r="E1258" i="1"/>
  <c r="F1258" i="1"/>
  <c r="H1258" i="1"/>
  <c r="E1259" i="1"/>
  <c r="F1259" i="1"/>
  <c r="H1259" i="1"/>
  <c r="E1260" i="1"/>
  <c r="F1260" i="1"/>
  <c r="H1260" i="1"/>
  <c r="E1261" i="1"/>
  <c r="F1261" i="1"/>
  <c r="H1261" i="1"/>
  <c r="E1262" i="1"/>
  <c r="F1262" i="1"/>
  <c r="H1262" i="1"/>
  <c r="E1263" i="1"/>
  <c r="F1263" i="1"/>
  <c r="H1263" i="1"/>
  <c r="E1264" i="1"/>
  <c r="F1264" i="1"/>
  <c r="H1264" i="1"/>
  <c r="E1265" i="1"/>
  <c r="F1265" i="1"/>
  <c r="H1265" i="1"/>
  <c r="E1266" i="1"/>
  <c r="F1266" i="1"/>
  <c r="H1266" i="1"/>
  <c r="E1267" i="1"/>
  <c r="F1267" i="1"/>
  <c r="H1267" i="1"/>
  <c r="E1268" i="1"/>
  <c r="F1268" i="1"/>
  <c r="H1268" i="1"/>
  <c r="E1269" i="1"/>
  <c r="F1269" i="1"/>
  <c r="H1269" i="1"/>
  <c r="E1270" i="1"/>
  <c r="F1270" i="1"/>
  <c r="H1270" i="1"/>
  <c r="E1271" i="1"/>
  <c r="F1271" i="1"/>
  <c r="H1271" i="1"/>
  <c r="E1272" i="1"/>
  <c r="F1272" i="1"/>
  <c r="H1272" i="1"/>
  <c r="E1273" i="1"/>
  <c r="F1273" i="1"/>
  <c r="H1273" i="1"/>
  <c r="E1274" i="1"/>
  <c r="F1274" i="1"/>
  <c r="H1274" i="1"/>
  <c r="E1275" i="1"/>
  <c r="F1275" i="1"/>
  <c r="H1275" i="1"/>
  <c r="E1276" i="1"/>
  <c r="F1276" i="1"/>
  <c r="H1276" i="1"/>
  <c r="E1277" i="1"/>
  <c r="F1277" i="1"/>
  <c r="H1277" i="1"/>
  <c r="E1278" i="1"/>
  <c r="F1278" i="1"/>
  <c r="H1278" i="1"/>
  <c r="E1279" i="1"/>
  <c r="F1279" i="1"/>
  <c r="H1279" i="1"/>
  <c r="E1280" i="1"/>
  <c r="F1280" i="1"/>
  <c r="H1280" i="1"/>
  <c r="E1281" i="1"/>
  <c r="F1281" i="1"/>
  <c r="H1281" i="1"/>
  <c r="E1282" i="1"/>
  <c r="F1282" i="1"/>
  <c r="H1282" i="1"/>
  <c r="E1283" i="1"/>
  <c r="F1283" i="1"/>
  <c r="H1283" i="1"/>
  <c r="E1284" i="1"/>
  <c r="F1284" i="1"/>
  <c r="H1284" i="1"/>
  <c r="E1285" i="1"/>
  <c r="F1285" i="1"/>
  <c r="H1285" i="1"/>
  <c r="E1286" i="1"/>
  <c r="F1286" i="1"/>
  <c r="H1286" i="1"/>
  <c r="E1287" i="1"/>
  <c r="F1287" i="1"/>
  <c r="H1287" i="1"/>
  <c r="E1288" i="1"/>
  <c r="F1288" i="1"/>
  <c r="H1288" i="1"/>
  <c r="E1289" i="1"/>
  <c r="F1289" i="1"/>
  <c r="H1289" i="1"/>
  <c r="E1290" i="1"/>
  <c r="F1290" i="1"/>
  <c r="H1290" i="1"/>
  <c r="E1291" i="1"/>
  <c r="F1291" i="1"/>
  <c r="H1291" i="1"/>
  <c r="E1292" i="1"/>
  <c r="F1292" i="1"/>
  <c r="H1292" i="1"/>
  <c r="E1293" i="1"/>
  <c r="F1293" i="1"/>
  <c r="H1293" i="1"/>
  <c r="E1294" i="1"/>
  <c r="F1294" i="1"/>
  <c r="H1294" i="1"/>
  <c r="E1295" i="1"/>
  <c r="F1295" i="1"/>
  <c r="H1295" i="1"/>
  <c r="E1296" i="1"/>
  <c r="F1296" i="1"/>
  <c r="H1296" i="1"/>
  <c r="E1297" i="1"/>
  <c r="F1297" i="1"/>
  <c r="H1297" i="1"/>
  <c r="E1298" i="1"/>
  <c r="F1298" i="1"/>
  <c r="H1298" i="1"/>
  <c r="E1299" i="1"/>
  <c r="F1299" i="1"/>
  <c r="H1299" i="1"/>
  <c r="E1300" i="1"/>
  <c r="F1300" i="1"/>
  <c r="H1300" i="1"/>
  <c r="E1301" i="1"/>
  <c r="F1301" i="1"/>
  <c r="H1301" i="1"/>
  <c r="E1302" i="1"/>
  <c r="F1302" i="1"/>
  <c r="H1302" i="1"/>
  <c r="E1303" i="1"/>
  <c r="F1303" i="1"/>
  <c r="H1303" i="1"/>
  <c r="E1304" i="1"/>
  <c r="F1304" i="1"/>
  <c r="H1304" i="1"/>
  <c r="E1305" i="1"/>
  <c r="F1305" i="1"/>
  <c r="H1305" i="1"/>
  <c r="E1306" i="1"/>
  <c r="F1306" i="1"/>
  <c r="H1306" i="1"/>
  <c r="E1307" i="1"/>
  <c r="F1307" i="1"/>
  <c r="H1307" i="1"/>
  <c r="E1308" i="1"/>
  <c r="F1308" i="1"/>
  <c r="H1308" i="1"/>
  <c r="E1309" i="1"/>
  <c r="F1309" i="1"/>
  <c r="H1309" i="1"/>
  <c r="E1310" i="1"/>
  <c r="F1310" i="1"/>
  <c r="H1310" i="1"/>
  <c r="E1311" i="1"/>
  <c r="F1311" i="1"/>
  <c r="H1311" i="1"/>
  <c r="E1312" i="1"/>
  <c r="F1312" i="1"/>
  <c r="H1312" i="1"/>
  <c r="E1313" i="1"/>
  <c r="F1313" i="1"/>
  <c r="H1313" i="1"/>
  <c r="E1314" i="1"/>
  <c r="F1314" i="1"/>
  <c r="H1314" i="1"/>
  <c r="E1315" i="1"/>
  <c r="F1315" i="1"/>
  <c r="H1315" i="1"/>
  <c r="E1316" i="1"/>
  <c r="F1316" i="1"/>
  <c r="H1316" i="1"/>
  <c r="E1317" i="1"/>
  <c r="F1317" i="1"/>
  <c r="H1317" i="1"/>
  <c r="E1318" i="1"/>
  <c r="F1318" i="1"/>
  <c r="H1318" i="1"/>
  <c r="E1319" i="1"/>
  <c r="F1319" i="1"/>
  <c r="H1319" i="1"/>
  <c r="E1320" i="1"/>
  <c r="F1320" i="1"/>
  <c r="H1320" i="1"/>
  <c r="E1321" i="1"/>
  <c r="F1321" i="1"/>
  <c r="H1321" i="1"/>
  <c r="E1322" i="1"/>
  <c r="F1322" i="1"/>
  <c r="H1322" i="1"/>
  <c r="E1323" i="1"/>
  <c r="F1323" i="1"/>
  <c r="H1323" i="1"/>
  <c r="E1324" i="1"/>
  <c r="F1324" i="1"/>
  <c r="H1324" i="1"/>
  <c r="E1325" i="1"/>
  <c r="F1325" i="1"/>
  <c r="H1325" i="1"/>
  <c r="E1326" i="1"/>
  <c r="F1326" i="1"/>
  <c r="H1326" i="1"/>
  <c r="E1327" i="1"/>
  <c r="F1327" i="1"/>
  <c r="H1327" i="1"/>
  <c r="E1328" i="1"/>
  <c r="F1328" i="1"/>
  <c r="H1328" i="1"/>
  <c r="E1329" i="1"/>
  <c r="F1329" i="1"/>
  <c r="H1329" i="1"/>
  <c r="E1330" i="1"/>
  <c r="F1330" i="1"/>
  <c r="H1330" i="1"/>
  <c r="E1331" i="1"/>
  <c r="F1331" i="1"/>
  <c r="H1331" i="1"/>
  <c r="E1332" i="1"/>
  <c r="F1332" i="1"/>
  <c r="H1332" i="1"/>
  <c r="E1333" i="1"/>
  <c r="F1333" i="1"/>
  <c r="H1333" i="1"/>
  <c r="E1334" i="1"/>
  <c r="F1334" i="1"/>
  <c r="H1334" i="1"/>
  <c r="E1335" i="1"/>
  <c r="F1335" i="1"/>
  <c r="H1335" i="1"/>
  <c r="E1336" i="1"/>
  <c r="F1336" i="1"/>
  <c r="H1336" i="1"/>
  <c r="E1337" i="1"/>
  <c r="F1337" i="1"/>
  <c r="H1337" i="1"/>
  <c r="E1338" i="1"/>
  <c r="F1338" i="1"/>
  <c r="H1338" i="1"/>
  <c r="E1339" i="1"/>
  <c r="F1339" i="1"/>
  <c r="H1339" i="1"/>
  <c r="E1340" i="1"/>
  <c r="F1340" i="1"/>
  <c r="H1340" i="1"/>
  <c r="E1341" i="1"/>
  <c r="F1341" i="1"/>
  <c r="H1341" i="1"/>
  <c r="E1342" i="1"/>
  <c r="F1342" i="1"/>
  <c r="H1342" i="1"/>
  <c r="E1343" i="1"/>
  <c r="F1343" i="1"/>
  <c r="H1343" i="1"/>
  <c r="E1344" i="1"/>
  <c r="F1344" i="1"/>
  <c r="H1344" i="1"/>
  <c r="E1345" i="1"/>
  <c r="F1345" i="1"/>
  <c r="H1345" i="1"/>
  <c r="E1346" i="1"/>
  <c r="F1346" i="1"/>
  <c r="H1346" i="1"/>
  <c r="E1347" i="1"/>
  <c r="F1347" i="1"/>
  <c r="H1347" i="1"/>
  <c r="E1348" i="1"/>
  <c r="F1348" i="1"/>
  <c r="H1348" i="1"/>
  <c r="E1349" i="1"/>
  <c r="F1349" i="1"/>
  <c r="H1349" i="1"/>
  <c r="E1350" i="1"/>
  <c r="F1350" i="1"/>
  <c r="H1350" i="1"/>
  <c r="E1351" i="1"/>
  <c r="F1351" i="1"/>
  <c r="H1351" i="1"/>
  <c r="E1352" i="1"/>
  <c r="F1352" i="1"/>
  <c r="H1352" i="1"/>
  <c r="E1353" i="1"/>
  <c r="F1353" i="1"/>
  <c r="H1353" i="1"/>
  <c r="E1354" i="1"/>
  <c r="F1354" i="1"/>
  <c r="H1354" i="1"/>
  <c r="E1355" i="1"/>
  <c r="F1355" i="1"/>
  <c r="H1355" i="1"/>
  <c r="E1356" i="1"/>
  <c r="F1356" i="1"/>
  <c r="H1356" i="1"/>
  <c r="E1357" i="1"/>
  <c r="F1357" i="1"/>
  <c r="H1357" i="1"/>
  <c r="E1358" i="1"/>
  <c r="F1358" i="1"/>
  <c r="H1358" i="1"/>
  <c r="E1359" i="1"/>
  <c r="F1359" i="1"/>
  <c r="H1359" i="1"/>
  <c r="E1360" i="1"/>
  <c r="F1360" i="1"/>
  <c r="H1360" i="1"/>
  <c r="E1361" i="1"/>
  <c r="F1361" i="1"/>
  <c r="H1361" i="1"/>
  <c r="E1362" i="1"/>
  <c r="F1362" i="1"/>
  <c r="H1362" i="1"/>
  <c r="E1363" i="1"/>
  <c r="F1363" i="1"/>
  <c r="H1363" i="1"/>
  <c r="E1364" i="1"/>
  <c r="F1364" i="1"/>
  <c r="H1364" i="1"/>
  <c r="E1365" i="1"/>
  <c r="F1365" i="1"/>
  <c r="H1365" i="1"/>
  <c r="E1366" i="1"/>
  <c r="F1366" i="1"/>
  <c r="H1366" i="1"/>
  <c r="E1367" i="1"/>
  <c r="F1367" i="1"/>
  <c r="H1367" i="1"/>
  <c r="E1368" i="1"/>
  <c r="F1368" i="1"/>
  <c r="H1368" i="1"/>
  <c r="E1369" i="1"/>
  <c r="F1369" i="1"/>
  <c r="H1369" i="1"/>
  <c r="E1370" i="1"/>
  <c r="F1370" i="1"/>
  <c r="H1370" i="1"/>
  <c r="E1371" i="1"/>
  <c r="F1371" i="1"/>
  <c r="H1371" i="1"/>
  <c r="E1372" i="1"/>
  <c r="F1372" i="1"/>
  <c r="H1372" i="1"/>
  <c r="E1373" i="1"/>
  <c r="F1373" i="1"/>
  <c r="H1373" i="1"/>
  <c r="E1374" i="1"/>
  <c r="F1374" i="1"/>
  <c r="H1374" i="1"/>
  <c r="E1375" i="1"/>
  <c r="F1375" i="1"/>
  <c r="H1375" i="1"/>
  <c r="E1376" i="1"/>
  <c r="F1376" i="1"/>
  <c r="H1376" i="1"/>
  <c r="E1377" i="1"/>
  <c r="F1377" i="1"/>
  <c r="H1377" i="1"/>
  <c r="E1378" i="1"/>
  <c r="F1378" i="1"/>
  <c r="H1378" i="1"/>
  <c r="E1379" i="1"/>
  <c r="F1379" i="1"/>
  <c r="H1379" i="1"/>
  <c r="E1380" i="1"/>
  <c r="F1380" i="1"/>
  <c r="H1380" i="1"/>
  <c r="E1381" i="1"/>
  <c r="F1381" i="1"/>
  <c r="H1381" i="1"/>
  <c r="E1382" i="1"/>
  <c r="F1382" i="1"/>
  <c r="H1382" i="1"/>
  <c r="E1383" i="1"/>
  <c r="F1383" i="1"/>
  <c r="H1383" i="1"/>
  <c r="E1384" i="1"/>
  <c r="F1384" i="1"/>
  <c r="H1384" i="1"/>
  <c r="E1385" i="1"/>
  <c r="F1385" i="1"/>
  <c r="H1385" i="1"/>
  <c r="E1386" i="1"/>
  <c r="F1386" i="1"/>
  <c r="H1386" i="1"/>
  <c r="E1387" i="1"/>
  <c r="F1387" i="1"/>
  <c r="H1387" i="1"/>
  <c r="E1388" i="1"/>
  <c r="F1388" i="1"/>
  <c r="H1388" i="1"/>
  <c r="E1389" i="1"/>
  <c r="F1389" i="1"/>
  <c r="H1389" i="1"/>
  <c r="E1390" i="1"/>
  <c r="F1390" i="1"/>
  <c r="H1390" i="1"/>
  <c r="E1391" i="1"/>
  <c r="F1391" i="1"/>
  <c r="H1391" i="1"/>
  <c r="E1392" i="1"/>
  <c r="F1392" i="1"/>
  <c r="H1392" i="1"/>
  <c r="E1393" i="1"/>
  <c r="F1393" i="1"/>
  <c r="H1393" i="1"/>
  <c r="E1394" i="1"/>
  <c r="F1394" i="1"/>
  <c r="H1394" i="1"/>
  <c r="E1395" i="1"/>
  <c r="F1395" i="1"/>
  <c r="H1395" i="1"/>
  <c r="E1396" i="1"/>
  <c r="F1396" i="1"/>
  <c r="H1396" i="1"/>
  <c r="E1397" i="1"/>
  <c r="F1397" i="1"/>
  <c r="H1397" i="1"/>
  <c r="E1398" i="1"/>
  <c r="F1398" i="1"/>
  <c r="H1398" i="1"/>
  <c r="E1399" i="1"/>
  <c r="F1399" i="1"/>
  <c r="H1399" i="1"/>
  <c r="E1400" i="1"/>
  <c r="F1400" i="1"/>
  <c r="H1400" i="1"/>
  <c r="E1401" i="1"/>
  <c r="F1401" i="1"/>
  <c r="H1401" i="1"/>
  <c r="E1402" i="1"/>
  <c r="F1402" i="1"/>
  <c r="H1402" i="1"/>
  <c r="E1403" i="1"/>
  <c r="F1403" i="1"/>
  <c r="H1403" i="1"/>
  <c r="E1404" i="1"/>
  <c r="F1404" i="1"/>
  <c r="H1404" i="1"/>
  <c r="E1405" i="1"/>
  <c r="F1405" i="1"/>
  <c r="H1405" i="1"/>
  <c r="E1406" i="1"/>
  <c r="F1406" i="1"/>
  <c r="H1406" i="1"/>
  <c r="E1407" i="1"/>
  <c r="F1407" i="1"/>
  <c r="H1407" i="1"/>
  <c r="E1408" i="1"/>
  <c r="F1408" i="1"/>
  <c r="H1408" i="1"/>
  <c r="E1409" i="1"/>
  <c r="F1409" i="1"/>
  <c r="H1409" i="1"/>
  <c r="E1410" i="1"/>
  <c r="F1410" i="1"/>
  <c r="H1410" i="1"/>
  <c r="E1411" i="1"/>
  <c r="F1411" i="1"/>
  <c r="H1411" i="1"/>
  <c r="E1412" i="1"/>
  <c r="F1412" i="1"/>
  <c r="H1412" i="1"/>
  <c r="E1413" i="1"/>
  <c r="F1413" i="1"/>
  <c r="H1413" i="1"/>
  <c r="E1414" i="1"/>
  <c r="F1414" i="1"/>
  <c r="H1414" i="1"/>
  <c r="E1415" i="1"/>
  <c r="F1415" i="1"/>
  <c r="H1415" i="1"/>
  <c r="E1416" i="1"/>
  <c r="F1416" i="1"/>
  <c r="H1416" i="1"/>
  <c r="E1417" i="1"/>
  <c r="F1417" i="1"/>
  <c r="H1417" i="1"/>
  <c r="E1418" i="1"/>
  <c r="F1418" i="1"/>
  <c r="H1418" i="1"/>
  <c r="E1419" i="1"/>
  <c r="F1419" i="1"/>
  <c r="H1419" i="1"/>
  <c r="E1420" i="1"/>
  <c r="F1420" i="1"/>
  <c r="H1420" i="1"/>
  <c r="E1421" i="1"/>
  <c r="F1421" i="1"/>
  <c r="H1421" i="1"/>
  <c r="E1422" i="1"/>
  <c r="F1422" i="1"/>
  <c r="H1422" i="1"/>
  <c r="E1423" i="1"/>
  <c r="F1423" i="1"/>
  <c r="H1423" i="1"/>
  <c r="E1424" i="1"/>
  <c r="F1424" i="1"/>
  <c r="H1424" i="1"/>
  <c r="E1425" i="1"/>
  <c r="F1425" i="1"/>
  <c r="H1425" i="1"/>
  <c r="E1426" i="1"/>
  <c r="F1426" i="1"/>
  <c r="H1426" i="1"/>
  <c r="E1427" i="1"/>
  <c r="F1427" i="1"/>
  <c r="H1427" i="1"/>
  <c r="E1428" i="1"/>
  <c r="F1428" i="1"/>
  <c r="H1428" i="1"/>
  <c r="E1429" i="1"/>
  <c r="F1429" i="1"/>
  <c r="H1429" i="1"/>
  <c r="E1430" i="1"/>
  <c r="F1430" i="1"/>
  <c r="H1430" i="1"/>
  <c r="E1431" i="1"/>
  <c r="F1431" i="1"/>
  <c r="H1431" i="1"/>
  <c r="E1432" i="1"/>
  <c r="F1432" i="1"/>
  <c r="H1432" i="1"/>
  <c r="E1433" i="1"/>
  <c r="F1433" i="1"/>
  <c r="H1433" i="1"/>
  <c r="E1434" i="1"/>
  <c r="F1434" i="1"/>
  <c r="H1434" i="1"/>
  <c r="E1435" i="1"/>
  <c r="F1435" i="1"/>
  <c r="H1435" i="1"/>
  <c r="E1436" i="1"/>
  <c r="F1436" i="1"/>
  <c r="H1436" i="1"/>
  <c r="E1437" i="1"/>
  <c r="F1437" i="1"/>
  <c r="H1437" i="1"/>
  <c r="E1438" i="1"/>
  <c r="F1438" i="1"/>
  <c r="H1438" i="1"/>
  <c r="E1439" i="1"/>
  <c r="F1439" i="1"/>
  <c r="H1439" i="1"/>
  <c r="E1440" i="1"/>
  <c r="F1440" i="1"/>
  <c r="H1440" i="1"/>
  <c r="E1441" i="1"/>
  <c r="F1441" i="1"/>
  <c r="H1441" i="1"/>
  <c r="E1442" i="1"/>
  <c r="F1442" i="1"/>
  <c r="H1442" i="1"/>
  <c r="E1443" i="1"/>
  <c r="F1443" i="1"/>
  <c r="H1443" i="1"/>
  <c r="E1444" i="1"/>
  <c r="F1444" i="1"/>
  <c r="H1444" i="1"/>
  <c r="E1445" i="1"/>
  <c r="F1445" i="1"/>
  <c r="H1445" i="1"/>
  <c r="E1446" i="1"/>
  <c r="F1446" i="1"/>
  <c r="H1446" i="1"/>
  <c r="E1447" i="1"/>
  <c r="F1447" i="1"/>
  <c r="H1447" i="1"/>
  <c r="E1448" i="1"/>
  <c r="F1448" i="1"/>
  <c r="H1448" i="1"/>
  <c r="E1449" i="1"/>
  <c r="F1449" i="1"/>
  <c r="H1449" i="1"/>
  <c r="E1450" i="1"/>
  <c r="F1450" i="1"/>
  <c r="H1450" i="1"/>
  <c r="E1451" i="1"/>
  <c r="F1451" i="1"/>
  <c r="H1451" i="1"/>
  <c r="E1452" i="1"/>
  <c r="F1452" i="1"/>
  <c r="H1452" i="1"/>
  <c r="E1453" i="1"/>
  <c r="F1453" i="1"/>
  <c r="H1453" i="1"/>
  <c r="E1454" i="1"/>
  <c r="F1454" i="1"/>
  <c r="H1454" i="1"/>
  <c r="E1455" i="1"/>
  <c r="F1455" i="1"/>
  <c r="H1455" i="1"/>
  <c r="E1456" i="1"/>
  <c r="F1456" i="1"/>
  <c r="H1456" i="1"/>
  <c r="E1457" i="1"/>
  <c r="F1457" i="1"/>
  <c r="H1457" i="1"/>
  <c r="E1458" i="1"/>
  <c r="F1458" i="1"/>
  <c r="H1458" i="1"/>
  <c r="E1459" i="1"/>
  <c r="F1459" i="1"/>
  <c r="H1459" i="1"/>
  <c r="E1460" i="1"/>
  <c r="F1460" i="1"/>
  <c r="H1460" i="1"/>
  <c r="E1461" i="1"/>
  <c r="F1461" i="1"/>
  <c r="H1461" i="1"/>
  <c r="E1462" i="1"/>
  <c r="F1462" i="1"/>
  <c r="H1462" i="1"/>
  <c r="E1463" i="1"/>
  <c r="F1463" i="1"/>
  <c r="H1463" i="1"/>
  <c r="E1464" i="1"/>
  <c r="F1464" i="1"/>
  <c r="H1464" i="1"/>
  <c r="E1465" i="1"/>
  <c r="F1465" i="1"/>
  <c r="H1465" i="1"/>
  <c r="E1466" i="1"/>
  <c r="F1466" i="1"/>
  <c r="H1466" i="1"/>
  <c r="E1467" i="1"/>
  <c r="F1467" i="1"/>
  <c r="H1467" i="1"/>
  <c r="E1468" i="1"/>
  <c r="F1468" i="1"/>
  <c r="H1468" i="1"/>
  <c r="E1469" i="1"/>
  <c r="F1469" i="1"/>
  <c r="H1469" i="1"/>
  <c r="E1470" i="1"/>
  <c r="F1470" i="1"/>
  <c r="H1470" i="1"/>
  <c r="E1471" i="1"/>
  <c r="F1471" i="1"/>
  <c r="H1471" i="1"/>
  <c r="E1472" i="1"/>
  <c r="F1472" i="1"/>
  <c r="H1472" i="1"/>
  <c r="E1473" i="1"/>
  <c r="F1473" i="1"/>
  <c r="H1473" i="1"/>
  <c r="E1474" i="1"/>
  <c r="F1474" i="1"/>
  <c r="H1474" i="1"/>
  <c r="E1475" i="1"/>
  <c r="F1475" i="1"/>
  <c r="H1475" i="1"/>
  <c r="E1476" i="1"/>
  <c r="F1476" i="1"/>
  <c r="H1476" i="1"/>
  <c r="E1477" i="1"/>
  <c r="F1477" i="1"/>
  <c r="H1477" i="1"/>
  <c r="E1478" i="1"/>
  <c r="F1478" i="1"/>
  <c r="H1478" i="1"/>
  <c r="E1479" i="1"/>
  <c r="F1479" i="1"/>
  <c r="H1479" i="1"/>
  <c r="E1480" i="1"/>
  <c r="F1480" i="1"/>
  <c r="H1480" i="1"/>
  <c r="E1481" i="1"/>
  <c r="F1481" i="1"/>
  <c r="H1481" i="1"/>
  <c r="E1482" i="1"/>
  <c r="F1482" i="1"/>
  <c r="H1482" i="1"/>
  <c r="E1483" i="1"/>
  <c r="F1483" i="1"/>
  <c r="H1483" i="1"/>
  <c r="E1484" i="1"/>
  <c r="F1484" i="1"/>
  <c r="H1484" i="1"/>
  <c r="E1485" i="1"/>
  <c r="F1485" i="1"/>
  <c r="H1485" i="1"/>
  <c r="E1486" i="1"/>
  <c r="F1486" i="1"/>
  <c r="H1486" i="1"/>
  <c r="E1487" i="1"/>
  <c r="F1487" i="1"/>
  <c r="H1487" i="1"/>
  <c r="E1488" i="1"/>
  <c r="F1488" i="1"/>
  <c r="H1488" i="1"/>
  <c r="E1489" i="1"/>
  <c r="F1489" i="1"/>
  <c r="H1489" i="1"/>
  <c r="E1490" i="1"/>
  <c r="F1490" i="1"/>
  <c r="H1490" i="1"/>
  <c r="E1491" i="1"/>
  <c r="F1491" i="1"/>
  <c r="H1491" i="1"/>
  <c r="E1492" i="1"/>
  <c r="F1492" i="1"/>
  <c r="H1492" i="1"/>
  <c r="E1493" i="1"/>
  <c r="F1493" i="1"/>
  <c r="H1493" i="1"/>
  <c r="E1494" i="1"/>
  <c r="F1494" i="1"/>
  <c r="H1494" i="1"/>
  <c r="E1495" i="1"/>
  <c r="F1495" i="1"/>
  <c r="H1495" i="1"/>
  <c r="E1496" i="1"/>
  <c r="F1496" i="1"/>
  <c r="H1496" i="1"/>
  <c r="E1497" i="1"/>
  <c r="F1497" i="1"/>
  <c r="H1497" i="1"/>
  <c r="E1498" i="1"/>
  <c r="F1498" i="1"/>
  <c r="H1498" i="1"/>
  <c r="E1499" i="1"/>
  <c r="F1499" i="1"/>
  <c r="H1499" i="1"/>
  <c r="E1500" i="1"/>
  <c r="F1500" i="1"/>
  <c r="H1500" i="1"/>
  <c r="E1501" i="1"/>
  <c r="F1501" i="1"/>
  <c r="H1501" i="1"/>
  <c r="E1502" i="1"/>
  <c r="F1502" i="1"/>
  <c r="H1502" i="1"/>
  <c r="E1503" i="1"/>
  <c r="F1503" i="1"/>
  <c r="H1503" i="1"/>
  <c r="E1504" i="1"/>
  <c r="F1504" i="1"/>
  <c r="H1504" i="1"/>
  <c r="E1505" i="1"/>
  <c r="F1505" i="1"/>
  <c r="H1505" i="1"/>
  <c r="E1506" i="1"/>
  <c r="F1506" i="1"/>
  <c r="H1506" i="1"/>
  <c r="E1507" i="1"/>
  <c r="F1507" i="1"/>
  <c r="H1507" i="1"/>
  <c r="E1508" i="1"/>
  <c r="F1508" i="1"/>
  <c r="H1508" i="1"/>
  <c r="E1509" i="1"/>
  <c r="F1509" i="1"/>
  <c r="H1509" i="1"/>
  <c r="E1510" i="1"/>
  <c r="F1510" i="1"/>
  <c r="H1510" i="1"/>
  <c r="E1511" i="1"/>
  <c r="F1511" i="1"/>
  <c r="H1511" i="1"/>
  <c r="E1512" i="1"/>
  <c r="F1512" i="1"/>
  <c r="H1512" i="1"/>
  <c r="E1513" i="1"/>
  <c r="F1513" i="1"/>
  <c r="H1513" i="1"/>
  <c r="E1514" i="1"/>
  <c r="F1514" i="1"/>
  <c r="H1514" i="1"/>
  <c r="E1515" i="1"/>
  <c r="F1515" i="1"/>
  <c r="H1515" i="1"/>
  <c r="E1516" i="1"/>
  <c r="F1516" i="1"/>
  <c r="H1516" i="1"/>
  <c r="E1517" i="1"/>
  <c r="F1517" i="1"/>
  <c r="H1517" i="1"/>
  <c r="E1518" i="1"/>
  <c r="F1518" i="1"/>
  <c r="H1518" i="1"/>
  <c r="E1519" i="1"/>
  <c r="F1519" i="1"/>
  <c r="H1519" i="1"/>
  <c r="E1520" i="1"/>
  <c r="F1520" i="1"/>
  <c r="H1520" i="1"/>
  <c r="E1521" i="1"/>
  <c r="F1521" i="1"/>
  <c r="H1521" i="1"/>
  <c r="E1522" i="1"/>
  <c r="F1522" i="1"/>
  <c r="H1522" i="1"/>
  <c r="E1523" i="1"/>
  <c r="F1523" i="1"/>
  <c r="H1523" i="1"/>
  <c r="E1524" i="1"/>
  <c r="F1524" i="1"/>
  <c r="H1524" i="1"/>
  <c r="E1525" i="1"/>
  <c r="F1525" i="1"/>
  <c r="H1525" i="1"/>
  <c r="E1526" i="1"/>
  <c r="F1526" i="1"/>
  <c r="H1526" i="1"/>
  <c r="E1527" i="1"/>
  <c r="F1527" i="1"/>
  <c r="H1527" i="1"/>
  <c r="E1528" i="1"/>
  <c r="F1528" i="1"/>
  <c r="H1528" i="1"/>
  <c r="E1529" i="1"/>
  <c r="F1529" i="1"/>
  <c r="H1529" i="1"/>
  <c r="E1530" i="1"/>
  <c r="F1530" i="1"/>
  <c r="H1530" i="1"/>
  <c r="E1531" i="1"/>
  <c r="F1531" i="1"/>
  <c r="H1531" i="1"/>
  <c r="E1532" i="1"/>
  <c r="F1532" i="1"/>
  <c r="H1532" i="1"/>
  <c r="E1533" i="1"/>
  <c r="F1533" i="1"/>
  <c r="H1533" i="1"/>
  <c r="E1534" i="1"/>
  <c r="F1534" i="1"/>
  <c r="H1534" i="1"/>
  <c r="E1535" i="1"/>
  <c r="F1535" i="1"/>
  <c r="H1535" i="1"/>
  <c r="E1536" i="1"/>
  <c r="F1536" i="1"/>
  <c r="H1536" i="1"/>
  <c r="E1537" i="1"/>
  <c r="F1537" i="1"/>
  <c r="H1537" i="1"/>
  <c r="E1538" i="1"/>
  <c r="F1538" i="1"/>
  <c r="H1538" i="1"/>
  <c r="E1539" i="1"/>
  <c r="F1539" i="1"/>
  <c r="H1539" i="1"/>
  <c r="E1540" i="1"/>
  <c r="F1540" i="1"/>
  <c r="H1540" i="1"/>
  <c r="E1541" i="1"/>
  <c r="F1541" i="1"/>
  <c r="H1541" i="1"/>
  <c r="E1542" i="1"/>
  <c r="F1542" i="1"/>
  <c r="H1542" i="1"/>
  <c r="E1543" i="1"/>
  <c r="F1543" i="1"/>
  <c r="H1543" i="1"/>
  <c r="E1544" i="1"/>
  <c r="F1544" i="1"/>
  <c r="H1544" i="1"/>
  <c r="E1545" i="1"/>
  <c r="F1545" i="1"/>
  <c r="H1545" i="1"/>
  <c r="E1546" i="1"/>
  <c r="F1546" i="1"/>
  <c r="H1546" i="1"/>
  <c r="E1547" i="1"/>
  <c r="F1547" i="1"/>
  <c r="H1547" i="1"/>
  <c r="E1548" i="1"/>
  <c r="F1548" i="1"/>
  <c r="H1548" i="1"/>
  <c r="E1549" i="1"/>
  <c r="F1549" i="1"/>
  <c r="H1549" i="1"/>
  <c r="E1550" i="1"/>
  <c r="F1550" i="1"/>
  <c r="H1550" i="1"/>
  <c r="E1551" i="1"/>
  <c r="F1551" i="1"/>
  <c r="H1551" i="1"/>
  <c r="E1552" i="1"/>
  <c r="F1552" i="1"/>
  <c r="H1552" i="1"/>
  <c r="E1553" i="1"/>
  <c r="F1553" i="1"/>
  <c r="H1553" i="1"/>
  <c r="E1554" i="1"/>
  <c r="F1554" i="1"/>
  <c r="H1554" i="1"/>
  <c r="E1555" i="1"/>
  <c r="F1555" i="1"/>
  <c r="H1555" i="1"/>
  <c r="E1556" i="1"/>
  <c r="F1556" i="1"/>
  <c r="H1556" i="1"/>
  <c r="E1557" i="1"/>
  <c r="F1557" i="1"/>
  <c r="H1557" i="1"/>
  <c r="E1558" i="1"/>
  <c r="F1558" i="1"/>
  <c r="H1558" i="1"/>
  <c r="E1559" i="1"/>
  <c r="F1559" i="1"/>
  <c r="H1559" i="1"/>
  <c r="E1560" i="1"/>
  <c r="F1560" i="1"/>
  <c r="H1560" i="1"/>
  <c r="E1561" i="1"/>
  <c r="F1561" i="1"/>
  <c r="H1561" i="1"/>
  <c r="E1562" i="1"/>
  <c r="F1562" i="1"/>
  <c r="H1562" i="1"/>
  <c r="E1563" i="1"/>
  <c r="F1563" i="1"/>
  <c r="H1563" i="1"/>
  <c r="E1564" i="1"/>
  <c r="F1564" i="1"/>
  <c r="H1564" i="1"/>
  <c r="E1565" i="1"/>
  <c r="F1565" i="1"/>
  <c r="H1565" i="1"/>
  <c r="E1566" i="1"/>
  <c r="F1566" i="1"/>
  <c r="H1566" i="1"/>
  <c r="E1567" i="1"/>
  <c r="F1567" i="1"/>
  <c r="H1567" i="1"/>
  <c r="E1568" i="1"/>
  <c r="F1568" i="1"/>
  <c r="H1568" i="1"/>
  <c r="E1569" i="1"/>
  <c r="F1569" i="1"/>
  <c r="H1569" i="1"/>
  <c r="E1570" i="1"/>
  <c r="F1570" i="1"/>
  <c r="H1570" i="1"/>
  <c r="E1571" i="1"/>
  <c r="F1571" i="1"/>
  <c r="H1571" i="1"/>
  <c r="E1572" i="1"/>
  <c r="F1572" i="1"/>
  <c r="H1572" i="1"/>
  <c r="E1573" i="1"/>
  <c r="F1573" i="1"/>
  <c r="H1573" i="1"/>
  <c r="E1574" i="1"/>
  <c r="F1574" i="1"/>
  <c r="H1574" i="1"/>
  <c r="E1575" i="1"/>
  <c r="F1575" i="1"/>
  <c r="H1575" i="1"/>
  <c r="E1576" i="1"/>
  <c r="F1576" i="1"/>
  <c r="H1576" i="1"/>
  <c r="E1577" i="1"/>
  <c r="F1577" i="1"/>
  <c r="H1577" i="1"/>
  <c r="E1578" i="1"/>
  <c r="F1578" i="1"/>
  <c r="H1578" i="1"/>
  <c r="E1579" i="1"/>
  <c r="F1579" i="1"/>
  <c r="H1579" i="1"/>
  <c r="E1580" i="1"/>
  <c r="F1580" i="1"/>
  <c r="H1580" i="1"/>
  <c r="E1581" i="1"/>
  <c r="F1581" i="1"/>
  <c r="H1581" i="1"/>
  <c r="E1582" i="1"/>
  <c r="F1582" i="1"/>
  <c r="H1582" i="1"/>
  <c r="E1583" i="1"/>
  <c r="F1583" i="1"/>
  <c r="H1583" i="1"/>
  <c r="E1584" i="1"/>
  <c r="F1584" i="1"/>
  <c r="H1584" i="1"/>
  <c r="E1585" i="1"/>
  <c r="F1585" i="1"/>
  <c r="H1585" i="1"/>
  <c r="E1586" i="1"/>
  <c r="F1586" i="1"/>
  <c r="H1586" i="1"/>
  <c r="E1587" i="1"/>
  <c r="F1587" i="1"/>
  <c r="H1587" i="1"/>
  <c r="E1588" i="1"/>
  <c r="F1588" i="1"/>
  <c r="H1588" i="1"/>
  <c r="E1589" i="1"/>
  <c r="F1589" i="1"/>
  <c r="H1589" i="1"/>
  <c r="E1590" i="1"/>
  <c r="F1590" i="1"/>
  <c r="H1590" i="1"/>
  <c r="E1591" i="1"/>
  <c r="F1591" i="1"/>
  <c r="H1591" i="1"/>
  <c r="E1592" i="1"/>
  <c r="F1592" i="1"/>
  <c r="H1592" i="1"/>
  <c r="E1593" i="1"/>
  <c r="F1593" i="1"/>
  <c r="H1593" i="1"/>
  <c r="E1594" i="1"/>
  <c r="F1594" i="1"/>
  <c r="H1594" i="1"/>
  <c r="E1595" i="1"/>
  <c r="F1595" i="1"/>
  <c r="H1595" i="1"/>
  <c r="E1596" i="1"/>
  <c r="F1596" i="1"/>
  <c r="H1596" i="1"/>
  <c r="E1597" i="1"/>
  <c r="F1597" i="1"/>
  <c r="H1597" i="1"/>
  <c r="E1598" i="1"/>
  <c r="F1598" i="1"/>
  <c r="H1598" i="1"/>
  <c r="E1599" i="1"/>
  <c r="F1599" i="1"/>
  <c r="H1599" i="1"/>
  <c r="E1600" i="1"/>
  <c r="F1600" i="1"/>
  <c r="H1600" i="1"/>
  <c r="E1601" i="1"/>
  <c r="F1601" i="1"/>
  <c r="H1601" i="1"/>
  <c r="E1602" i="1"/>
  <c r="F1602" i="1"/>
  <c r="H1602" i="1"/>
  <c r="E1603" i="1"/>
  <c r="F1603" i="1"/>
  <c r="H1603" i="1"/>
  <c r="E1604" i="1"/>
  <c r="F1604" i="1"/>
  <c r="H1604" i="1"/>
  <c r="E1605" i="1"/>
  <c r="F1605" i="1"/>
  <c r="H1605" i="1"/>
  <c r="E1606" i="1"/>
  <c r="F1606" i="1"/>
  <c r="H1606" i="1"/>
  <c r="E1607" i="1"/>
  <c r="F1607" i="1"/>
  <c r="H1607" i="1"/>
  <c r="E1608" i="1"/>
  <c r="F1608" i="1"/>
  <c r="H1608" i="1"/>
  <c r="E1609" i="1"/>
  <c r="F1609" i="1"/>
  <c r="H1609" i="1"/>
  <c r="E1610" i="1"/>
  <c r="F1610" i="1"/>
  <c r="H1610" i="1"/>
  <c r="E1611" i="1"/>
  <c r="F1611" i="1"/>
  <c r="H1611" i="1"/>
  <c r="E1612" i="1"/>
  <c r="F1612" i="1"/>
  <c r="H1612" i="1"/>
  <c r="E1613" i="1"/>
  <c r="F1613" i="1"/>
  <c r="H1613" i="1"/>
  <c r="E1614" i="1"/>
  <c r="F1614" i="1"/>
  <c r="H1614" i="1"/>
  <c r="E1615" i="1"/>
  <c r="F1615" i="1"/>
  <c r="H1615" i="1"/>
  <c r="E1616" i="1"/>
  <c r="F1616" i="1"/>
  <c r="H1616" i="1"/>
  <c r="E1617" i="1"/>
  <c r="F1617" i="1"/>
  <c r="H1617" i="1"/>
  <c r="E1618" i="1"/>
  <c r="F1618" i="1"/>
  <c r="H1618" i="1"/>
  <c r="E1619" i="1"/>
  <c r="F1619" i="1"/>
  <c r="H1619" i="1"/>
  <c r="E1620" i="1"/>
  <c r="F1620" i="1"/>
  <c r="H1620" i="1"/>
  <c r="E1621" i="1"/>
  <c r="F1621" i="1"/>
  <c r="H1621" i="1"/>
  <c r="E1622" i="1"/>
  <c r="F1622" i="1"/>
  <c r="H1622" i="1"/>
  <c r="E1623" i="1"/>
  <c r="F1623" i="1"/>
  <c r="H1623" i="1"/>
  <c r="E1624" i="1"/>
  <c r="F1624" i="1"/>
  <c r="H1624" i="1"/>
  <c r="E1625" i="1"/>
  <c r="F1625" i="1"/>
  <c r="H1625" i="1"/>
  <c r="E1626" i="1"/>
  <c r="F1626" i="1"/>
  <c r="H1626" i="1"/>
  <c r="E1627" i="1"/>
  <c r="F1627" i="1"/>
  <c r="H1627" i="1"/>
  <c r="E1628" i="1"/>
  <c r="F1628" i="1"/>
  <c r="H1628" i="1"/>
  <c r="E1629" i="1"/>
  <c r="F1629" i="1"/>
  <c r="H1629" i="1"/>
  <c r="E1630" i="1"/>
  <c r="F1630" i="1"/>
  <c r="H1630" i="1"/>
  <c r="E1631" i="1"/>
  <c r="F1631" i="1"/>
  <c r="H1631" i="1"/>
  <c r="E1632" i="1"/>
  <c r="F1632" i="1"/>
  <c r="H1632" i="1"/>
  <c r="E1633" i="1"/>
  <c r="F1633" i="1"/>
  <c r="H1633" i="1"/>
  <c r="E1634" i="1"/>
  <c r="F1634" i="1"/>
  <c r="H1634" i="1"/>
  <c r="E1635" i="1"/>
  <c r="F1635" i="1"/>
  <c r="H1635" i="1"/>
  <c r="E1636" i="1"/>
  <c r="F1636" i="1"/>
  <c r="H1636" i="1"/>
  <c r="E1637" i="1"/>
  <c r="F1637" i="1"/>
  <c r="H1637" i="1"/>
  <c r="E1638" i="1"/>
  <c r="F1638" i="1"/>
  <c r="H1638" i="1"/>
  <c r="E1639" i="1"/>
  <c r="F1639" i="1"/>
  <c r="H1639" i="1"/>
  <c r="E1640" i="1"/>
  <c r="F1640" i="1"/>
  <c r="H1640" i="1"/>
  <c r="E1641" i="1"/>
  <c r="F1641" i="1"/>
  <c r="H1641" i="1"/>
  <c r="E1642" i="1"/>
  <c r="F1642" i="1"/>
  <c r="H1642" i="1"/>
  <c r="E1643" i="1"/>
  <c r="F1643" i="1"/>
  <c r="H1643" i="1"/>
  <c r="E1644" i="1"/>
  <c r="F1644" i="1"/>
  <c r="H1644" i="1"/>
  <c r="E1645" i="1"/>
  <c r="F1645" i="1"/>
  <c r="H1645" i="1"/>
  <c r="E1646" i="1"/>
  <c r="F1646" i="1"/>
  <c r="H1646" i="1"/>
  <c r="E1647" i="1"/>
  <c r="F1647" i="1"/>
  <c r="H1647" i="1"/>
  <c r="E1648" i="1"/>
  <c r="F1648" i="1"/>
  <c r="H1648" i="1"/>
  <c r="E1649" i="1"/>
  <c r="F1649" i="1"/>
  <c r="H1649" i="1"/>
  <c r="E1650" i="1"/>
  <c r="F1650" i="1"/>
  <c r="H1650" i="1"/>
  <c r="E1651" i="1"/>
  <c r="F1651" i="1"/>
  <c r="H1651" i="1"/>
  <c r="E1652" i="1"/>
  <c r="F1652" i="1"/>
  <c r="H1652" i="1"/>
  <c r="E1653" i="1"/>
  <c r="F1653" i="1"/>
  <c r="H1653" i="1"/>
  <c r="E1654" i="1"/>
  <c r="F1654" i="1"/>
  <c r="H1654" i="1"/>
  <c r="E1655" i="1"/>
  <c r="F1655" i="1"/>
  <c r="H1655" i="1"/>
  <c r="E1656" i="1"/>
  <c r="F1656" i="1"/>
  <c r="H1656" i="1"/>
  <c r="E1657" i="1"/>
  <c r="F1657" i="1"/>
  <c r="H1657" i="1"/>
  <c r="E1658" i="1"/>
  <c r="F1658" i="1"/>
  <c r="H1658" i="1"/>
  <c r="E1659" i="1"/>
  <c r="F1659" i="1"/>
  <c r="H1659" i="1"/>
  <c r="E1660" i="1"/>
  <c r="F1660" i="1"/>
  <c r="H1660" i="1"/>
  <c r="E1661" i="1"/>
  <c r="F1661" i="1"/>
  <c r="H1661" i="1"/>
  <c r="E1662" i="1"/>
  <c r="F1662" i="1"/>
  <c r="H1662" i="1"/>
  <c r="E1663" i="1"/>
  <c r="F1663" i="1"/>
  <c r="H1663" i="1"/>
  <c r="E1664" i="1"/>
  <c r="F1664" i="1"/>
  <c r="H1664" i="1"/>
  <c r="E1665" i="1"/>
  <c r="F1665" i="1"/>
  <c r="H1665" i="1"/>
  <c r="E1666" i="1"/>
  <c r="F1666" i="1"/>
  <c r="H1666" i="1"/>
  <c r="E1667" i="1"/>
  <c r="F1667" i="1"/>
  <c r="H1667" i="1"/>
  <c r="E1668" i="1"/>
  <c r="F1668" i="1"/>
  <c r="H1668" i="1"/>
  <c r="E1669" i="1"/>
  <c r="F1669" i="1"/>
  <c r="H1669" i="1"/>
  <c r="E1670" i="1"/>
  <c r="F1670" i="1"/>
  <c r="H1670" i="1"/>
  <c r="E1671" i="1"/>
  <c r="F1671" i="1"/>
  <c r="H1671" i="1"/>
  <c r="E1672" i="1"/>
  <c r="F1672" i="1"/>
  <c r="H1672" i="1"/>
  <c r="E1673" i="1"/>
  <c r="F1673" i="1"/>
  <c r="H1673" i="1"/>
  <c r="E1674" i="1"/>
  <c r="F1674" i="1"/>
  <c r="H1674" i="1"/>
  <c r="E1675" i="1"/>
  <c r="F1675" i="1"/>
  <c r="H1675" i="1"/>
  <c r="E1676" i="1"/>
  <c r="F1676" i="1"/>
  <c r="H1676" i="1"/>
  <c r="E1677" i="1"/>
  <c r="F1677" i="1"/>
  <c r="H1677" i="1"/>
  <c r="E1678" i="1"/>
  <c r="F1678" i="1"/>
  <c r="H1678" i="1"/>
  <c r="E1679" i="1"/>
  <c r="F1679" i="1"/>
  <c r="H1679" i="1"/>
  <c r="E1680" i="1"/>
  <c r="F1680" i="1"/>
  <c r="H1680" i="1"/>
  <c r="E1681" i="1"/>
  <c r="F1681" i="1"/>
  <c r="H1681" i="1"/>
  <c r="E1682" i="1"/>
  <c r="F1682" i="1"/>
  <c r="H1682" i="1"/>
  <c r="E1683" i="1"/>
  <c r="F1683" i="1"/>
  <c r="H1683" i="1"/>
  <c r="E1684" i="1"/>
  <c r="F1684" i="1"/>
  <c r="H1684" i="1"/>
  <c r="E1685" i="1"/>
  <c r="F1685" i="1"/>
  <c r="H1685" i="1"/>
  <c r="E1686" i="1"/>
  <c r="F1686" i="1"/>
  <c r="H1686" i="1"/>
  <c r="E1687" i="1"/>
  <c r="F1687" i="1"/>
  <c r="H1687" i="1"/>
  <c r="E1688" i="1"/>
  <c r="F1688" i="1"/>
  <c r="H1688" i="1"/>
  <c r="E1689" i="1"/>
  <c r="F1689" i="1"/>
  <c r="H1689" i="1"/>
  <c r="E1690" i="1"/>
  <c r="F1690" i="1"/>
  <c r="H1690" i="1"/>
  <c r="E1691" i="1"/>
  <c r="F1691" i="1"/>
  <c r="H1691" i="1"/>
  <c r="E1692" i="1"/>
  <c r="F1692" i="1"/>
  <c r="H1692" i="1"/>
  <c r="E1693" i="1"/>
  <c r="F1693" i="1"/>
  <c r="H1693" i="1"/>
  <c r="E1694" i="1"/>
  <c r="F1694" i="1"/>
  <c r="H1694" i="1"/>
  <c r="E1695" i="1"/>
  <c r="F1695" i="1"/>
  <c r="H1695" i="1"/>
  <c r="E1696" i="1"/>
  <c r="F1696" i="1"/>
  <c r="H1696" i="1"/>
  <c r="E1697" i="1"/>
  <c r="F1697" i="1"/>
  <c r="H1697" i="1"/>
  <c r="E1698" i="1"/>
  <c r="F1698" i="1"/>
  <c r="H1698" i="1"/>
  <c r="E1699" i="1"/>
  <c r="F1699" i="1"/>
  <c r="H1699" i="1"/>
  <c r="E1700" i="1"/>
  <c r="F1700" i="1"/>
  <c r="H1700" i="1"/>
  <c r="E1701" i="1"/>
  <c r="F1701" i="1"/>
  <c r="H1701" i="1"/>
  <c r="E1702" i="1"/>
  <c r="F1702" i="1"/>
  <c r="H1702" i="1"/>
  <c r="E1703" i="1"/>
  <c r="F1703" i="1"/>
  <c r="H1703" i="1"/>
  <c r="E1704" i="1"/>
  <c r="F1704" i="1"/>
  <c r="H1704" i="1"/>
  <c r="E1705" i="1"/>
  <c r="F1705" i="1"/>
  <c r="H1705" i="1"/>
  <c r="E1706" i="1"/>
  <c r="F1706" i="1"/>
  <c r="H1706" i="1"/>
  <c r="E1707" i="1"/>
  <c r="F1707" i="1"/>
  <c r="H1707" i="1"/>
  <c r="E1708" i="1"/>
  <c r="F1708" i="1"/>
  <c r="H1708" i="1"/>
  <c r="E1709" i="1"/>
  <c r="F1709" i="1"/>
  <c r="H1709" i="1"/>
  <c r="E1710" i="1"/>
  <c r="F1710" i="1"/>
  <c r="H1710" i="1"/>
  <c r="E1711" i="1"/>
  <c r="F1711" i="1"/>
  <c r="H1711" i="1"/>
  <c r="E1712" i="1"/>
  <c r="F1712" i="1"/>
  <c r="H1712" i="1"/>
  <c r="E1713" i="1"/>
  <c r="F1713" i="1"/>
  <c r="H1713" i="1"/>
  <c r="E1714" i="1"/>
  <c r="F1714" i="1"/>
  <c r="H1714" i="1"/>
  <c r="E1715" i="1"/>
  <c r="F1715" i="1"/>
  <c r="H1715" i="1"/>
  <c r="E1716" i="1"/>
  <c r="F1716" i="1"/>
  <c r="H1716" i="1"/>
  <c r="E1717" i="1"/>
  <c r="F1717" i="1"/>
  <c r="H1717" i="1"/>
  <c r="E1718" i="1"/>
  <c r="F1718" i="1"/>
  <c r="H1718" i="1"/>
  <c r="E1719" i="1"/>
  <c r="F1719" i="1"/>
  <c r="H1719" i="1"/>
  <c r="E1720" i="1"/>
  <c r="F1720" i="1"/>
  <c r="H1720" i="1"/>
  <c r="E1721" i="1"/>
  <c r="F1721" i="1"/>
  <c r="H1721" i="1"/>
  <c r="E1722" i="1"/>
  <c r="F1722" i="1"/>
  <c r="H1722" i="1"/>
  <c r="E1723" i="1"/>
  <c r="F1723" i="1"/>
  <c r="H1723" i="1"/>
  <c r="E1724" i="1"/>
  <c r="F1724" i="1"/>
  <c r="H1724" i="1"/>
  <c r="E1725" i="1"/>
  <c r="F1725" i="1"/>
  <c r="H1725" i="1"/>
  <c r="E1726" i="1"/>
  <c r="F1726" i="1"/>
  <c r="H1726" i="1"/>
  <c r="E1727" i="1"/>
  <c r="F1727" i="1"/>
  <c r="H1727" i="1"/>
  <c r="E1728" i="1"/>
  <c r="F1728" i="1"/>
  <c r="H1728" i="1"/>
  <c r="E1729" i="1"/>
  <c r="F1729" i="1"/>
  <c r="H1729" i="1"/>
  <c r="E1730" i="1"/>
  <c r="F1730" i="1"/>
  <c r="H1730" i="1"/>
  <c r="E1731" i="1"/>
  <c r="F1731" i="1"/>
  <c r="H1731" i="1"/>
  <c r="E1732" i="1"/>
  <c r="F1732" i="1"/>
  <c r="H1732" i="1"/>
  <c r="E1733" i="1"/>
  <c r="F1733" i="1"/>
  <c r="H1733" i="1"/>
  <c r="E1734" i="1"/>
  <c r="F1734" i="1"/>
  <c r="H1734" i="1"/>
  <c r="E1735" i="1"/>
  <c r="F1735" i="1"/>
  <c r="H1735" i="1"/>
  <c r="E1736" i="1"/>
  <c r="F1736" i="1"/>
  <c r="H1736" i="1"/>
  <c r="E1737" i="1"/>
  <c r="F1737" i="1"/>
  <c r="H1737" i="1"/>
  <c r="E1738" i="1"/>
  <c r="F1738" i="1"/>
  <c r="H1738" i="1"/>
  <c r="E1739" i="1"/>
  <c r="F1739" i="1"/>
  <c r="H1739" i="1"/>
  <c r="E1740" i="1"/>
  <c r="F1740" i="1"/>
  <c r="H1740" i="1"/>
  <c r="E1741" i="1"/>
  <c r="F1741" i="1"/>
  <c r="H1741" i="1"/>
  <c r="E1742" i="1"/>
  <c r="F1742" i="1"/>
  <c r="H1742" i="1"/>
  <c r="E1743" i="1"/>
  <c r="F1743" i="1"/>
  <c r="H1743" i="1"/>
  <c r="E1744" i="1"/>
  <c r="F1744" i="1"/>
  <c r="H1744" i="1"/>
  <c r="E1745" i="1"/>
  <c r="F1745" i="1"/>
  <c r="H1745" i="1"/>
  <c r="E1746" i="1"/>
  <c r="F1746" i="1"/>
  <c r="H1746" i="1"/>
  <c r="E1747" i="1"/>
  <c r="F1747" i="1"/>
  <c r="H1747" i="1"/>
  <c r="E1748" i="1"/>
  <c r="F1748" i="1"/>
  <c r="H1748" i="1"/>
  <c r="E1749" i="1"/>
  <c r="F1749" i="1"/>
  <c r="H1749" i="1"/>
  <c r="E1750" i="1"/>
  <c r="F1750" i="1"/>
  <c r="H1750" i="1"/>
  <c r="E1751" i="1"/>
  <c r="F1751" i="1"/>
  <c r="H1751" i="1"/>
  <c r="E1752" i="1"/>
  <c r="F1752" i="1"/>
  <c r="H1752" i="1"/>
  <c r="E1753" i="1"/>
  <c r="F1753" i="1"/>
  <c r="H1753" i="1"/>
  <c r="E1754" i="1"/>
  <c r="F1754" i="1"/>
  <c r="H1754" i="1"/>
  <c r="E1755" i="1"/>
  <c r="F1755" i="1"/>
  <c r="H1755" i="1"/>
  <c r="E1756" i="1"/>
  <c r="F1756" i="1"/>
  <c r="H1756" i="1"/>
  <c r="E1757" i="1"/>
  <c r="F1757" i="1"/>
  <c r="H1757" i="1"/>
  <c r="E1758" i="1"/>
  <c r="F1758" i="1"/>
  <c r="H1758" i="1"/>
  <c r="E1759" i="1"/>
  <c r="F1759" i="1"/>
  <c r="H1759" i="1"/>
  <c r="E1760" i="1"/>
  <c r="F1760" i="1"/>
  <c r="H1760" i="1"/>
  <c r="E1761" i="1"/>
  <c r="F1761" i="1"/>
  <c r="H1761" i="1"/>
  <c r="E1762" i="1"/>
  <c r="F1762" i="1"/>
  <c r="H1762" i="1"/>
  <c r="E1763" i="1"/>
  <c r="F1763" i="1"/>
  <c r="H1763" i="1"/>
  <c r="E1764" i="1"/>
  <c r="F1764" i="1"/>
  <c r="H1764" i="1"/>
  <c r="E1765" i="1"/>
  <c r="F1765" i="1"/>
  <c r="H1765" i="1"/>
  <c r="E1766" i="1"/>
  <c r="F1766" i="1"/>
  <c r="H1766" i="1"/>
  <c r="E1767" i="1"/>
  <c r="F1767" i="1"/>
  <c r="H1767" i="1"/>
  <c r="E1768" i="1"/>
  <c r="F1768" i="1"/>
  <c r="H1768" i="1"/>
  <c r="E1769" i="1"/>
  <c r="F1769" i="1"/>
  <c r="H1769" i="1"/>
  <c r="E1770" i="1"/>
  <c r="F1770" i="1"/>
  <c r="H1770" i="1"/>
  <c r="E1771" i="1"/>
  <c r="F1771" i="1"/>
  <c r="H1771" i="1"/>
  <c r="E1772" i="1"/>
  <c r="F1772" i="1"/>
  <c r="H1772" i="1"/>
  <c r="E1773" i="1"/>
  <c r="F1773" i="1"/>
  <c r="H1773" i="1"/>
  <c r="E1774" i="1"/>
  <c r="F1774" i="1"/>
  <c r="H1774" i="1"/>
  <c r="E1775" i="1"/>
  <c r="F1775" i="1"/>
  <c r="H1775" i="1"/>
  <c r="E1776" i="1"/>
  <c r="F1776" i="1"/>
  <c r="H1776" i="1"/>
  <c r="E1777" i="1"/>
  <c r="F1777" i="1"/>
  <c r="H1777" i="1"/>
  <c r="E1778" i="1"/>
  <c r="F1778" i="1"/>
  <c r="H1778" i="1"/>
  <c r="E1779" i="1"/>
  <c r="F1779" i="1"/>
  <c r="H1779" i="1"/>
  <c r="E1780" i="1"/>
  <c r="F1780" i="1"/>
  <c r="H1780" i="1"/>
  <c r="E1781" i="1"/>
  <c r="F1781" i="1"/>
  <c r="H1781" i="1"/>
  <c r="E1782" i="1"/>
  <c r="F1782" i="1"/>
  <c r="H1782" i="1"/>
  <c r="E1783" i="1"/>
  <c r="F1783" i="1"/>
  <c r="H1783" i="1"/>
  <c r="E1784" i="1"/>
  <c r="F1784" i="1"/>
  <c r="H1784" i="1"/>
  <c r="E1785" i="1"/>
  <c r="F1785" i="1"/>
  <c r="H1785" i="1"/>
  <c r="E1786" i="1"/>
  <c r="F1786" i="1"/>
  <c r="H1786" i="1"/>
  <c r="E1787" i="1"/>
  <c r="F1787" i="1"/>
  <c r="H1787" i="1"/>
  <c r="E1788" i="1"/>
  <c r="F1788" i="1"/>
  <c r="H1788" i="1"/>
  <c r="E1789" i="1"/>
  <c r="F1789" i="1"/>
  <c r="H1789" i="1"/>
  <c r="E1790" i="1"/>
  <c r="F1790" i="1"/>
  <c r="H1790" i="1"/>
  <c r="E1791" i="1"/>
  <c r="F1791" i="1"/>
  <c r="H1791" i="1"/>
  <c r="E1792" i="1"/>
  <c r="F1792" i="1"/>
  <c r="H1792" i="1"/>
  <c r="E1793" i="1"/>
  <c r="F1793" i="1"/>
  <c r="H1793" i="1"/>
  <c r="E1794" i="1"/>
  <c r="F1794" i="1"/>
  <c r="H1794" i="1"/>
  <c r="E1795" i="1"/>
  <c r="F1795" i="1"/>
  <c r="H1795" i="1"/>
  <c r="E1796" i="1"/>
  <c r="F1796" i="1"/>
  <c r="H1796" i="1"/>
  <c r="E1797" i="1"/>
  <c r="F1797" i="1"/>
  <c r="H1797" i="1"/>
  <c r="E1798" i="1"/>
  <c r="F1798" i="1"/>
  <c r="H1798" i="1"/>
  <c r="E1799" i="1"/>
  <c r="F1799" i="1"/>
  <c r="H1799" i="1"/>
  <c r="E1800" i="1"/>
  <c r="F1800" i="1"/>
  <c r="H1800" i="1"/>
  <c r="E1801" i="1"/>
  <c r="F1801" i="1"/>
  <c r="H1801" i="1"/>
  <c r="E1802" i="1"/>
  <c r="F1802" i="1"/>
  <c r="H1802" i="1"/>
  <c r="E1803" i="1"/>
  <c r="F1803" i="1"/>
  <c r="H1803" i="1"/>
  <c r="E1804" i="1"/>
  <c r="F1804" i="1"/>
  <c r="H1804" i="1"/>
  <c r="E1805" i="1"/>
  <c r="F1805" i="1"/>
  <c r="H1805" i="1"/>
  <c r="E1806" i="1"/>
  <c r="F1806" i="1"/>
  <c r="H1806" i="1"/>
  <c r="E1807" i="1"/>
  <c r="F1807" i="1"/>
  <c r="H1807" i="1"/>
  <c r="E1808" i="1"/>
  <c r="F1808" i="1"/>
  <c r="H1808" i="1"/>
  <c r="E1809" i="1"/>
  <c r="F1809" i="1"/>
  <c r="H1809" i="1"/>
  <c r="E1810" i="1"/>
  <c r="F1810" i="1"/>
  <c r="H1810" i="1"/>
  <c r="E1811" i="1"/>
  <c r="F1811" i="1"/>
  <c r="H1811" i="1"/>
  <c r="E1812" i="1"/>
  <c r="F1812" i="1"/>
  <c r="H1812" i="1"/>
  <c r="E1813" i="1"/>
  <c r="F1813" i="1"/>
  <c r="H1813" i="1"/>
  <c r="E1814" i="1"/>
  <c r="F1814" i="1"/>
  <c r="H1814" i="1"/>
  <c r="E1815" i="1"/>
  <c r="F1815" i="1"/>
  <c r="H1815" i="1"/>
  <c r="E1816" i="1"/>
  <c r="F1816" i="1"/>
  <c r="H1816" i="1"/>
  <c r="E1817" i="1"/>
  <c r="F1817" i="1"/>
  <c r="H1817" i="1"/>
  <c r="E1818" i="1"/>
  <c r="F1818" i="1"/>
  <c r="H1818" i="1"/>
  <c r="E1819" i="1"/>
  <c r="F1819" i="1"/>
  <c r="H1819" i="1"/>
  <c r="E1820" i="1"/>
  <c r="F1820" i="1"/>
  <c r="H1820" i="1"/>
  <c r="E1821" i="1"/>
  <c r="F1821" i="1"/>
  <c r="H1821" i="1"/>
  <c r="E1822" i="1"/>
  <c r="F1822" i="1"/>
  <c r="H1822" i="1"/>
  <c r="E1823" i="1"/>
  <c r="F1823" i="1"/>
  <c r="H1823" i="1"/>
  <c r="E1824" i="1"/>
  <c r="F1824" i="1"/>
  <c r="H1824" i="1"/>
  <c r="E1825" i="1"/>
  <c r="F1825" i="1"/>
  <c r="H1825" i="1"/>
  <c r="E1826" i="1"/>
  <c r="F1826" i="1"/>
  <c r="H1826" i="1"/>
  <c r="E1827" i="1"/>
  <c r="F1827" i="1"/>
  <c r="H1827" i="1"/>
  <c r="E1828" i="1"/>
  <c r="F1828" i="1"/>
  <c r="H1828" i="1"/>
  <c r="E1829" i="1"/>
  <c r="F1829" i="1"/>
  <c r="H1829" i="1"/>
  <c r="E1830" i="1"/>
  <c r="F1830" i="1"/>
  <c r="H1830" i="1"/>
  <c r="E1831" i="1"/>
  <c r="F1831" i="1"/>
  <c r="H1831" i="1"/>
  <c r="E1832" i="1"/>
  <c r="F1832" i="1"/>
  <c r="H1832" i="1"/>
  <c r="E1833" i="1"/>
  <c r="F1833" i="1"/>
  <c r="H1833" i="1"/>
  <c r="E1834" i="1"/>
  <c r="F1834" i="1"/>
  <c r="H1834" i="1"/>
  <c r="E1835" i="1"/>
  <c r="F1835" i="1"/>
  <c r="H1835" i="1"/>
  <c r="E1836" i="1"/>
  <c r="F1836" i="1"/>
  <c r="H1836" i="1"/>
  <c r="E1837" i="1"/>
  <c r="F1837" i="1"/>
  <c r="H1837" i="1"/>
  <c r="E1838" i="1"/>
  <c r="F1838" i="1"/>
  <c r="H1838" i="1"/>
  <c r="E1839" i="1"/>
  <c r="F1839" i="1"/>
  <c r="H1839" i="1"/>
  <c r="E1840" i="1"/>
  <c r="F1840" i="1"/>
  <c r="H1840" i="1"/>
  <c r="E1841" i="1"/>
  <c r="F1841" i="1"/>
  <c r="H1841" i="1"/>
  <c r="E1842" i="1"/>
  <c r="F1842" i="1"/>
  <c r="H1842" i="1"/>
  <c r="E1843" i="1"/>
  <c r="F1843" i="1"/>
  <c r="H1843" i="1"/>
  <c r="E1844" i="1"/>
  <c r="F1844" i="1"/>
  <c r="H1844" i="1"/>
  <c r="E1845" i="1"/>
  <c r="F1845" i="1"/>
  <c r="H1845" i="1"/>
  <c r="E1846" i="1"/>
  <c r="F1846" i="1"/>
  <c r="H1846" i="1"/>
  <c r="E1847" i="1"/>
  <c r="F1847" i="1"/>
  <c r="H1847" i="1"/>
  <c r="E1848" i="1"/>
  <c r="F1848" i="1"/>
  <c r="H1848" i="1"/>
  <c r="E1849" i="1"/>
  <c r="F1849" i="1"/>
  <c r="H1849" i="1"/>
  <c r="E1850" i="1"/>
  <c r="F1850" i="1"/>
  <c r="H1850" i="1"/>
  <c r="E1851" i="1"/>
  <c r="F1851" i="1"/>
  <c r="H1851" i="1"/>
  <c r="E1852" i="1"/>
  <c r="F1852" i="1"/>
  <c r="H1852" i="1"/>
  <c r="E1853" i="1"/>
  <c r="F1853" i="1"/>
  <c r="H1853" i="1"/>
  <c r="E1854" i="1"/>
  <c r="F1854" i="1"/>
  <c r="H1854" i="1"/>
  <c r="E1855" i="1"/>
  <c r="F1855" i="1"/>
  <c r="H1855" i="1"/>
  <c r="E1856" i="1"/>
  <c r="F1856" i="1"/>
  <c r="H1856" i="1"/>
  <c r="E1857" i="1"/>
  <c r="F1857" i="1"/>
  <c r="H1857" i="1"/>
  <c r="E1858" i="1"/>
  <c r="F1858" i="1"/>
  <c r="H1858" i="1"/>
  <c r="E1859" i="1"/>
  <c r="F1859" i="1"/>
  <c r="H1859" i="1"/>
  <c r="E1860" i="1"/>
  <c r="F1860" i="1"/>
  <c r="H1860" i="1"/>
  <c r="E1861" i="1"/>
  <c r="F1861" i="1"/>
  <c r="H1861" i="1"/>
  <c r="E1862" i="1"/>
  <c r="F1862" i="1"/>
  <c r="H1862" i="1"/>
  <c r="E1863" i="1"/>
  <c r="F1863" i="1"/>
  <c r="H1863" i="1"/>
  <c r="E1864" i="1"/>
  <c r="F1864" i="1"/>
  <c r="H1864" i="1"/>
  <c r="E1865" i="1"/>
  <c r="F1865" i="1"/>
  <c r="H1865" i="1"/>
  <c r="E1866" i="1"/>
  <c r="F1866" i="1"/>
  <c r="H1866" i="1"/>
  <c r="E1867" i="1"/>
  <c r="F1867" i="1"/>
  <c r="H1867" i="1"/>
  <c r="E1868" i="1"/>
  <c r="F1868" i="1"/>
  <c r="H1868" i="1"/>
  <c r="E1869" i="1"/>
  <c r="F1869" i="1"/>
  <c r="H1869" i="1"/>
  <c r="E1870" i="1"/>
  <c r="F1870" i="1"/>
  <c r="H1870" i="1"/>
  <c r="E1871" i="1"/>
  <c r="F1871" i="1"/>
  <c r="H1871" i="1"/>
  <c r="E1872" i="1"/>
  <c r="F1872" i="1"/>
  <c r="H1872" i="1"/>
  <c r="E1873" i="1"/>
  <c r="F1873" i="1"/>
  <c r="H1873" i="1"/>
  <c r="E1874" i="1"/>
  <c r="F1874" i="1"/>
  <c r="H1874" i="1"/>
  <c r="E1875" i="1"/>
  <c r="F1875" i="1"/>
  <c r="H1875" i="1"/>
  <c r="E1876" i="1"/>
  <c r="F1876" i="1"/>
  <c r="H1876" i="1"/>
  <c r="E1877" i="1"/>
  <c r="F1877" i="1"/>
  <c r="H1877" i="1"/>
  <c r="E1878" i="1"/>
  <c r="F1878" i="1"/>
  <c r="H1878" i="1"/>
  <c r="E1879" i="1"/>
  <c r="F1879" i="1"/>
  <c r="H1879" i="1"/>
  <c r="E1880" i="1"/>
  <c r="F1880" i="1"/>
  <c r="H1880" i="1"/>
  <c r="E1881" i="1"/>
  <c r="F1881" i="1"/>
  <c r="H1881" i="1"/>
  <c r="E1882" i="1"/>
  <c r="F1882" i="1"/>
  <c r="H1882" i="1"/>
  <c r="E1883" i="1"/>
  <c r="F1883" i="1"/>
  <c r="H1883" i="1"/>
  <c r="E1884" i="1"/>
  <c r="F1884" i="1"/>
  <c r="H1884" i="1"/>
  <c r="E1885" i="1"/>
  <c r="F1885" i="1"/>
  <c r="H1885" i="1"/>
  <c r="E1886" i="1"/>
  <c r="F1886" i="1"/>
  <c r="H1886" i="1"/>
  <c r="E1887" i="1"/>
  <c r="F1887" i="1"/>
  <c r="H1887" i="1"/>
  <c r="E1888" i="1"/>
  <c r="F1888" i="1"/>
  <c r="H1888" i="1"/>
  <c r="E1889" i="1"/>
  <c r="F1889" i="1"/>
  <c r="H1889" i="1"/>
  <c r="E1890" i="1"/>
  <c r="F1890" i="1"/>
  <c r="H1890" i="1"/>
  <c r="E1891" i="1"/>
  <c r="F1891" i="1"/>
  <c r="H1891" i="1"/>
  <c r="E1892" i="1"/>
  <c r="F1892" i="1"/>
  <c r="H1892" i="1"/>
  <c r="E1893" i="1"/>
  <c r="F1893" i="1"/>
  <c r="H1893" i="1"/>
  <c r="E1894" i="1"/>
  <c r="F1894" i="1"/>
  <c r="H1894" i="1"/>
  <c r="E1895" i="1"/>
  <c r="F1895" i="1"/>
  <c r="H1895" i="1"/>
  <c r="E1896" i="1"/>
  <c r="F1896" i="1"/>
  <c r="H1896" i="1"/>
  <c r="E1897" i="1"/>
  <c r="F1897" i="1"/>
  <c r="H1897" i="1"/>
  <c r="E1898" i="1"/>
  <c r="F1898" i="1"/>
  <c r="H1898" i="1"/>
  <c r="E1899" i="1"/>
  <c r="F1899" i="1"/>
  <c r="H1899" i="1"/>
  <c r="E1900" i="1"/>
  <c r="F1900" i="1"/>
  <c r="H1900" i="1"/>
  <c r="E1901" i="1"/>
  <c r="F1901" i="1"/>
  <c r="H1901" i="1"/>
  <c r="E1902" i="1"/>
  <c r="F1902" i="1"/>
  <c r="H1902" i="1"/>
  <c r="E1903" i="1"/>
  <c r="F1903" i="1"/>
  <c r="H1903" i="1"/>
  <c r="E1904" i="1"/>
  <c r="F1904" i="1"/>
  <c r="H1904" i="1"/>
  <c r="E1905" i="1"/>
  <c r="F1905" i="1"/>
  <c r="H1905" i="1"/>
  <c r="E1906" i="1"/>
  <c r="F1906" i="1"/>
  <c r="H1906" i="1"/>
  <c r="E1907" i="1"/>
  <c r="F1907" i="1"/>
  <c r="H1907" i="1"/>
  <c r="E1908" i="1"/>
  <c r="F1908" i="1"/>
  <c r="H1908" i="1"/>
  <c r="E1909" i="1"/>
  <c r="F1909" i="1"/>
  <c r="H1909" i="1"/>
  <c r="E1910" i="1"/>
  <c r="F1910" i="1"/>
  <c r="H1910" i="1"/>
  <c r="E1911" i="1"/>
  <c r="F1911" i="1"/>
  <c r="H1911" i="1"/>
  <c r="E1912" i="1"/>
  <c r="F1912" i="1"/>
  <c r="H1912" i="1"/>
  <c r="E1913" i="1"/>
  <c r="F1913" i="1"/>
  <c r="H1913" i="1"/>
  <c r="E1914" i="1"/>
  <c r="F1914" i="1"/>
  <c r="H1914" i="1"/>
  <c r="E1915" i="1"/>
  <c r="F1915" i="1"/>
  <c r="H1915" i="1"/>
  <c r="E1916" i="1"/>
  <c r="F1916" i="1"/>
  <c r="H1916" i="1"/>
  <c r="E1917" i="1"/>
  <c r="F1917" i="1"/>
  <c r="H1917" i="1"/>
  <c r="E1918" i="1"/>
  <c r="F1918" i="1"/>
  <c r="H1918" i="1"/>
  <c r="E1919" i="1"/>
  <c r="F1919" i="1"/>
  <c r="H1919" i="1"/>
  <c r="E1920" i="1"/>
  <c r="F1920" i="1"/>
  <c r="H1920" i="1"/>
  <c r="E1921" i="1"/>
  <c r="F1921" i="1"/>
  <c r="H1921" i="1"/>
  <c r="E1922" i="1"/>
  <c r="F1922" i="1"/>
  <c r="H1922" i="1"/>
  <c r="E1923" i="1"/>
  <c r="F1923" i="1"/>
  <c r="H1923" i="1"/>
  <c r="E1924" i="1"/>
  <c r="F1924" i="1"/>
  <c r="H1924" i="1"/>
  <c r="E1925" i="1"/>
  <c r="F1925" i="1"/>
  <c r="H1925" i="1"/>
  <c r="E1926" i="1"/>
  <c r="F1926" i="1"/>
  <c r="H1926" i="1"/>
  <c r="E1927" i="1"/>
  <c r="F1927" i="1"/>
  <c r="H1927" i="1"/>
  <c r="E1928" i="1"/>
  <c r="F1928" i="1"/>
  <c r="H1928" i="1"/>
  <c r="E1929" i="1"/>
  <c r="F1929" i="1"/>
  <c r="H1929" i="1"/>
  <c r="E1930" i="1"/>
  <c r="F1930" i="1"/>
  <c r="H1930" i="1"/>
  <c r="E1931" i="1"/>
  <c r="F1931" i="1"/>
  <c r="H1931" i="1"/>
  <c r="E1932" i="1"/>
  <c r="F1932" i="1"/>
  <c r="H1932" i="1"/>
  <c r="E1933" i="1"/>
  <c r="F1933" i="1"/>
  <c r="H1933" i="1"/>
  <c r="E1934" i="1"/>
  <c r="F1934" i="1"/>
  <c r="H1934" i="1"/>
  <c r="E1935" i="1"/>
  <c r="F1935" i="1"/>
  <c r="H1935" i="1"/>
  <c r="E1936" i="1"/>
  <c r="F1936" i="1"/>
  <c r="H1936" i="1"/>
  <c r="E1937" i="1"/>
  <c r="F1937" i="1"/>
  <c r="H1937" i="1"/>
  <c r="E1938" i="1"/>
  <c r="F1938" i="1"/>
  <c r="H1938" i="1"/>
  <c r="E1939" i="1"/>
  <c r="F1939" i="1"/>
  <c r="H1939" i="1"/>
  <c r="E1940" i="1"/>
  <c r="F1940" i="1"/>
  <c r="H1940" i="1"/>
  <c r="E1941" i="1"/>
  <c r="F1941" i="1"/>
  <c r="H1941" i="1"/>
  <c r="E1942" i="1"/>
  <c r="F1942" i="1"/>
  <c r="H1942" i="1"/>
  <c r="E1943" i="1"/>
  <c r="F1943" i="1"/>
  <c r="H1943" i="1"/>
  <c r="E1944" i="1"/>
  <c r="F1944" i="1"/>
  <c r="H1944" i="1"/>
  <c r="E1945" i="1"/>
  <c r="F1945" i="1"/>
  <c r="H1945" i="1"/>
  <c r="E1946" i="1"/>
  <c r="F1946" i="1"/>
  <c r="H1946" i="1"/>
  <c r="E1947" i="1"/>
  <c r="F1947" i="1"/>
  <c r="H1947" i="1"/>
  <c r="E1948" i="1"/>
  <c r="F1948" i="1"/>
  <c r="H1948" i="1"/>
  <c r="E1949" i="1"/>
  <c r="F1949" i="1"/>
  <c r="H1949" i="1"/>
  <c r="E1950" i="1"/>
  <c r="F1950" i="1"/>
  <c r="H1950" i="1"/>
  <c r="E1951" i="1"/>
  <c r="F1951" i="1"/>
  <c r="H1951" i="1"/>
  <c r="E1952" i="1"/>
  <c r="F1952" i="1"/>
  <c r="H1952" i="1"/>
  <c r="E1953" i="1"/>
  <c r="F1953" i="1"/>
  <c r="H1953" i="1"/>
  <c r="E1954" i="1"/>
  <c r="F1954" i="1"/>
  <c r="H1954" i="1"/>
  <c r="E1955" i="1"/>
  <c r="F1955" i="1"/>
  <c r="H1955" i="1"/>
  <c r="E1956" i="1"/>
  <c r="F1956" i="1"/>
  <c r="H1956" i="1"/>
  <c r="E1957" i="1"/>
  <c r="F1957" i="1"/>
  <c r="H1957" i="1"/>
  <c r="E1958" i="1"/>
  <c r="F1958" i="1"/>
  <c r="H1958" i="1"/>
  <c r="E1959" i="1"/>
  <c r="F1959" i="1"/>
  <c r="H1959" i="1"/>
  <c r="E1960" i="1"/>
  <c r="F1960" i="1"/>
  <c r="H1960" i="1"/>
  <c r="E1961" i="1"/>
  <c r="F1961" i="1"/>
  <c r="H1961" i="1"/>
  <c r="E1962" i="1"/>
  <c r="F1962" i="1"/>
  <c r="H1962" i="1"/>
  <c r="E1963" i="1"/>
  <c r="F1963" i="1"/>
  <c r="H1963" i="1"/>
  <c r="E1964" i="1"/>
  <c r="F1964" i="1"/>
  <c r="H1964" i="1"/>
  <c r="E1965" i="1"/>
  <c r="F1965" i="1"/>
  <c r="H1965" i="1"/>
  <c r="E1966" i="1"/>
  <c r="F1966" i="1"/>
  <c r="H1966" i="1"/>
  <c r="E1967" i="1"/>
  <c r="F1967" i="1"/>
  <c r="H1967" i="1"/>
  <c r="E1968" i="1"/>
  <c r="F1968" i="1"/>
  <c r="H1968" i="1"/>
  <c r="E1969" i="1"/>
  <c r="F1969" i="1"/>
  <c r="H1969" i="1"/>
  <c r="E1970" i="1"/>
  <c r="F1970" i="1"/>
  <c r="H1970" i="1"/>
  <c r="E1971" i="1"/>
  <c r="F1971" i="1"/>
  <c r="H1971" i="1"/>
  <c r="E1972" i="1"/>
  <c r="F1972" i="1"/>
  <c r="H1972" i="1"/>
  <c r="E1973" i="1"/>
  <c r="F1973" i="1"/>
  <c r="H1973" i="1"/>
  <c r="E1974" i="1"/>
  <c r="F1974" i="1"/>
  <c r="H1974" i="1"/>
  <c r="E1975" i="1"/>
  <c r="F1975" i="1"/>
  <c r="H1975" i="1"/>
  <c r="E1976" i="1"/>
  <c r="F1976" i="1"/>
  <c r="H1976" i="1"/>
  <c r="E1977" i="1"/>
  <c r="F1977" i="1"/>
  <c r="H1977" i="1"/>
  <c r="E1978" i="1"/>
  <c r="F1978" i="1"/>
  <c r="H1978" i="1"/>
  <c r="E1979" i="1"/>
  <c r="F1979" i="1"/>
  <c r="H1979" i="1"/>
  <c r="E1980" i="1"/>
  <c r="F1980" i="1"/>
  <c r="H1980" i="1"/>
  <c r="E1981" i="1"/>
  <c r="F1981" i="1"/>
  <c r="H1981" i="1"/>
  <c r="E1982" i="1"/>
  <c r="F1982" i="1"/>
  <c r="H1982" i="1"/>
  <c r="E1983" i="1"/>
  <c r="F1983" i="1"/>
  <c r="H1983" i="1"/>
  <c r="E1984" i="1"/>
  <c r="F1984" i="1"/>
  <c r="H1984" i="1"/>
  <c r="E1985" i="1"/>
  <c r="F1985" i="1"/>
  <c r="H1985" i="1"/>
  <c r="E1986" i="1"/>
  <c r="F1986" i="1"/>
  <c r="H1986" i="1"/>
  <c r="E1987" i="1"/>
  <c r="F1987" i="1"/>
  <c r="H1987" i="1"/>
  <c r="E1988" i="1"/>
  <c r="F1988" i="1"/>
  <c r="H1988" i="1"/>
  <c r="E1989" i="1"/>
  <c r="F1989" i="1"/>
  <c r="H1989" i="1"/>
  <c r="E1990" i="1"/>
  <c r="F1990" i="1"/>
  <c r="H1990" i="1"/>
  <c r="E1991" i="1"/>
  <c r="F1991" i="1"/>
  <c r="H1991" i="1"/>
  <c r="E1992" i="1"/>
  <c r="F1992" i="1"/>
  <c r="H1992" i="1"/>
  <c r="E1993" i="1"/>
  <c r="F1993" i="1"/>
  <c r="H1993" i="1"/>
  <c r="E1994" i="1"/>
  <c r="F1994" i="1"/>
  <c r="H1994" i="1"/>
  <c r="E1995" i="1"/>
  <c r="F1995" i="1"/>
  <c r="H1995" i="1"/>
  <c r="E1996" i="1"/>
  <c r="F1996" i="1"/>
  <c r="H1996" i="1"/>
  <c r="E1997" i="1"/>
  <c r="F1997" i="1"/>
  <c r="H1997" i="1"/>
  <c r="E1998" i="1"/>
  <c r="F1998" i="1"/>
  <c r="H1998" i="1"/>
  <c r="E1999" i="1"/>
  <c r="F1999" i="1"/>
  <c r="H1999" i="1"/>
  <c r="E2000" i="1"/>
  <c r="F2000" i="1"/>
  <c r="H2000" i="1"/>
  <c r="E2001" i="1"/>
  <c r="F2001" i="1"/>
  <c r="H2001" i="1"/>
  <c r="E2002" i="1"/>
  <c r="F2002" i="1"/>
  <c r="H2002" i="1"/>
  <c r="E2003" i="1"/>
  <c r="F2003" i="1"/>
  <c r="H2003" i="1"/>
  <c r="E2004" i="1"/>
  <c r="F2004" i="1"/>
  <c r="H2004" i="1"/>
  <c r="E2005" i="1"/>
  <c r="F2005" i="1"/>
  <c r="H2005" i="1"/>
  <c r="E2006" i="1"/>
  <c r="F2006" i="1"/>
  <c r="H2006" i="1"/>
  <c r="E2007" i="1"/>
  <c r="F2007" i="1"/>
  <c r="H2007" i="1"/>
  <c r="E2008" i="1"/>
  <c r="F2008" i="1"/>
  <c r="H2008" i="1"/>
  <c r="E2009" i="1"/>
  <c r="F2009" i="1"/>
  <c r="H2009" i="1"/>
  <c r="E2010" i="1"/>
  <c r="F2010" i="1"/>
  <c r="H2010" i="1"/>
  <c r="E2011" i="1"/>
  <c r="F2011" i="1"/>
  <c r="H2011" i="1"/>
  <c r="E2012" i="1"/>
  <c r="F2012" i="1"/>
  <c r="H2012" i="1"/>
  <c r="E2013" i="1"/>
  <c r="F2013" i="1"/>
  <c r="H2013" i="1"/>
  <c r="E2014" i="1"/>
  <c r="F2014" i="1"/>
  <c r="H2014" i="1"/>
  <c r="E2015" i="1"/>
  <c r="F2015" i="1"/>
  <c r="H2015" i="1"/>
  <c r="E2016" i="1"/>
  <c r="F2016" i="1"/>
  <c r="H2016" i="1"/>
  <c r="E2017" i="1"/>
  <c r="F2017" i="1"/>
  <c r="H2017" i="1"/>
  <c r="E2018" i="1"/>
  <c r="F2018" i="1"/>
  <c r="H2018" i="1"/>
  <c r="E2019" i="1"/>
  <c r="F2019" i="1"/>
  <c r="H2019" i="1"/>
  <c r="E2020" i="1"/>
  <c r="F2020" i="1"/>
  <c r="H2020" i="1"/>
  <c r="E2021" i="1"/>
  <c r="F2021" i="1"/>
  <c r="H2021" i="1"/>
  <c r="E2022" i="1"/>
  <c r="F2022" i="1"/>
  <c r="H2022" i="1"/>
  <c r="E2023" i="1"/>
  <c r="F2023" i="1"/>
  <c r="H2023" i="1"/>
  <c r="E2024" i="1"/>
  <c r="F2024" i="1"/>
  <c r="H2024" i="1"/>
  <c r="E2025" i="1"/>
  <c r="F2025" i="1"/>
  <c r="H2025" i="1"/>
  <c r="E2026" i="1"/>
  <c r="F2026" i="1"/>
  <c r="H2026" i="1"/>
  <c r="E2027" i="1"/>
  <c r="F2027" i="1"/>
  <c r="H2027" i="1"/>
  <c r="E2028" i="1"/>
  <c r="F2028" i="1"/>
  <c r="H2028" i="1"/>
  <c r="E2029" i="1"/>
  <c r="F2029" i="1"/>
  <c r="H2029" i="1"/>
  <c r="E2030" i="1"/>
  <c r="F2030" i="1"/>
  <c r="H2030" i="1"/>
  <c r="E2031" i="1"/>
  <c r="F2031" i="1"/>
  <c r="H2031" i="1"/>
  <c r="E2032" i="1"/>
  <c r="F2032" i="1"/>
  <c r="H2032" i="1"/>
  <c r="E2033" i="1"/>
  <c r="F2033" i="1"/>
  <c r="H2033" i="1"/>
  <c r="E2034" i="1"/>
  <c r="F2034" i="1"/>
  <c r="H2034" i="1"/>
  <c r="E2035" i="1"/>
  <c r="F2035" i="1"/>
  <c r="H2035" i="1"/>
  <c r="E2036" i="1"/>
  <c r="F2036" i="1"/>
  <c r="H2036" i="1"/>
  <c r="E2037" i="1"/>
  <c r="F2037" i="1"/>
  <c r="H2037" i="1"/>
  <c r="E2038" i="1"/>
  <c r="F2038" i="1"/>
  <c r="H2038" i="1"/>
  <c r="E2039" i="1"/>
  <c r="F2039" i="1"/>
  <c r="H2039" i="1"/>
  <c r="E2040" i="1"/>
  <c r="F2040" i="1"/>
  <c r="H2040" i="1"/>
  <c r="E2041" i="1"/>
  <c r="F2041" i="1"/>
  <c r="H2041" i="1"/>
  <c r="E2042" i="1"/>
  <c r="F2042" i="1"/>
  <c r="H2042" i="1"/>
  <c r="E2043" i="1"/>
  <c r="F2043" i="1"/>
  <c r="H2043" i="1"/>
  <c r="E2044" i="1"/>
  <c r="F2044" i="1"/>
  <c r="H2044" i="1"/>
  <c r="E2045" i="1"/>
  <c r="F2045" i="1"/>
  <c r="H2045" i="1"/>
  <c r="E2046" i="1"/>
  <c r="F2046" i="1"/>
  <c r="H2046" i="1"/>
  <c r="E2047" i="1"/>
  <c r="F2047" i="1"/>
  <c r="H2047" i="1"/>
  <c r="E2048" i="1"/>
  <c r="F2048" i="1"/>
  <c r="H2048" i="1"/>
  <c r="E2049" i="1"/>
  <c r="F2049" i="1"/>
  <c r="H2049" i="1"/>
  <c r="E2050" i="1"/>
  <c r="F2050" i="1"/>
  <c r="H2050" i="1"/>
  <c r="E2051" i="1"/>
  <c r="F2051" i="1"/>
  <c r="H2051" i="1"/>
  <c r="E2052" i="1"/>
  <c r="F2052" i="1"/>
  <c r="H2052" i="1"/>
  <c r="E2053" i="1"/>
  <c r="F2053" i="1"/>
  <c r="H2053" i="1"/>
  <c r="E2054" i="1"/>
  <c r="F2054" i="1"/>
  <c r="H2054" i="1"/>
  <c r="E2055" i="1"/>
  <c r="F2055" i="1"/>
  <c r="H2055" i="1"/>
  <c r="E2056" i="1"/>
  <c r="F2056" i="1"/>
  <c r="H2056" i="1"/>
  <c r="E2057" i="1"/>
  <c r="F2057" i="1"/>
  <c r="H2057" i="1"/>
  <c r="E2058" i="1"/>
  <c r="F2058" i="1"/>
  <c r="H2058" i="1"/>
  <c r="E2059" i="1"/>
  <c r="F2059" i="1"/>
  <c r="H2059" i="1"/>
  <c r="E2060" i="1"/>
  <c r="F2060" i="1"/>
  <c r="H2060" i="1"/>
  <c r="E2061" i="1"/>
  <c r="F2061" i="1"/>
  <c r="H2061" i="1"/>
  <c r="E2062" i="1"/>
  <c r="F2062" i="1"/>
  <c r="H2062" i="1"/>
  <c r="E2063" i="1"/>
  <c r="F2063" i="1"/>
  <c r="H2063" i="1"/>
  <c r="E2064" i="1"/>
  <c r="F2064" i="1"/>
  <c r="H2064" i="1"/>
  <c r="E2065" i="1"/>
  <c r="F2065" i="1"/>
  <c r="H2065" i="1"/>
  <c r="E2066" i="1"/>
  <c r="F2066" i="1"/>
  <c r="H2066" i="1"/>
  <c r="E2067" i="1"/>
  <c r="F2067" i="1"/>
  <c r="H2067" i="1"/>
  <c r="E2068" i="1"/>
  <c r="F2068" i="1"/>
  <c r="H2068" i="1"/>
  <c r="E2069" i="1"/>
  <c r="F2069" i="1"/>
  <c r="H2069" i="1"/>
  <c r="E2070" i="1"/>
  <c r="F2070" i="1"/>
  <c r="H2070" i="1"/>
  <c r="E2071" i="1"/>
  <c r="F2071" i="1"/>
  <c r="H2071" i="1"/>
  <c r="E2072" i="1"/>
  <c r="F2072" i="1"/>
  <c r="H2072" i="1"/>
  <c r="E2073" i="1"/>
  <c r="F2073" i="1"/>
  <c r="H2073" i="1"/>
  <c r="E2074" i="1"/>
  <c r="F2074" i="1"/>
  <c r="H2074" i="1"/>
  <c r="E2075" i="1"/>
  <c r="F2075" i="1"/>
  <c r="H2075" i="1"/>
  <c r="E2076" i="1"/>
  <c r="F2076" i="1"/>
  <c r="H2076" i="1"/>
  <c r="E2077" i="1"/>
  <c r="F2077" i="1"/>
  <c r="H2077" i="1"/>
  <c r="E2078" i="1"/>
  <c r="F2078" i="1"/>
  <c r="H2078" i="1"/>
  <c r="E2079" i="1"/>
  <c r="F2079" i="1"/>
  <c r="H2079" i="1"/>
  <c r="E2080" i="1"/>
  <c r="F2080" i="1"/>
  <c r="H2080" i="1"/>
  <c r="E2081" i="1"/>
  <c r="F2081" i="1"/>
  <c r="H2081" i="1"/>
  <c r="E2082" i="1"/>
  <c r="F2082" i="1"/>
  <c r="H2082" i="1"/>
  <c r="E2083" i="1"/>
  <c r="F2083" i="1"/>
  <c r="H2083" i="1"/>
  <c r="E2084" i="1"/>
  <c r="F2084" i="1"/>
  <c r="H2084" i="1"/>
  <c r="E2085" i="1"/>
  <c r="F2085" i="1"/>
  <c r="H2085" i="1"/>
  <c r="E2086" i="1"/>
  <c r="F2086" i="1"/>
  <c r="H2086" i="1"/>
  <c r="E2087" i="1"/>
  <c r="F2087" i="1"/>
  <c r="H2087" i="1"/>
  <c r="E2088" i="1"/>
  <c r="F2088" i="1"/>
  <c r="H2088" i="1"/>
  <c r="E2089" i="1"/>
  <c r="F2089" i="1"/>
  <c r="H2089" i="1"/>
  <c r="E2090" i="1"/>
  <c r="F2090" i="1"/>
  <c r="H2090" i="1"/>
  <c r="E2091" i="1"/>
  <c r="F2091" i="1"/>
  <c r="H2091" i="1"/>
  <c r="E2092" i="1"/>
  <c r="F2092" i="1"/>
  <c r="H2092" i="1"/>
  <c r="E2093" i="1"/>
  <c r="F2093" i="1"/>
  <c r="H2093" i="1"/>
  <c r="E2094" i="1"/>
  <c r="F2094" i="1"/>
  <c r="H2094" i="1"/>
  <c r="E2095" i="1"/>
  <c r="F2095" i="1"/>
  <c r="H2095" i="1"/>
  <c r="E2096" i="1"/>
  <c r="F2096" i="1"/>
  <c r="H2096" i="1"/>
  <c r="E2097" i="1"/>
  <c r="F2097" i="1"/>
  <c r="H2097" i="1"/>
  <c r="E2098" i="1"/>
  <c r="F2098" i="1"/>
  <c r="H2098" i="1"/>
  <c r="E2099" i="1"/>
  <c r="F2099" i="1"/>
  <c r="H2099" i="1"/>
  <c r="E2100" i="1"/>
  <c r="F2100" i="1"/>
  <c r="H2100" i="1"/>
  <c r="E2101" i="1"/>
  <c r="F2101" i="1"/>
  <c r="H2101" i="1"/>
  <c r="E2102" i="1"/>
  <c r="F2102" i="1"/>
  <c r="H2102" i="1"/>
  <c r="E2103" i="1"/>
  <c r="F2103" i="1"/>
  <c r="H2103" i="1"/>
  <c r="E2104" i="1"/>
  <c r="F2104" i="1"/>
  <c r="H2104" i="1"/>
  <c r="E2105" i="1"/>
  <c r="F2105" i="1"/>
  <c r="H2105" i="1"/>
  <c r="E2106" i="1"/>
  <c r="F2106" i="1"/>
  <c r="H2106" i="1"/>
  <c r="E2107" i="1"/>
  <c r="F2107" i="1"/>
  <c r="H2107" i="1"/>
  <c r="E2108" i="1"/>
  <c r="F2108" i="1"/>
  <c r="H2108" i="1"/>
  <c r="E2109" i="1"/>
  <c r="F2109" i="1"/>
  <c r="H2109" i="1"/>
  <c r="E2110" i="1"/>
  <c r="F2110" i="1"/>
  <c r="H2110" i="1"/>
  <c r="E2111" i="1"/>
  <c r="F2111" i="1"/>
  <c r="H2111" i="1"/>
  <c r="E2112" i="1"/>
  <c r="F2112" i="1"/>
  <c r="H2112" i="1"/>
  <c r="E2113" i="1"/>
  <c r="F2113" i="1"/>
  <c r="H2113" i="1"/>
  <c r="E2114" i="1"/>
  <c r="F2114" i="1"/>
  <c r="H2114" i="1"/>
  <c r="E2115" i="1"/>
  <c r="F2115" i="1"/>
  <c r="H2115" i="1"/>
  <c r="E2116" i="1"/>
  <c r="F2116" i="1"/>
  <c r="H2116" i="1"/>
  <c r="E2117" i="1"/>
  <c r="F2117" i="1"/>
  <c r="H2117" i="1"/>
  <c r="E2118" i="1"/>
  <c r="F2118" i="1"/>
  <c r="H2118" i="1"/>
  <c r="E2119" i="1"/>
  <c r="F2119" i="1"/>
  <c r="H2119" i="1"/>
  <c r="E2120" i="1"/>
  <c r="F2120" i="1"/>
  <c r="H2120" i="1"/>
  <c r="E2121" i="1"/>
  <c r="F2121" i="1"/>
  <c r="H2121" i="1"/>
  <c r="E2122" i="1"/>
  <c r="F2122" i="1"/>
  <c r="H2122" i="1"/>
  <c r="E2123" i="1"/>
  <c r="F2123" i="1"/>
  <c r="H2123" i="1"/>
  <c r="E2124" i="1"/>
  <c r="F2124" i="1"/>
  <c r="H2124" i="1"/>
  <c r="E2125" i="1"/>
  <c r="F2125" i="1"/>
  <c r="H2125" i="1"/>
  <c r="E2126" i="1"/>
  <c r="F2126" i="1"/>
  <c r="H2126" i="1"/>
  <c r="E2127" i="1"/>
  <c r="F2127" i="1"/>
  <c r="H2127" i="1"/>
  <c r="E2128" i="1"/>
  <c r="F2128" i="1"/>
  <c r="H2128" i="1"/>
  <c r="E2129" i="1"/>
  <c r="F2129" i="1"/>
  <c r="H2129" i="1"/>
  <c r="E2130" i="1"/>
  <c r="F2130" i="1"/>
  <c r="H2130" i="1"/>
  <c r="E2131" i="1"/>
  <c r="F2131" i="1"/>
  <c r="H2131" i="1"/>
  <c r="E2132" i="1"/>
  <c r="F2132" i="1"/>
  <c r="H2132" i="1"/>
  <c r="E2133" i="1"/>
  <c r="F2133" i="1"/>
  <c r="H2133" i="1"/>
  <c r="E2134" i="1"/>
  <c r="F2134" i="1"/>
  <c r="H2134" i="1"/>
  <c r="E2135" i="1"/>
  <c r="F2135" i="1"/>
  <c r="H2135" i="1"/>
  <c r="E2136" i="1"/>
  <c r="F2136" i="1"/>
  <c r="H2136" i="1"/>
  <c r="E2137" i="1"/>
  <c r="F2137" i="1"/>
  <c r="H2137" i="1"/>
  <c r="E2138" i="1"/>
  <c r="F2138" i="1"/>
  <c r="H2138" i="1"/>
  <c r="E2139" i="1"/>
  <c r="F2139" i="1"/>
  <c r="H2139" i="1"/>
  <c r="E2140" i="1"/>
  <c r="F2140" i="1"/>
  <c r="H2140" i="1"/>
  <c r="E2141" i="1"/>
  <c r="F2141" i="1"/>
  <c r="H2141" i="1"/>
  <c r="E2142" i="1"/>
  <c r="F2142" i="1"/>
  <c r="H2142" i="1"/>
  <c r="E2143" i="1"/>
  <c r="F2143" i="1"/>
  <c r="H2143" i="1"/>
  <c r="E2144" i="1"/>
  <c r="F2144" i="1"/>
  <c r="H2144" i="1"/>
  <c r="E2145" i="1"/>
  <c r="F2145" i="1"/>
  <c r="H2145" i="1"/>
  <c r="E2146" i="1"/>
  <c r="F2146" i="1"/>
  <c r="H2146" i="1"/>
  <c r="E2147" i="1"/>
  <c r="F2147" i="1"/>
  <c r="H2147" i="1"/>
  <c r="E2148" i="1"/>
  <c r="F2148" i="1"/>
  <c r="H2148" i="1"/>
  <c r="E2149" i="1"/>
  <c r="F2149" i="1"/>
  <c r="H2149" i="1"/>
  <c r="E2150" i="1"/>
  <c r="F2150" i="1"/>
  <c r="H2150" i="1"/>
  <c r="E2151" i="1"/>
  <c r="F2151" i="1"/>
  <c r="H2151" i="1"/>
  <c r="E2152" i="1"/>
  <c r="F2152" i="1"/>
  <c r="H2152" i="1"/>
  <c r="E2153" i="1"/>
  <c r="F2153" i="1"/>
  <c r="H2153" i="1"/>
  <c r="E2154" i="1"/>
  <c r="F2154" i="1"/>
  <c r="H2154" i="1"/>
  <c r="E2155" i="1"/>
  <c r="F2155" i="1"/>
  <c r="H2155" i="1"/>
  <c r="E2156" i="1"/>
  <c r="F2156" i="1"/>
  <c r="H2156" i="1"/>
  <c r="E2157" i="1"/>
  <c r="F2157" i="1"/>
  <c r="H2157" i="1"/>
  <c r="E2158" i="1"/>
  <c r="F2158" i="1"/>
  <c r="H2158" i="1"/>
  <c r="E2159" i="1"/>
  <c r="F2159" i="1"/>
  <c r="H2159" i="1"/>
  <c r="E2160" i="1"/>
  <c r="F2160" i="1"/>
  <c r="H2160" i="1"/>
  <c r="E2161" i="1"/>
  <c r="F2161" i="1"/>
  <c r="H2161" i="1"/>
  <c r="E2162" i="1"/>
  <c r="F2162" i="1"/>
  <c r="H2162" i="1"/>
  <c r="E2163" i="1"/>
  <c r="F2163" i="1"/>
  <c r="H2163" i="1"/>
  <c r="E2164" i="1"/>
  <c r="F2164" i="1"/>
  <c r="H2164" i="1"/>
  <c r="E2165" i="1"/>
  <c r="F2165" i="1"/>
  <c r="H2165" i="1"/>
  <c r="E2166" i="1"/>
  <c r="F2166" i="1"/>
  <c r="H2166" i="1"/>
  <c r="E2167" i="1"/>
  <c r="F2167" i="1"/>
  <c r="H2167" i="1"/>
  <c r="E2168" i="1"/>
  <c r="F2168" i="1"/>
  <c r="H2168" i="1"/>
  <c r="E2169" i="1"/>
  <c r="F2169" i="1"/>
  <c r="H2169" i="1"/>
  <c r="E2170" i="1"/>
  <c r="F2170" i="1"/>
  <c r="H2170" i="1"/>
  <c r="E2171" i="1"/>
  <c r="F2171" i="1"/>
  <c r="H2171" i="1"/>
  <c r="E2172" i="1"/>
  <c r="F2172" i="1"/>
  <c r="H2172" i="1"/>
  <c r="E2173" i="1"/>
  <c r="F2173" i="1"/>
  <c r="H2173" i="1"/>
  <c r="E2174" i="1"/>
  <c r="F2174" i="1"/>
  <c r="H2174" i="1"/>
  <c r="E2175" i="1"/>
  <c r="F2175" i="1"/>
  <c r="H2175" i="1"/>
  <c r="E2176" i="1"/>
  <c r="F2176" i="1"/>
  <c r="H2176" i="1"/>
  <c r="E2177" i="1"/>
  <c r="F2177" i="1"/>
  <c r="H2177" i="1"/>
  <c r="E2178" i="1"/>
  <c r="F2178" i="1"/>
  <c r="H2178" i="1"/>
  <c r="E2179" i="1"/>
  <c r="F2179" i="1"/>
  <c r="H2179" i="1"/>
  <c r="E2180" i="1"/>
  <c r="F2180" i="1"/>
  <c r="H2180" i="1"/>
  <c r="E2181" i="1"/>
  <c r="F2181" i="1"/>
  <c r="H2181" i="1"/>
  <c r="E2182" i="1"/>
  <c r="F2182" i="1"/>
  <c r="H2182" i="1"/>
  <c r="E2183" i="1"/>
  <c r="F2183" i="1"/>
  <c r="H2183" i="1"/>
  <c r="E2184" i="1"/>
  <c r="F2184" i="1"/>
  <c r="H2184" i="1"/>
  <c r="E2185" i="1"/>
  <c r="F2185" i="1"/>
  <c r="H2185" i="1"/>
  <c r="E2186" i="1"/>
  <c r="F2186" i="1"/>
  <c r="H2186" i="1"/>
  <c r="E2187" i="1"/>
  <c r="F2187" i="1"/>
  <c r="H2187" i="1"/>
  <c r="E2188" i="1"/>
  <c r="F2188" i="1"/>
  <c r="H2188" i="1"/>
  <c r="E2189" i="1"/>
  <c r="F2189" i="1"/>
  <c r="H2189" i="1"/>
  <c r="E2190" i="1"/>
  <c r="F2190" i="1"/>
  <c r="H2190" i="1"/>
  <c r="E2191" i="1"/>
  <c r="F2191" i="1"/>
  <c r="H2191" i="1"/>
  <c r="E2192" i="1"/>
  <c r="F2192" i="1"/>
  <c r="H2192" i="1"/>
  <c r="E2193" i="1"/>
  <c r="F2193" i="1"/>
  <c r="H2193" i="1"/>
  <c r="E2194" i="1"/>
  <c r="F2194" i="1"/>
  <c r="H2194" i="1"/>
  <c r="E2195" i="1"/>
  <c r="F2195" i="1"/>
  <c r="H2195" i="1"/>
  <c r="E2196" i="1"/>
  <c r="F2196" i="1"/>
  <c r="H2196" i="1"/>
  <c r="E2197" i="1"/>
  <c r="F2197" i="1"/>
  <c r="H2197" i="1"/>
  <c r="E2198" i="1"/>
  <c r="F2198" i="1"/>
  <c r="H2198" i="1"/>
  <c r="E2199" i="1"/>
  <c r="F2199" i="1"/>
  <c r="H2199" i="1"/>
  <c r="E2200" i="1"/>
  <c r="F2200" i="1"/>
  <c r="H2200" i="1"/>
  <c r="E2201" i="1"/>
  <c r="F2201" i="1"/>
  <c r="H2201" i="1"/>
  <c r="E2202" i="1"/>
  <c r="F2202" i="1"/>
  <c r="H2202" i="1"/>
  <c r="E2203" i="1"/>
  <c r="F2203" i="1"/>
  <c r="H2203" i="1"/>
  <c r="E2204" i="1"/>
  <c r="F2204" i="1"/>
  <c r="H2204" i="1"/>
  <c r="E2205" i="1"/>
  <c r="F2205" i="1"/>
  <c r="H2205" i="1"/>
  <c r="E2206" i="1"/>
  <c r="F2206" i="1"/>
  <c r="H2206" i="1"/>
  <c r="E2207" i="1"/>
  <c r="F2207" i="1"/>
  <c r="H2207" i="1"/>
  <c r="E2208" i="1"/>
  <c r="F2208" i="1"/>
  <c r="H2208" i="1"/>
  <c r="E2209" i="1"/>
  <c r="F2209" i="1"/>
  <c r="H2209" i="1"/>
  <c r="E2210" i="1"/>
  <c r="F2210" i="1"/>
  <c r="H2210" i="1"/>
  <c r="E2211" i="1"/>
  <c r="F2211" i="1"/>
  <c r="H2211" i="1"/>
  <c r="E2212" i="1"/>
  <c r="F2212" i="1"/>
  <c r="H2212" i="1"/>
  <c r="E2213" i="1"/>
  <c r="F2213" i="1"/>
  <c r="H2213" i="1"/>
  <c r="E2214" i="1"/>
  <c r="F2214" i="1"/>
  <c r="H2214" i="1"/>
  <c r="E2215" i="1"/>
  <c r="F2215" i="1"/>
  <c r="H2215" i="1"/>
  <c r="E2216" i="1"/>
  <c r="F2216" i="1"/>
  <c r="H2216" i="1"/>
  <c r="E2217" i="1"/>
  <c r="F2217" i="1"/>
  <c r="H2217" i="1"/>
  <c r="E2218" i="1"/>
  <c r="F2218" i="1"/>
  <c r="H2218" i="1"/>
  <c r="E2219" i="1"/>
  <c r="F2219" i="1"/>
  <c r="H2219" i="1"/>
  <c r="E2220" i="1"/>
  <c r="F2220" i="1"/>
  <c r="H2220" i="1"/>
  <c r="E2221" i="1"/>
  <c r="F2221" i="1"/>
  <c r="H2221" i="1"/>
  <c r="E2222" i="1"/>
  <c r="F2222" i="1"/>
  <c r="H2222" i="1"/>
  <c r="E2223" i="1"/>
  <c r="F2223" i="1"/>
  <c r="H2223" i="1"/>
  <c r="E2224" i="1"/>
  <c r="F2224" i="1"/>
  <c r="H2224" i="1"/>
  <c r="E2225" i="1"/>
  <c r="F2225" i="1"/>
  <c r="H2225" i="1"/>
  <c r="E2226" i="1"/>
  <c r="F2226" i="1"/>
  <c r="H2226" i="1"/>
  <c r="E2227" i="1"/>
  <c r="F2227" i="1"/>
  <c r="H2227" i="1"/>
  <c r="E2228" i="1"/>
  <c r="F2228" i="1"/>
  <c r="H2228" i="1"/>
  <c r="E2229" i="1"/>
  <c r="F2229" i="1"/>
  <c r="H2229" i="1"/>
  <c r="E2230" i="1"/>
  <c r="F2230" i="1"/>
  <c r="H2230" i="1"/>
  <c r="E2231" i="1"/>
  <c r="F2231" i="1"/>
  <c r="H2231" i="1"/>
  <c r="E2232" i="1"/>
  <c r="F2232" i="1"/>
  <c r="H2232" i="1"/>
  <c r="E2233" i="1"/>
  <c r="F2233" i="1"/>
  <c r="H2233" i="1"/>
  <c r="E2234" i="1"/>
  <c r="F2234" i="1"/>
  <c r="H2234" i="1"/>
  <c r="E2235" i="1"/>
  <c r="F2235" i="1"/>
  <c r="H2235" i="1"/>
  <c r="E2236" i="1"/>
  <c r="F2236" i="1"/>
  <c r="H2236" i="1"/>
  <c r="E2237" i="1"/>
  <c r="F2237" i="1"/>
  <c r="H2237" i="1"/>
  <c r="E2238" i="1"/>
  <c r="F2238" i="1"/>
  <c r="H2238" i="1"/>
  <c r="E2239" i="1"/>
  <c r="F2239" i="1"/>
  <c r="H2239" i="1"/>
  <c r="E2240" i="1"/>
  <c r="F2240" i="1"/>
  <c r="H2240" i="1"/>
  <c r="E2241" i="1"/>
  <c r="F2241" i="1"/>
  <c r="H2241" i="1"/>
  <c r="E2242" i="1"/>
  <c r="F2242" i="1"/>
  <c r="H2242" i="1"/>
  <c r="E2243" i="1"/>
  <c r="F2243" i="1"/>
  <c r="H2243" i="1"/>
  <c r="E2244" i="1"/>
  <c r="F2244" i="1"/>
  <c r="H2244" i="1"/>
  <c r="E2245" i="1"/>
  <c r="F2245" i="1"/>
  <c r="H2245" i="1"/>
  <c r="E2246" i="1"/>
  <c r="F2246" i="1"/>
  <c r="H2246" i="1"/>
  <c r="E2247" i="1"/>
  <c r="F2247" i="1"/>
  <c r="H2247" i="1"/>
  <c r="E2248" i="1"/>
  <c r="F2248" i="1"/>
  <c r="H2248" i="1"/>
  <c r="E2249" i="1"/>
  <c r="F2249" i="1"/>
  <c r="H2249" i="1"/>
  <c r="E2250" i="1"/>
  <c r="F2250" i="1"/>
  <c r="H2250" i="1"/>
  <c r="E2251" i="1"/>
  <c r="F2251" i="1"/>
  <c r="H2251" i="1"/>
  <c r="E2252" i="1"/>
  <c r="F2252" i="1"/>
  <c r="H2252" i="1"/>
  <c r="E2253" i="1"/>
  <c r="F2253" i="1"/>
  <c r="H2253" i="1"/>
  <c r="E2254" i="1"/>
  <c r="F2254" i="1"/>
  <c r="H2254" i="1"/>
  <c r="E2255" i="1"/>
  <c r="F2255" i="1"/>
  <c r="H2255" i="1"/>
  <c r="E2256" i="1"/>
  <c r="F2256" i="1"/>
  <c r="H2256" i="1"/>
  <c r="E2257" i="1"/>
  <c r="F2257" i="1"/>
  <c r="H2257" i="1"/>
  <c r="E2258" i="1"/>
  <c r="F2258" i="1"/>
  <c r="H2258" i="1"/>
  <c r="E2259" i="1"/>
  <c r="F2259" i="1"/>
  <c r="H2259" i="1"/>
  <c r="E2260" i="1"/>
  <c r="F2260" i="1"/>
  <c r="H2260" i="1"/>
  <c r="E2261" i="1"/>
  <c r="F2261" i="1"/>
  <c r="H2261" i="1"/>
  <c r="E2262" i="1"/>
  <c r="F2262" i="1"/>
  <c r="H2262" i="1"/>
  <c r="E2263" i="1"/>
  <c r="F2263" i="1"/>
  <c r="H2263" i="1"/>
  <c r="E2264" i="1"/>
  <c r="F2264" i="1"/>
  <c r="H2264" i="1"/>
  <c r="E2265" i="1"/>
  <c r="F2265" i="1"/>
  <c r="H2265" i="1"/>
  <c r="E2266" i="1"/>
  <c r="F2266" i="1"/>
  <c r="H2266" i="1"/>
  <c r="E2267" i="1"/>
  <c r="F2267" i="1"/>
  <c r="H2267" i="1"/>
  <c r="E2268" i="1"/>
  <c r="F2268" i="1"/>
  <c r="H2268" i="1"/>
  <c r="E2269" i="1"/>
  <c r="F2269" i="1"/>
  <c r="H2269" i="1"/>
  <c r="E2270" i="1"/>
  <c r="F2270" i="1"/>
  <c r="H2270" i="1"/>
  <c r="E2271" i="1"/>
  <c r="F2271" i="1"/>
  <c r="H2271" i="1"/>
  <c r="E2272" i="1"/>
  <c r="F2272" i="1"/>
  <c r="H2272" i="1"/>
  <c r="E2273" i="1"/>
  <c r="F2273" i="1"/>
  <c r="H2273" i="1"/>
  <c r="E2274" i="1"/>
  <c r="F2274" i="1"/>
  <c r="H2274" i="1"/>
  <c r="E2275" i="1"/>
  <c r="F2275" i="1"/>
  <c r="H2275" i="1"/>
  <c r="E2276" i="1"/>
  <c r="F2276" i="1"/>
  <c r="H2276" i="1"/>
  <c r="E2277" i="1"/>
  <c r="F2277" i="1"/>
  <c r="H2277" i="1"/>
  <c r="E2278" i="1"/>
  <c r="F2278" i="1"/>
  <c r="H2278" i="1"/>
  <c r="E2279" i="1"/>
  <c r="F2279" i="1"/>
  <c r="H2279" i="1"/>
  <c r="E2280" i="1"/>
  <c r="F2280" i="1"/>
  <c r="H2280" i="1"/>
  <c r="E2281" i="1"/>
  <c r="F2281" i="1"/>
  <c r="H2281" i="1"/>
  <c r="E2282" i="1"/>
  <c r="F2282" i="1"/>
  <c r="H2282" i="1"/>
  <c r="E2283" i="1"/>
  <c r="F2283" i="1"/>
  <c r="H2283" i="1"/>
  <c r="E2284" i="1"/>
  <c r="F2284" i="1"/>
  <c r="H2284" i="1"/>
  <c r="E2285" i="1"/>
  <c r="F2285" i="1"/>
  <c r="H2285" i="1"/>
  <c r="E2286" i="1"/>
  <c r="F2286" i="1"/>
  <c r="H2286" i="1"/>
  <c r="E2287" i="1"/>
  <c r="F2287" i="1"/>
  <c r="H2287" i="1"/>
  <c r="E2288" i="1"/>
  <c r="F2288" i="1"/>
  <c r="H2288" i="1"/>
  <c r="E2289" i="1"/>
  <c r="F2289" i="1"/>
  <c r="H2289" i="1"/>
  <c r="E2290" i="1"/>
  <c r="F2290" i="1"/>
  <c r="H2290" i="1"/>
  <c r="E2291" i="1"/>
  <c r="F2291" i="1"/>
  <c r="H2291" i="1"/>
  <c r="E2292" i="1"/>
  <c r="F2292" i="1"/>
  <c r="H2292" i="1"/>
  <c r="E2293" i="1"/>
  <c r="F2293" i="1"/>
  <c r="H2293" i="1"/>
  <c r="E2294" i="1"/>
  <c r="F2294" i="1"/>
  <c r="H2294" i="1"/>
  <c r="E2295" i="1"/>
  <c r="F2295" i="1"/>
  <c r="H2295" i="1"/>
  <c r="E2296" i="1"/>
  <c r="F2296" i="1"/>
  <c r="H2296" i="1"/>
  <c r="E2297" i="1"/>
  <c r="F2297" i="1"/>
  <c r="H2297" i="1"/>
  <c r="E2298" i="1"/>
  <c r="F2298" i="1"/>
  <c r="H2298" i="1"/>
  <c r="E2299" i="1"/>
  <c r="F2299" i="1"/>
  <c r="H2299" i="1"/>
  <c r="E2300" i="1"/>
  <c r="F2300" i="1"/>
  <c r="H2300" i="1"/>
  <c r="E2301" i="1"/>
  <c r="F2301" i="1"/>
  <c r="H2301" i="1"/>
  <c r="E2302" i="1"/>
  <c r="F2302" i="1"/>
  <c r="H2302" i="1"/>
  <c r="E2303" i="1"/>
  <c r="F2303" i="1"/>
  <c r="H2303" i="1"/>
  <c r="E2304" i="1"/>
  <c r="F2304" i="1"/>
  <c r="H2304" i="1"/>
  <c r="E2305" i="1"/>
  <c r="F2305" i="1"/>
  <c r="H2305" i="1"/>
  <c r="E2306" i="1"/>
  <c r="F2306" i="1"/>
  <c r="H2306" i="1"/>
  <c r="E2307" i="1"/>
  <c r="F2307" i="1"/>
  <c r="H2307" i="1"/>
  <c r="E2308" i="1"/>
  <c r="F2308" i="1"/>
  <c r="H2308" i="1"/>
  <c r="E2309" i="1"/>
  <c r="F2309" i="1"/>
  <c r="H2309" i="1"/>
  <c r="E2310" i="1"/>
  <c r="F2310" i="1"/>
  <c r="H2310" i="1"/>
  <c r="E2311" i="1"/>
  <c r="F2311" i="1"/>
  <c r="H2311" i="1"/>
  <c r="E2312" i="1"/>
  <c r="F2312" i="1"/>
  <c r="H2312" i="1"/>
  <c r="E2313" i="1"/>
  <c r="F2313" i="1"/>
  <c r="H2313" i="1"/>
  <c r="E2314" i="1"/>
  <c r="F2314" i="1"/>
  <c r="H2314" i="1"/>
  <c r="E2315" i="1"/>
  <c r="F2315" i="1"/>
  <c r="H2315" i="1"/>
  <c r="E2316" i="1"/>
  <c r="F2316" i="1"/>
  <c r="H2316" i="1"/>
  <c r="E2317" i="1"/>
  <c r="F2317" i="1"/>
  <c r="H2317" i="1"/>
  <c r="E2318" i="1"/>
  <c r="F2318" i="1"/>
  <c r="H2318" i="1"/>
  <c r="E2319" i="1"/>
  <c r="F2319" i="1"/>
  <c r="H2319" i="1"/>
  <c r="E2320" i="1"/>
  <c r="F2320" i="1"/>
  <c r="H2320" i="1"/>
  <c r="E2321" i="1"/>
  <c r="F2321" i="1"/>
  <c r="H2321" i="1"/>
  <c r="E2322" i="1"/>
  <c r="F2322" i="1"/>
  <c r="H2322" i="1"/>
  <c r="E2323" i="1"/>
  <c r="F2323" i="1"/>
  <c r="H2323" i="1"/>
  <c r="E2324" i="1"/>
  <c r="F2324" i="1"/>
  <c r="H2324" i="1"/>
  <c r="E2325" i="1"/>
  <c r="F2325" i="1"/>
  <c r="H2325" i="1"/>
  <c r="E2326" i="1"/>
  <c r="F2326" i="1"/>
  <c r="H2326" i="1"/>
  <c r="E2327" i="1"/>
  <c r="F2327" i="1"/>
  <c r="H2327" i="1"/>
  <c r="E2328" i="1"/>
  <c r="F2328" i="1"/>
  <c r="H2328" i="1"/>
  <c r="E2329" i="1"/>
  <c r="F2329" i="1"/>
  <c r="H2329" i="1"/>
  <c r="E2330" i="1"/>
  <c r="F2330" i="1"/>
  <c r="H2330" i="1"/>
  <c r="E2331" i="1"/>
  <c r="F2331" i="1"/>
  <c r="H2331" i="1"/>
  <c r="E2332" i="1"/>
  <c r="F2332" i="1"/>
  <c r="H2332" i="1"/>
  <c r="E2333" i="1"/>
  <c r="F2333" i="1"/>
  <c r="H2333" i="1"/>
  <c r="E2334" i="1"/>
  <c r="F2334" i="1"/>
  <c r="H2334" i="1"/>
  <c r="E2335" i="1"/>
  <c r="F2335" i="1"/>
  <c r="H2335" i="1"/>
  <c r="E2336" i="1"/>
  <c r="F2336" i="1"/>
  <c r="H2336" i="1"/>
  <c r="E2337" i="1"/>
  <c r="F2337" i="1"/>
  <c r="H2337" i="1"/>
  <c r="E2338" i="1"/>
  <c r="F2338" i="1"/>
  <c r="H2338" i="1"/>
  <c r="E2339" i="1"/>
  <c r="F2339" i="1"/>
  <c r="H2339" i="1"/>
  <c r="E2340" i="1"/>
  <c r="F2340" i="1"/>
  <c r="H2340" i="1"/>
  <c r="E2341" i="1"/>
  <c r="F2341" i="1"/>
  <c r="H2341" i="1"/>
  <c r="E2342" i="1"/>
  <c r="F2342" i="1"/>
  <c r="H2342" i="1"/>
  <c r="E2343" i="1"/>
  <c r="F2343" i="1"/>
  <c r="H2343" i="1"/>
  <c r="E2344" i="1"/>
  <c r="F2344" i="1"/>
  <c r="H2344" i="1"/>
  <c r="E2345" i="1"/>
  <c r="F2345" i="1"/>
  <c r="H2345" i="1"/>
  <c r="E2346" i="1"/>
  <c r="F2346" i="1"/>
  <c r="H2346" i="1"/>
  <c r="E2347" i="1"/>
  <c r="F2347" i="1"/>
  <c r="H2347" i="1"/>
  <c r="E2348" i="1"/>
  <c r="F2348" i="1"/>
  <c r="H2348" i="1"/>
  <c r="E2349" i="1"/>
  <c r="F2349" i="1"/>
  <c r="H2349" i="1"/>
  <c r="E2350" i="1"/>
  <c r="F2350" i="1"/>
  <c r="H2350" i="1"/>
  <c r="E2351" i="1"/>
  <c r="F2351" i="1"/>
  <c r="H2351" i="1"/>
  <c r="E2352" i="1"/>
  <c r="F2352" i="1"/>
  <c r="H2352" i="1"/>
  <c r="E2353" i="1"/>
  <c r="F2353" i="1"/>
  <c r="H2353" i="1"/>
  <c r="E2354" i="1"/>
  <c r="F2354" i="1"/>
  <c r="H2354" i="1"/>
  <c r="E2355" i="1"/>
  <c r="F2355" i="1"/>
  <c r="H2355" i="1"/>
  <c r="E2356" i="1"/>
  <c r="F2356" i="1"/>
  <c r="H2356" i="1"/>
  <c r="E2357" i="1"/>
  <c r="F2357" i="1"/>
  <c r="H2357" i="1"/>
  <c r="E2358" i="1"/>
  <c r="F2358" i="1"/>
  <c r="H2358" i="1"/>
  <c r="E2359" i="1"/>
  <c r="F2359" i="1"/>
  <c r="H2359" i="1"/>
  <c r="E2360" i="1"/>
  <c r="F2360" i="1"/>
  <c r="H2360" i="1"/>
  <c r="E2361" i="1"/>
  <c r="F2361" i="1"/>
  <c r="H2361" i="1"/>
  <c r="E2362" i="1"/>
  <c r="F2362" i="1"/>
  <c r="H2362" i="1"/>
  <c r="E2363" i="1"/>
  <c r="F2363" i="1"/>
  <c r="H2363" i="1"/>
  <c r="E2364" i="1"/>
  <c r="F2364" i="1"/>
  <c r="H2364" i="1"/>
  <c r="E2365" i="1"/>
  <c r="F2365" i="1"/>
  <c r="H2365" i="1"/>
  <c r="E2366" i="1"/>
  <c r="F2366" i="1"/>
  <c r="H2366" i="1"/>
  <c r="E2367" i="1"/>
  <c r="F2367" i="1"/>
  <c r="H2367" i="1"/>
  <c r="E2368" i="1"/>
  <c r="F2368" i="1"/>
  <c r="H2368" i="1"/>
  <c r="E2369" i="1"/>
  <c r="F2369" i="1"/>
  <c r="H2369" i="1"/>
  <c r="E2370" i="1"/>
  <c r="F2370" i="1"/>
  <c r="H2370" i="1"/>
  <c r="E2371" i="1"/>
  <c r="F2371" i="1"/>
  <c r="H2371" i="1"/>
  <c r="E2372" i="1"/>
  <c r="F2372" i="1"/>
  <c r="H2372" i="1"/>
  <c r="E2373" i="1"/>
  <c r="F2373" i="1"/>
  <c r="H2373" i="1"/>
  <c r="E2374" i="1"/>
  <c r="F2374" i="1"/>
  <c r="H2374" i="1"/>
  <c r="E2375" i="1"/>
  <c r="F2375" i="1"/>
  <c r="H2375" i="1"/>
  <c r="E2376" i="1"/>
  <c r="F2376" i="1"/>
  <c r="H2376" i="1"/>
  <c r="E2377" i="1"/>
  <c r="F2377" i="1"/>
  <c r="H2377" i="1"/>
  <c r="E2378" i="1"/>
  <c r="F2378" i="1"/>
  <c r="H2378" i="1"/>
  <c r="E2379" i="1"/>
  <c r="F2379" i="1"/>
  <c r="H2379" i="1"/>
  <c r="E2380" i="1"/>
  <c r="F2380" i="1"/>
  <c r="H2380" i="1"/>
  <c r="E2381" i="1"/>
  <c r="F2381" i="1"/>
  <c r="H2381" i="1"/>
  <c r="E2382" i="1"/>
  <c r="F2382" i="1"/>
  <c r="H2382" i="1"/>
  <c r="E2383" i="1"/>
  <c r="F2383" i="1"/>
  <c r="H2383" i="1"/>
  <c r="E2384" i="1"/>
  <c r="F2384" i="1"/>
  <c r="H2384" i="1"/>
  <c r="E2385" i="1"/>
  <c r="F2385" i="1"/>
  <c r="H2385" i="1"/>
  <c r="E2386" i="1"/>
  <c r="F2386" i="1"/>
  <c r="H2386" i="1"/>
  <c r="E2387" i="1"/>
  <c r="F2387" i="1"/>
  <c r="H2387" i="1"/>
  <c r="E2388" i="1"/>
  <c r="F2388" i="1"/>
  <c r="H2388" i="1"/>
  <c r="E2389" i="1"/>
  <c r="F2389" i="1"/>
  <c r="H2389" i="1"/>
  <c r="E2390" i="1"/>
  <c r="F2390" i="1"/>
  <c r="H2390" i="1"/>
  <c r="E2391" i="1"/>
  <c r="F2391" i="1"/>
  <c r="H2391" i="1"/>
  <c r="E2392" i="1"/>
  <c r="F2392" i="1"/>
  <c r="H2392" i="1"/>
  <c r="E2393" i="1"/>
  <c r="F2393" i="1"/>
  <c r="H2393" i="1"/>
  <c r="E2394" i="1"/>
  <c r="F2394" i="1"/>
  <c r="H2394" i="1"/>
  <c r="E2395" i="1"/>
  <c r="F2395" i="1"/>
  <c r="H2395" i="1"/>
  <c r="E2396" i="1"/>
  <c r="F2396" i="1"/>
  <c r="H2396" i="1"/>
  <c r="E2397" i="1"/>
  <c r="F2397" i="1"/>
  <c r="H2397" i="1"/>
  <c r="E2398" i="1"/>
  <c r="F2398" i="1"/>
  <c r="H2398" i="1"/>
  <c r="E2399" i="1"/>
  <c r="F2399" i="1"/>
  <c r="H2399" i="1"/>
  <c r="E2400" i="1"/>
  <c r="F2400" i="1"/>
  <c r="H2400" i="1"/>
  <c r="E2401" i="1"/>
  <c r="F2401" i="1"/>
  <c r="H2401" i="1"/>
  <c r="E2402" i="1"/>
  <c r="F2402" i="1"/>
  <c r="H2402" i="1"/>
  <c r="E2403" i="1"/>
  <c r="F2403" i="1"/>
  <c r="H2403" i="1"/>
  <c r="E2404" i="1"/>
  <c r="F2404" i="1"/>
  <c r="H2404" i="1"/>
  <c r="E2405" i="1"/>
  <c r="F2405" i="1"/>
  <c r="H2405" i="1"/>
  <c r="E2406" i="1"/>
  <c r="F2406" i="1"/>
  <c r="H2406" i="1"/>
  <c r="E2407" i="1"/>
  <c r="F2407" i="1"/>
  <c r="H2407" i="1"/>
  <c r="E2408" i="1"/>
  <c r="F2408" i="1"/>
  <c r="H2408" i="1"/>
  <c r="E2409" i="1"/>
  <c r="F2409" i="1"/>
  <c r="H2409" i="1"/>
  <c r="E2410" i="1"/>
  <c r="F2410" i="1"/>
  <c r="H2410" i="1"/>
  <c r="E2411" i="1"/>
  <c r="F2411" i="1"/>
  <c r="H2411" i="1"/>
  <c r="E2412" i="1"/>
  <c r="F2412" i="1"/>
  <c r="H2412" i="1"/>
  <c r="E2413" i="1"/>
  <c r="F2413" i="1"/>
  <c r="H2413" i="1"/>
  <c r="E2414" i="1"/>
  <c r="F2414" i="1"/>
  <c r="H2414" i="1"/>
  <c r="E2415" i="1"/>
  <c r="F2415" i="1"/>
  <c r="H2415" i="1"/>
  <c r="E2416" i="1"/>
  <c r="F2416" i="1"/>
  <c r="H2416" i="1"/>
  <c r="E2417" i="1"/>
  <c r="F2417" i="1"/>
  <c r="H2417" i="1"/>
  <c r="E2418" i="1"/>
  <c r="F2418" i="1"/>
  <c r="H2418" i="1"/>
  <c r="E2419" i="1"/>
  <c r="F2419" i="1"/>
  <c r="H2419" i="1"/>
  <c r="E2420" i="1"/>
  <c r="F2420" i="1"/>
  <c r="H2420" i="1"/>
  <c r="E2421" i="1"/>
  <c r="F2421" i="1"/>
  <c r="H2421" i="1"/>
  <c r="E2422" i="1"/>
  <c r="F2422" i="1"/>
  <c r="H2422" i="1"/>
  <c r="E2423" i="1"/>
  <c r="F2423" i="1"/>
  <c r="H2423" i="1"/>
  <c r="E2424" i="1"/>
  <c r="F2424" i="1"/>
  <c r="H2424" i="1"/>
  <c r="E2425" i="1"/>
  <c r="F2425" i="1"/>
  <c r="H2425" i="1"/>
  <c r="E2426" i="1"/>
  <c r="F2426" i="1"/>
  <c r="H2426" i="1"/>
  <c r="E2427" i="1"/>
  <c r="F2427" i="1"/>
  <c r="H2427" i="1"/>
  <c r="E2428" i="1"/>
  <c r="F2428" i="1"/>
  <c r="H2428" i="1"/>
  <c r="E2429" i="1"/>
  <c r="F2429" i="1"/>
  <c r="H2429" i="1"/>
  <c r="E2430" i="1"/>
  <c r="F2430" i="1"/>
  <c r="H2430" i="1"/>
  <c r="E2431" i="1"/>
  <c r="F2431" i="1"/>
  <c r="H2431" i="1"/>
  <c r="E2432" i="1"/>
  <c r="F2432" i="1"/>
  <c r="H2432" i="1"/>
  <c r="E2433" i="1"/>
  <c r="F2433" i="1"/>
  <c r="H2433" i="1"/>
  <c r="E2434" i="1"/>
  <c r="F2434" i="1"/>
  <c r="H2434" i="1"/>
  <c r="E2435" i="1"/>
  <c r="F2435" i="1"/>
  <c r="H2435" i="1"/>
  <c r="E2436" i="1"/>
  <c r="F2436" i="1"/>
  <c r="H2436" i="1"/>
  <c r="E2437" i="1"/>
  <c r="F2437" i="1"/>
  <c r="H2437" i="1"/>
  <c r="E2438" i="1"/>
  <c r="F2438" i="1"/>
  <c r="H2438" i="1"/>
  <c r="E2439" i="1"/>
  <c r="F2439" i="1"/>
  <c r="H2439" i="1"/>
  <c r="E2440" i="1"/>
  <c r="F2440" i="1"/>
  <c r="H2440" i="1"/>
  <c r="E2441" i="1"/>
  <c r="F2441" i="1"/>
  <c r="H2441" i="1"/>
  <c r="E2442" i="1"/>
  <c r="F2442" i="1"/>
  <c r="H2442" i="1"/>
  <c r="E2443" i="1"/>
  <c r="F2443" i="1"/>
  <c r="H2443" i="1"/>
  <c r="E2444" i="1"/>
  <c r="F2444" i="1"/>
  <c r="H2444" i="1"/>
  <c r="E2445" i="1"/>
  <c r="F2445" i="1"/>
  <c r="H2445" i="1"/>
  <c r="E2446" i="1"/>
  <c r="F2446" i="1"/>
  <c r="H2446" i="1"/>
  <c r="E2447" i="1"/>
  <c r="F2447" i="1"/>
  <c r="H2447" i="1"/>
  <c r="E2448" i="1"/>
  <c r="F2448" i="1"/>
  <c r="H2448" i="1"/>
  <c r="E2449" i="1"/>
  <c r="F2449" i="1"/>
  <c r="H2449" i="1"/>
  <c r="E2450" i="1"/>
  <c r="F2450" i="1"/>
  <c r="H2450" i="1"/>
  <c r="E2451" i="1"/>
  <c r="F2451" i="1"/>
  <c r="H2451" i="1"/>
  <c r="E2452" i="1"/>
  <c r="F2452" i="1"/>
  <c r="H2452" i="1"/>
  <c r="E2453" i="1"/>
  <c r="F2453" i="1"/>
  <c r="H2453" i="1"/>
  <c r="E2454" i="1"/>
  <c r="F2454" i="1"/>
  <c r="H2454" i="1"/>
  <c r="E2455" i="1"/>
  <c r="F2455" i="1"/>
  <c r="H2455" i="1"/>
  <c r="E2456" i="1"/>
  <c r="F2456" i="1"/>
  <c r="H2456" i="1"/>
  <c r="E2457" i="1"/>
  <c r="F2457" i="1"/>
  <c r="H2457" i="1"/>
  <c r="E2458" i="1"/>
  <c r="F2458" i="1"/>
  <c r="H2458" i="1"/>
  <c r="E2459" i="1"/>
  <c r="F2459" i="1"/>
  <c r="H2459" i="1"/>
  <c r="E2460" i="1"/>
  <c r="F2460" i="1"/>
  <c r="H2460" i="1"/>
  <c r="E2461" i="1"/>
  <c r="F2461" i="1"/>
  <c r="H2461" i="1"/>
  <c r="E2462" i="1"/>
  <c r="F2462" i="1"/>
  <c r="H2462" i="1"/>
  <c r="E2463" i="1"/>
  <c r="F2463" i="1"/>
  <c r="H2463" i="1"/>
  <c r="E2464" i="1"/>
  <c r="F2464" i="1"/>
  <c r="H2464" i="1"/>
  <c r="E2465" i="1"/>
  <c r="F2465" i="1"/>
  <c r="H2465" i="1"/>
  <c r="E2466" i="1"/>
  <c r="F2466" i="1"/>
  <c r="H2466" i="1"/>
  <c r="E2467" i="1"/>
  <c r="F2467" i="1"/>
  <c r="H2467" i="1"/>
  <c r="E2468" i="1"/>
  <c r="F2468" i="1"/>
  <c r="H2468" i="1"/>
  <c r="E2469" i="1"/>
  <c r="F2469" i="1"/>
  <c r="H2469" i="1"/>
  <c r="E2470" i="1"/>
  <c r="F2470" i="1"/>
  <c r="H2470" i="1"/>
  <c r="E2471" i="1"/>
  <c r="F2471" i="1"/>
  <c r="H2471" i="1"/>
  <c r="E2472" i="1"/>
  <c r="F2472" i="1"/>
  <c r="H2472" i="1"/>
  <c r="E2473" i="1"/>
  <c r="F2473" i="1"/>
  <c r="H2473" i="1"/>
  <c r="E2474" i="1"/>
  <c r="F2474" i="1"/>
  <c r="H2474" i="1"/>
  <c r="E2475" i="1"/>
  <c r="F2475" i="1"/>
  <c r="H2475" i="1"/>
  <c r="E2476" i="1"/>
  <c r="F2476" i="1"/>
  <c r="H2476" i="1"/>
  <c r="E2477" i="1"/>
  <c r="F2477" i="1"/>
  <c r="H2477" i="1"/>
  <c r="E2478" i="1"/>
  <c r="F2478" i="1"/>
  <c r="H2478" i="1"/>
  <c r="E2479" i="1"/>
  <c r="F2479" i="1"/>
  <c r="H2479" i="1"/>
  <c r="E2480" i="1"/>
  <c r="F2480" i="1"/>
  <c r="H2480" i="1"/>
  <c r="E2481" i="1"/>
  <c r="F2481" i="1"/>
  <c r="H2481" i="1"/>
  <c r="E2482" i="1"/>
  <c r="F2482" i="1"/>
  <c r="H2482" i="1"/>
  <c r="E2483" i="1"/>
  <c r="F2483" i="1"/>
  <c r="H2483" i="1"/>
  <c r="E2484" i="1"/>
  <c r="F2484" i="1"/>
  <c r="H2484" i="1"/>
  <c r="E2485" i="1"/>
  <c r="F2485" i="1"/>
  <c r="H2485" i="1"/>
  <c r="E2486" i="1"/>
  <c r="F2486" i="1"/>
  <c r="H2486" i="1"/>
  <c r="E2487" i="1"/>
  <c r="F2487" i="1"/>
  <c r="H2487" i="1"/>
  <c r="E2488" i="1"/>
  <c r="F2488" i="1"/>
  <c r="H2488" i="1"/>
  <c r="E2489" i="1"/>
  <c r="F2489" i="1"/>
  <c r="H2489" i="1"/>
  <c r="E2490" i="1"/>
  <c r="F2490" i="1"/>
  <c r="H2490" i="1"/>
  <c r="E2491" i="1"/>
  <c r="F2491" i="1"/>
  <c r="H2491" i="1"/>
</calcChain>
</file>

<file path=xl/sharedStrings.xml><?xml version="1.0" encoding="utf-8"?>
<sst xmlns="http://schemas.openxmlformats.org/spreadsheetml/2006/main" count="421" uniqueCount="324">
  <si>
    <t>Name</t>
  </si>
  <si>
    <t>Check #</t>
  </si>
  <si>
    <t>Check Amount</t>
  </si>
  <si>
    <t>Check Date</t>
  </si>
  <si>
    <t>Invoice ID</t>
  </si>
  <si>
    <t>Invoice Desc</t>
  </si>
  <si>
    <t>Invoice Payment</t>
  </si>
  <si>
    <t>GL Description</t>
  </si>
  <si>
    <t>304 CONSTRUCTION LLC</t>
  </si>
  <si>
    <t>973 MATERIALS  LLC</t>
  </si>
  <si>
    <t>ARNOLD OIL COMPANY OF AUSTIN LP</t>
  </si>
  <si>
    <t>AAA FIRE &amp; SAFETY EQUIP CO.  INC.</t>
  </si>
  <si>
    <t>ADAM DAKOTA ROWINS</t>
  </si>
  <si>
    <t>ADENA LEWIS</t>
  </si>
  <si>
    <t>ALAMO  GROUP (TX)  INC</t>
  </si>
  <si>
    <t>ALANNA DICKINSON</t>
  </si>
  <si>
    <t>ALBERT NEAL PFEIFFER</t>
  </si>
  <si>
    <t>ALEJANDRO RODRIGUEZ</t>
  </si>
  <si>
    <t>ALLYSA SUTEMEIER</t>
  </si>
  <si>
    <t>AMAZON CAPITAL SERVICES INC</t>
  </si>
  <si>
    <t>AMERICAN ASSN OF NOTARIES</t>
  </si>
  <si>
    <t>AMERICAN TIRE DISTRIBUTORS INC</t>
  </si>
  <si>
    <t>AMERISOURCEBERGEN</t>
  </si>
  <si>
    <t>AMG PRINTING &amp; MAILING  LLC</t>
  </si>
  <si>
    <t>ANDERSON &amp; ANDERSON LAW FIRM PC</t>
  </si>
  <si>
    <t>ANIXTER INC</t>
  </si>
  <si>
    <t>C APPLEMAN ENT INC</t>
  </si>
  <si>
    <t>AQUA BEVERAGE COMPANY/OZARKA</t>
  </si>
  <si>
    <t>AQUA WATER SUPPLY CORPORATION</t>
  </si>
  <si>
    <t>ARSENAL ADVERTISING LLC</t>
  </si>
  <si>
    <t>ASHLEY HERMANS</t>
  </si>
  <si>
    <t>AT&amp;T</t>
  </si>
  <si>
    <t>AT&amp;T MOBILITY</t>
  </si>
  <si>
    <t>ATLAS PHARMACEUTICALS  LLC</t>
  </si>
  <si>
    <t>AUSTIN CITY BUSINESS JOURNALS</t>
  </si>
  <si>
    <t>AUSTIN REBUILDERS INC</t>
  </si>
  <si>
    <t>AUTUMN J SMITH</t>
  </si>
  <si>
    <t>MICHAEL OLDHAM TIRE INC</t>
  </si>
  <si>
    <t>EDUARDO BARRIENTOS</t>
  </si>
  <si>
    <t>BASTROP CENTRAL APPRAISAL DIST.</t>
  </si>
  <si>
    <t>BASTROP COUNTY SHERIFF'S DEPT</t>
  </si>
  <si>
    <t>BASTROP COUNTY CARES</t>
  </si>
  <si>
    <t>BASTROP MEDICAL CLINIC</t>
  </si>
  <si>
    <t>BASTROP PROVIDENCE  LLC</t>
  </si>
  <si>
    <t>BAYER CORPORATION</t>
  </si>
  <si>
    <t>DAVID H OUTON</t>
  </si>
  <si>
    <t>BEN E KEITH CO.</t>
  </si>
  <si>
    <t>BENTON ESKEW</t>
  </si>
  <si>
    <t>MULTI SERVICE TECHNOLOGY SOLUTIONS  INC.</t>
  </si>
  <si>
    <t>B C FOOD GROUP  LLC</t>
  </si>
  <si>
    <t>BIMBO FOODS INC</t>
  </si>
  <si>
    <t>BLAS J. COY  JR.</t>
  </si>
  <si>
    <t>BLUEBONNET ELECTRIC COOPERATIVE  INC.</t>
  </si>
  <si>
    <t>BLUEBONNET TRAILS MHMR</t>
  </si>
  <si>
    <t>BOEHM TRACTOR SALES INC</t>
  </si>
  <si>
    <t>BRAUNTEX MATERIALS INC</t>
  </si>
  <si>
    <t>LAW OFFICE OF BRYAN W. MCDANIEL  P.C.</t>
  </si>
  <si>
    <t>BUREAU OF VITAL STATISTICS</t>
  </si>
  <si>
    <t>TIB-THE INDEPENDENT BANKERS BANK</t>
  </si>
  <si>
    <t>CDW GOVERNMENT INC</t>
  </si>
  <si>
    <t>CELLEBRITE USA INC</t>
  </si>
  <si>
    <t>CENTERPOINT ENERGY</t>
  </si>
  <si>
    <t>CENTRAL TEXAS BARRICADES INC</t>
  </si>
  <si>
    <t>CENTRAL TEXAS AUTOPSY</t>
  </si>
  <si>
    <t>CHRIS MATT DILLON</t>
  </si>
  <si>
    <t>CHRISTOPHER D  DUGGAN</t>
  </si>
  <si>
    <t>CHRISTOPHER DAVID HOMES</t>
  </si>
  <si>
    <t>CINDY BARRON</t>
  </si>
  <si>
    <t>CINTAS</t>
  </si>
  <si>
    <t>CINTAS CORPORATION</t>
  </si>
  <si>
    <t>CINTAS CORPORATION #86</t>
  </si>
  <si>
    <t>CITIBANK</t>
  </si>
  <si>
    <t>CITY OF BASTROP</t>
  </si>
  <si>
    <t>CITY OF SMITHVILLE</t>
  </si>
  <si>
    <t>CLINICAL PATHOLOGY LABORATORIES INC</t>
  </si>
  <si>
    <t>CLINICAL PATHOLOGY ASSOC. OF AUSTIN</t>
  </si>
  <si>
    <t>COMAL COUNTY SHERIFF</t>
  </si>
  <si>
    <t>COMMUNITY HEALTH CENTERS</t>
  </si>
  <si>
    <t>CONNIE SCHROEDER</t>
  </si>
  <si>
    <t>651  04/13/2020"</t>
  </si>
  <si>
    <t>CONTECH ENGINEERED SOLUTIONS INC</t>
  </si>
  <si>
    <t>COOPER EQUIPMENT CO.</t>
  </si>
  <si>
    <t>CORAM ALTERNATE SITE SERVICES  INC</t>
  </si>
  <si>
    <t>COUNTY OF BEXAR - SHERIFF</t>
  </si>
  <si>
    <t>COVERT CHEVROLET-OLDS</t>
  </si>
  <si>
    <t>BUTLER ANIMAL HEALTH HOLDING COMPANY  LLC</t>
  </si>
  <si>
    <t>CRADLEPOINT INC</t>
  </si>
  <si>
    <t>FARBER INC</t>
  </si>
  <si>
    <t>CPI QUALIFIED PLAN CONSULTANTS  INC.</t>
  </si>
  <si>
    <t>CUSTOM PRODUCTS CORPORATION</t>
  </si>
  <si>
    <t>DALLAS COUNTY CONSTABLE PCT 1</t>
  </si>
  <si>
    <t>DASH MEDICAL GLOVES INC.</t>
  </si>
  <si>
    <t>DAVID B BROOKS</t>
  </si>
  <si>
    <t>DAVID HAYWOOD</t>
  </si>
  <si>
    <t>710"</t>
  </si>
  <si>
    <t>DAVID M COLLINS</t>
  </si>
  <si>
    <t>DELL</t>
  </si>
  <si>
    <t>TEXAS DEPARTMENT OF INFORMATION RESOURCES</t>
  </si>
  <si>
    <t>DISCOUNT DOOR &amp; METAL  LLC</t>
  </si>
  <si>
    <t>DISCOUNT FEEDS &amp; SUPPLIES</t>
  </si>
  <si>
    <t>DONNIE STARK</t>
  </si>
  <si>
    <t>DOUBLE D INTERNATIONAL FOOD CO.  INC.</t>
  </si>
  <si>
    <t>DUNNE &amp; JUAREZ L.L.C.</t>
  </si>
  <si>
    <t>DAVID MCMULLEN</t>
  </si>
  <si>
    <t>ECOLAB INC</t>
  </si>
  <si>
    <t>ELECTION CENTER</t>
  </si>
  <si>
    <t>BLACKLANDS PUBLICATIONS INC</t>
  </si>
  <si>
    <t>ELGIN FERTILIZER</t>
  </si>
  <si>
    <t>CITY OF ELGIN UTILITIES</t>
  </si>
  <si>
    <t>ELLIOTT ELECTRIC SUPPLY INC</t>
  </si>
  <si>
    <t>ERGON ASPHALT &amp; EMULSIONS INC</t>
  </si>
  <si>
    <t>BASTROP COUNTY WOMEN'S SHELTER</t>
  </si>
  <si>
    <t>FIRST NATIONAL BANK</t>
  </si>
  <si>
    <t>FLEETPRIDE</t>
  </si>
  <si>
    <t>AUSTIN TRUCK AND EQUIPMENT  LTD</t>
  </si>
  <si>
    <t>EUGENE W BRIGGS JR</t>
  </si>
  <si>
    <t>GALLS PARENT HOLDINGS LLC</t>
  </si>
  <si>
    <t>GARMENTS TO GO  INC</t>
  </si>
  <si>
    <t>GIPSON PENDERGRASS PEOPLE'S MORTUARY LLC</t>
  </si>
  <si>
    <t>GOVCONNECTION INC</t>
  </si>
  <si>
    <t>GOVERNMENT FINANCE OFFICERS ASSN</t>
  </si>
  <si>
    <t>GRAINGER INC</t>
  </si>
  <si>
    <t>GT DISTRIBUTORS  INC.</t>
  </si>
  <si>
    <t>GULF COAST PAPER CO. INC.</t>
  </si>
  <si>
    <t>VERTEX ENERGY  INC.</t>
  </si>
  <si>
    <t>HALFF ASSOCIATES</t>
  </si>
  <si>
    <t>HARRIS COUNTY CONSTABLE PCT 1</t>
  </si>
  <si>
    <t>ITR AMERICA LLC</t>
  </si>
  <si>
    <t>HERITAGE FOOD SERVICES GROUP</t>
  </si>
  <si>
    <t>HERSHCAP BACKHOE &amp; DITCHING  INC.</t>
  </si>
  <si>
    <t>658  04/13/2020"</t>
  </si>
  <si>
    <t>BASCOM L HODGES JR</t>
  </si>
  <si>
    <t>HODGSON G ECKEL</t>
  </si>
  <si>
    <t>BD HOLT CO</t>
  </si>
  <si>
    <t>NORTHWEST CASCADE INC</t>
  </si>
  <si>
    <t>GREGORY LUCAS</t>
  </si>
  <si>
    <t>HULL SUPPLY COMPANY INC</t>
  </si>
  <si>
    <t>HYDRAULIC HOUSE INC</t>
  </si>
  <si>
    <t>INDUSTRIAL LAMINATES CORPORATION</t>
  </si>
  <si>
    <t>INDIGENT HEALTHCARE SOLUTIONS</t>
  </si>
  <si>
    <t>DISTRIBUTOR OPERATIONS INC</t>
  </si>
  <si>
    <t>IRON MOUNTAIN RECORDS MGMT INC</t>
  </si>
  <si>
    <t>JAMES ANDERSON</t>
  </si>
  <si>
    <t>550"</t>
  </si>
  <si>
    <t>JAN LANGER  DVM</t>
  </si>
  <si>
    <t>JENKINS &amp; JENKINS LLP</t>
  </si>
  <si>
    <t>JAMES MORGAN</t>
  </si>
  <si>
    <t>JOHN DEERE FINANCIAL f.s.b.</t>
  </si>
  <si>
    <t>JORDAN BATTERSBY  MCDONALD</t>
  </si>
  <si>
    <t>JOSE ANGEL GONZALEZ</t>
  </si>
  <si>
    <t>BILLY JOSHUA GILL</t>
  </si>
  <si>
    <t>JUSTIN MATTHEW FOHN</t>
  </si>
  <si>
    <t>KATHERINE K. HANNA</t>
  </si>
  <si>
    <t>KELLY-MOORE PAINT COMPANY  INC</t>
  </si>
  <si>
    <t>KENNETH E. LIMUEL JR</t>
  </si>
  <si>
    <t>KENT BROUSSARD TOWER RENTAL INC</t>
  </si>
  <si>
    <t>KING'S PORTABLE THRONES</t>
  </si>
  <si>
    <t>KLEIBER FORD TRACTOR  INC.</t>
  </si>
  <si>
    <t>KOETTER FIRE PROTECTION OF AUSTIN  LLC</t>
  </si>
  <si>
    <t>LA GRANGE FORD</t>
  </si>
  <si>
    <t>THE LA GRANGE PARTS HOUSE INC</t>
  </si>
  <si>
    <t>LABATT INSTITUTIONAL SUPPLY CO</t>
  </si>
  <si>
    <t>LANGFORD COMMUNITY MGMT INC</t>
  </si>
  <si>
    <t>LAURA ROBERTSON</t>
  </si>
  <si>
    <t>LEE COUNTY WATER SUPPLY CORP</t>
  </si>
  <si>
    <t>LEXISNEXIS RISK DATA MGMT INC</t>
  </si>
  <si>
    <t>LIBERTY TIRE RECYCLING</t>
  </si>
  <si>
    <t>LIN MARIE GARSEE</t>
  </si>
  <si>
    <t>LINDA HARMON-TAX ASSESSOR</t>
  </si>
  <si>
    <t>LIQUID ENVIRONMENTAL SOLUTIONS</t>
  </si>
  <si>
    <t>LONE STAR CIRCLE OF CARE</t>
  </si>
  <si>
    <t>UNITED KWB COLLABORATIONS LLC</t>
  </si>
  <si>
    <t>LONNIE LAWRENCE DAVIS JR</t>
  </si>
  <si>
    <t>SCOTT BRYANT</t>
  </si>
  <si>
    <t>LOWE'S</t>
  </si>
  <si>
    <t>MARIA ANFOSSO</t>
  </si>
  <si>
    <t>MARK T. MALONE  M.D. P.A</t>
  </si>
  <si>
    <t>MARY BETH SCOTT</t>
  </si>
  <si>
    <t>MATHESON TRI-GAS INC</t>
  </si>
  <si>
    <t>MAUREEN S BURROWS MD MPH</t>
  </si>
  <si>
    <t>McCREARY  VESELKA  BRAGG &amp; ALLEN P</t>
  </si>
  <si>
    <t>383  04/23/2020"</t>
  </si>
  <si>
    <t>McKESSON MEDICAL-SURGIVAL GOVERNMENT SOLUTIONS LLC</t>
  </si>
  <si>
    <t>MEDIMPACT HEALTHCARE SYSTEMS INC</t>
  </si>
  <si>
    <t>MICHELE FRITSCHE C.S.R.</t>
  </si>
  <si>
    <t>MIDTEX MATERIALS</t>
  </si>
  <si>
    <t>MIKE FORSTNER'S WATERLIFE</t>
  </si>
  <si>
    <t>MOTOROLA SOLUTIONS  IN.C</t>
  </si>
  <si>
    <t>MOUNTAIN WEST DERM-AUSTIN PLLC</t>
  </si>
  <si>
    <t>NALCO COMPANY LLC</t>
  </si>
  <si>
    <t>NALLEY HVAC MECHANICAL LLC</t>
  </si>
  <si>
    <t>NATIONAL FOOD GROUP INC</t>
  </si>
  <si>
    <t>BIG ROOM TESTING LLC</t>
  </si>
  <si>
    <t>NUECES COUNTY CONSTABLE PCT 1</t>
  </si>
  <si>
    <t>O'REILLY AUTOMOTIVE  INC.</t>
  </si>
  <si>
    <t>DEAN FOODS COMPANY</t>
  </si>
  <si>
    <t>OFFICE DEPOT</t>
  </si>
  <si>
    <t>ON SITE SERVICES</t>
  </si>
  <si>
    <t>ROGER C. OSBORN</t>
  </si>
  <si>
    <t>PATTERSON  VETERINARY SUPPLY INC</t>
  </si>
  <si>
    <t>PERDUE  BRANDON  FIELDER  COLLINS &amp; MOTT LLP</t>
  </si>
  <si>
    <t>PHILIP L HALL</t>
  </si>
  <si>
    <t>PHILIP R DUCLOUX</t>
  </si>
  <si>
    <t>PHILLIP N. SLAUGHTER</t>
  </si>
  <si>
    <t>POST OAK HARDWARE  INC.</t>
  </si>
  <si>
    <t>POSTMASTER</t>
  </si>
  <si>
    <t>CITIBANK  N.A. / PRODUCTIVITY PLUS ACCOUNT</t>
  </si>
  <si>
    <t>ELGIN PROVIDENCE LLC</t>
  </si>
  <si>
    <t>PYE-BARKER FIRE &amp; SAFETY LLC</t>
  </si>
  <si>
    <t>RANDAL'S TOWER TECH INC</t>
  </si>
  <si>
    <t>MADTEX  INC.</t>
  </si>
  <si>
    <t>REBECCA STRNAD</t>
  </si>
  <si>
    <t>NRG ENERGY INC</t>
  </si>
  <si>
    <t>REYNOLDS &amp; KEINARTH</t>
  </si>
  <si>
    <t>RIATA FORD</t>
  </si>
  <si>
    <t>RICHARD ALLAN DICKMAN JR</t>
  </si>
  <si>
    <t>RICOH USA INC</t>
  </si>
  <si>
    <t>CIT TECHNOLOGY FINANCE</t>
  </si>
  <si>
    <t>MIKE DAVIS</t>
  </si>
  <si>
    <t>ROADRUNNER RADIOLOGY EQUIP LLC</t>
  </si>
  <si>
    <t>FRANKLIN S. KELLEY</t>
  </si>
  <si>
    <t>ROBERT C. STEUBING</t>
  </si>
  <si>
    <t>ROCKY ROAD PRINTING</t>
  </si>
  <si>
    <t>ROSE PIETSCH COUNTY CLERK</t>
  </si>
  <si>
    <t>RUSH CHEVROLET LLC</t>
  </si>
  <si>
    <t>TRAVIS CNTY DOMESTIC VIOLENCE &amp; SEXUAL ASSAULT</t>
  </si>
  <si>
    <t>SAMMY LERMA III MD</t>
  </si>
  <si>
    <t>SETON NORTHWEST HOSPITAL</t>
  </si>
  <si>
    <t>SETON FAMILY OF HOSPITALS</t>
  </si>
  <si>
    <t>SETON HEALTHCARE SPONSORED PROJECTS</t>
  </si>
  <si>
    <t>SHARON HANCOCK</t>
  </si>
  <si>
    <t>962  04/28/2020"</t>
  </si>
  <si>
    <t>SHI GOVERNMENT SOLUTIONS INC.</t>
  </si>
  <si>
    <t>SHRED-IT US HOLDCO  INC</t>
  </si>
  <si>
    <t>RONALD JOHN CALDWELL JR</t>
  </si>
  <si>
    <t>SINGLETON ASSOCIATES  PA</t>
  </si>
  <si>
    <t>SKYLINE EQUIPMENT INC.</t>
  </si>
  <si>
    <t>SMITH STORES  INC.</t>
  </si>
  <si>
    <t>SMITHVILLE AUTO PARTS  INC</t>
  </si>
  <si>
    <t>SOLARWINDS</t>
  </si>
  <si>
    <t>SOUTHERN TIRE MART LLC</t>
  </si>
  <si>
    <t>SOUTHWEST SOLUTIONS GROUP</t>
  </si>
  <si>
    <t>SPECIALTY VETERINARY PHARMACY INC</t>
  </si>
  <si>
    <t>ST DAVID'S HEALTHCARE PARTNERSHIP</t>
  </si>
  <si>
    <t>ST. DAVIDS HEART &amp; VASCULAR  PLLC</t>
  </si>
  <si>
    <t>ST. MARK'S MEDICAL CENTER</t>
  </si>
  <si>
    <t>SPARKLETTS &amp; SIERRA SPRINGS</t>
  </si>
  <si>
    <t>STAPLES  INC.</t>
  </si>
  <si>
    <t>STERICYCLE  INC.</t>
  </si>
  <si>
    <t>STEVE GRANADO</t>
  </si>
  <si>
    <t>STEVEY SUGARS</t>
  </si>
  <si>
    <t>MATTHEW LEE SULLINS</t>
  </si>
  <si>
    <t>SUN COAST RESOURCES</t>
  </si>
  <si>
    <t>TAVCO SERVICES INC</t>
  </si>
  <si>
    <t>TEXAS COMMISSION ON LAW ENFORCEMENT</t>
  </si>
  <si>
    <t>TEJAS ELEVATOR COMPANY</t>
  </si>
  <si>
    <t>TERRILL L FLENNIKEN</t>
  </si>
  <si>
    <t>AIR RELIEF TECHNOLOGIES  INC</t>
  </si>
  <si>
    <t>TEX-CON OIL CO</t>
  </si>
  <si>
    <t>TEXAS ASSOCIATES INSURORS AGENCY</t>
  </si>
  <si>
    <t>TEXAS ASSOCIATION OF COUNTIES</t>
  </si>
  <si>
    <t>TEXAS DECON LLC</t>
  </si>
  <si>
    <t>TEXAS DEPT OF MOTOR VEHICLES</t>
  </si>
  <si>
    <t>TEXAS DISPOSAL SYSTEMS  INC.</t>
  </si>
  <si>
    <t>TEXAS PARKS &amp; WILDLIFE DEPARTMENT</t>
  </si>
  <si>
    <t>HIGH COUNTRY AUTOMOTIVE  LLC</t>
  </si>
  <si>
    <t>BUG MASTER EXTERMINATING SERVICES  LTD</t>
  </si>
  <si>
    <t>RICHARD NELSON MOORE</t>
  </si>
  <si>
    <t>WEST PUBLISHING CORPORATION</t>
  </si>
  <si>
    <t>TIM MAHONEY  ATTORNEY AT LAW  PC</t>
  </si>
  <si>
    <t>TRACTOR SUPPLY CREDIT PLAN</t>
  </si>
  <si>
    <t>TRAVIS COUNTY CLERK</t>
  </si>
  <si>
    <t>TRAVIS COUNTY CONSTABLE PCT 5</t>
  </si>
  <si>
    <t>TRAVIS COUNTY EMERGENCY PHYSICIANS PA</t>
  </si>
  <si>
    <t>KAUFFMAN TIRE</t>
  </si>
  <si>
    <t>SETON FAMILY OF DOCTORS</t>
  </si>
  <si>
    <t>TULL FARLEY</t>
  </si>
  <si>
    <t>TYLER TECHNOLOGIES INC</t>
  </si>
  <si>
    <t>ULINE  INC.</t>
  </si>
  <si>
    <t>COUFAL-PRATER EQUIPMENT  LLC</t>
  </si>
  <si>
    <t>VICTORY SUPPLY LLC</t>
  </si>
  <si>
    <t>TEXAS DEPARTMENT OF STATE HEALTH SERVICES</t>
  </si>
  <si>
    <t>US BANK NA</t>
  </si>
  <si>
    <t>VTX COMMUNICATIONS  LLC</t>
  </si>
  <si>
    <t>WAGEWORKS INC  FSA/HSA</t>
  </si>
  <si>
    <t>WASTE CONNECTIONS LONE STAR. INC.</t>
  </si>
  <si>
    <t>WASTE MANAGEMENT OF TEXAS  INC</t>
  </si>
  <si>
    <t>WIND KNOT INCORPORATED</t>
  </si>
  <si>
    <t>WEI-ANN LIN (REIMBURSEMENTS ONLY)</t>
  </si>
  <si>
    <t>MAO PHARMACY INC</t>
  </si>
  <si>
    <t>WJC CONSTRUCTORS SERVICES  LLC</t>
  </si>
  <si>
    <t>ZBATTERY.COM INC</t>
  </si>
  <si>
    <t>ACUITY SPECIALTY PRODUCTS INC</t>
  </si>
  <si>
    <t>ZOETIS US LLC</t>
  </si>
  <si>
    <t>CHASCO CONSTRUCTORS LTD LLP</t>
  </si>
  <si>
    <t>COPPERAS CREEK HOUSTON TOAD PRESERVE</t>
  </si>
  <si>
    <t>DESMAR WALKES</t>
  </si>
  <si>
    <t>MERGERS MARKETING INC.</t>
  </si>
  <si>
    <t>GEORGE C. REINEMUND</t>
  </si>
  <si>
    <t>RS EQUIPMENT CO</t>
  </si>
  <si>
    <t>LAURENCE DUNNE  II</t>
  </si>
  <si>
    <t>PTP TRANSPORTATION LLC</t>
  </si>
  <si>
    <t>ROBERT MADDEN INDUSTRIES LTD</t>
  </si>
  <si>
    <t>ALLSTATE-AMERICAN HERITAGE LIFE INS CO</t>
  </si>
  <si>
    <t>AmWINS Group Benefits  Inc.</t>
  </si>
  <si>
    <t>BASTROP COUNTY ADULT PROBATION</t>
  </si>
  <si>
    <t>COLONIAL LIFE &amp; ACCIDENT INS. CO.</t>
  </si>
  <si>
    <t>GUARDIAN</t>
  </si>
  <si>
    <t>IRS-PAYROLL TAXES</t>
  </si>
  <si>
    <t>GERALD FLORES OLIVO</t>
  </si>
  <si>
    <t>PHI AIR MEDICAL  LLC</t>
  </si>
  <si>
    <t>TAC HEALTH BENEFITS POOL</t>
  </si>
  <si>
    <t>TOTAL ADMINISTRATIVE SERVICES CORPORATION</t>
  </si>
  <si>
    <t>TEXAS ATTY.GENERAL'S OFFICE</t>
  </si>
  <si>
    <t>TEXAS CNTY &amp; DIST RETIREMENT SYS</t>
  </si>
  <si>
    <t>TEXAS LEGAL PROTECTION PLAN INC</t>
  </si>
  <si>
    <t>JIM ATTRA INC</t>
  </si>
  <si>
    <t>CITIBANK (SOUTH DAKOTA)N.A./THE HOME DEPOT</t>
  </si>
  <si>
    <t>SHOPPA'S FARM SUPPLY</t>
  </si>
  <si>
    <t>WALMART COMMUNITY BRC</t>
  </si>
  <si>
    <t>NEW ACADEMY HOLDING COMPANY  LLC</t>
  </si>
  <si>
    <t>BASTROP SIGNS &amp; BANNERS</t>
  </si>
  <si>
    <t>DALLAS REGENERATIVE SOLUTIONS LLC</t>
  </si>
  <si>
    <t>Amount 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</si>
</sst>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14" fontId="0" fillId="0" borderId="0" xfId="0" applyNumberFormat="1"/>
    <xf numFmtId="0" fontId="16" fillId="0" borderId="0" xfId="0" applyFont="1"/>
    <xf numFmtId="0" fontId="18" fillId="0" borderId="0" xfId="0" applyFont="1"/>
    <xf numFmtId="44" fontId="18" fillId="0" borderId="0" xfId="1" applyFont="1"/>
    <xf numFmtId="44" fontId="0" fillId="0" borderId="0" xfId="1" applyFont="1"/>
    <xf numFmtId="44" fontId="19" fillId="0" borderId="0" xfId="1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92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56.7109375" bestFit="1" customWidth="1"/>
    <col min="2" max="2" width="7.7109375" bestFit="1" customWidth="1"/>
    <col min="3" max="3" width="14.28515625" style="5" bestFit="1" customWidth="1"/>
    <col min="4" max="4" width="10.85546875" bestFit="1" customWidth="1"/>
    <col min="5" max="5" width="19.42578125" bestFit="1" customWidth="1"/>
    <col min="6" max="6" width="35" bestFit="1" customWidth="1"/>
    <col min="7" max="7" width="19.7109375" style="5" bestFit="1" customWidth="1"/>
    <col min="8" max="8" width="34.85546875" bestFit="1" customWidth="1"/>
  </cols>
  <sheetData>
    <row r="1" spans="1:8" s="3" customFormat="1" x14ac:dyDescent="0.25">
      <c r="A1" s="3" t="s">
        <v>0</v>
      </c>
      <c r="B1" s="3" t="s">
        <v>1</v>
      </c>
      <c r="C1" s="4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3" t="s">
        <v>7</v>
      </c>
    </row>
    <row r="2" spans="1:8" x14ac:dyDescent="0.25">
      <c r="A2" t="s">
        <v>8</v>
      </c>
      <c r="B2">
        <v>2540</v>
      </c>
      <c r="C2" s="5">
        <v>63950.2</v>
      </c>
      <c r="D2" s="1">
        <v>43963</v>
      </c>
      <c r="E2" t="str">
        <f>"RFB 19BCP09B"</f>
        <v>RFB 19BCP09B</v>
      </c>
      <c r="F2" t="str">
        <f>"pay app#6"</f>
        <v>pay app#6</v>
      </c>
      <c r="G2" s="5">
        <v>63950.2</v>
      </c>
      <c r="H2" t="str">
        <f>"pay app#6"</f>
        <v>pay app#6</v>
      </c>
    </row>
    <row r="3" spans="1:8" x14ac:dyDescent="0.25">
      <c r="A3" t="s">
        <v>8</v>
      </c>
      <c r="B3">
        <v>2608</v>
      </c>
      <c r="C3" s="5">
        <v>38498.449999999997</v>
      </c>
      <c r="D3" s="1">
        <v>43978</v>
      </c>
      <c r="E3" t="str">
        <f>"202005186915"</f>
        <v>202005186915</v>
      </c>
      <c r="F3" t="str">
        <f>"PROJ#RFB19BCP009B/PCT#1"</f>
        <v>PROJ#RFB19BCP009B/PCT#1</v>
      </c>
      <c r="G3" s="5">
        <v>38498.449999999997</v>
      </c>
      <c r="H3" t="str">
        <f>"PROJ#RFB19BCP009B/PCT#1"</f>
        <v>PROJ#RFB19BCP009B/PCT#1</v>
      </c>
    </row>
    <row r="4" spans="1:8" x14ac:dyDescent="0.25">
      <c r="A4" t="s">
        <v>9</v>
      </c>
      <c r="B4">
        <v>2535</v>
      </c>
      <c r="C4" s="5">
        <v>15517.76</v>
      </c>
      <c r="D4" s="1">
        <v>43963</v>
      </c>
      <c r="E4" t="str">
        <f>"9725-001-115352"</f>
        <v>9725-001-115352</v>
      </c>
      <c r="F4" t="str">
        <f t="shared" ref="F4:F16" si="0">"ACCT#9725-001/REC BASE/PCT#2"</f>
        <v>ACCT#9725-001/REC BASE/PCT#2</v>
      </c>
      <c r="G4" s="5">
        <v>422.1</v>
      </c>
      <c r="H4" t="str">
        <f t="shared" ref="H4:H16" si="1">"ACCT#9725-001/REC BASE/PCT#2"</f>
        <v>ACCT#9725-001/REC BASE/PCT#2</v>
      </c>
    </row>
    <row r="5" spans="1:8" x14ac:dyDescent="0.25">
      <c r="E5" t="str">
        <f>"9725-001-115442"</f>
        <v>9725-001-115442</v>
      </c>
      <c r="F5" t="str">
        <f t="shared" si="0"/>
        <v>ACCT#9725-001/REC BASE/PCT#2</v>
      </c>
      <c r="G5" s="5">
        <v>187.08</v>
      </c>
      <c r="H5" t="str">
        <f t="shared" si="1"/>
        <v>ACCT#9725-001/REC BASE/PCT#2</v>
      </c>
    </row>
    <row r="6" spans="1:8" x14ac:dyDescent="0.25">
      <c r="E6" t="str">
        <f>"9725-001-115545"</f>
        <v>9725-001-115545</v>
      </c>
      <c r="F6" t="str">
        <f t="shared" si="0"/>
        <v>ACCT#9725-001/REC BASE/PCT#2</v>
      </c>
      <c r="G6" s="5">
        <v>1288.8800000000001</v>
      </c>
      <c r="H6" t="str">
        <f t="shared" si="1"/>
        <v>ACCT#9725-001/REC BASE/PCT#2</v>
      </c>
    </row>
    <row r="7" spans="1:8" x14ac:dyDescent="0.25">
      <c r="E7" t="str">
        <f>"9725-001-115571"</f>
        <v>9725-001-115571</v>
      </c>
      <c r="F7" t="str">
        <f t="shared" si="0"/>
        <v>ACCT#9725-001/REC BASE/PCT#2</v>
      </c>
      <c r="G7" s="5">
        <v>416.15</v>
      </c>
      <c r="H7" t="str">
        <f t="shared" si="1"/>
        <v>ACCT#9725-001/REC BASE/PCT#2</v>
      </c>
    </row>
    <row r="8" spans="1:8" x14ac:dyDescent="0.25">
      <c r="E8" t="str">
        <f>"9725-001-115596"</f>
        <v>9725-001-115596</v>
      </c>
      <c r="F8" t="str">
        <f t="shared" si="0"/>
        <v>ACCT#9725-001/REC BASE/PCT#2</v>
      </c>
      <c r="G8" s="5">
        <v>387.98</v>
      </c>
      <c r="H8" t="str">
        <f t="shared" si="1"/>
        <v>ACCT#9725-001/REC BASE/PCT#2</v>
      </c>
    </row>
    <row r="9" spans="1:8" x14ac:dyDescent="0.25">
      <c r="E9" t="str">
        <f>"9725-001-115619"</f>
        <v>9725-001-115619</v>
      </c>
      <c r="F9" t="str">
        <f t="shared" si="0"/>
        <v>ACCT#9725-001/REC BASE/PCT#2</v>
      </c>
      <c r="G9" s="5">
        <v>195.21</v>
      </c>
      <c r="H9" t="str">
        <f t="shared" si="1"/>
        <v>ACCT#9725-001/REC BASE/PCT#2</v>
      </c>
    </row>
    <row r="10" spans="1:8" x14ac:dyDescent="0.25">
      <c r="E10" t="str">
        <f>"9725-001-115644"</f>
        <v>9725-001-115644</v>
      </c>
      <c r="F10" t="str">
        <f t="shared" si="0"/>
        <v>ACCT#9725-001/REC BASE/PCT#2</v>
      </c>
      <c r="G10" s="5">
        <v>398.65</v>
      </c>
      <c r="H10" t="str">
        <f t="shared" si="1"/>
        <v>ACCT#9725-001/REC BASE/PCT#2</v>
      </c>
    </row>
    <row r="11" spans="1:8" x14ac:dyDescent="0.25">
      <c r="E11" t="str">
        <f>"9725-001-115668"</f>
        <v>9725-001-115668</v>
      </c>
      <c r="F11" t="str">
        <f t="shared" si="0"/>
        <v>ACCT#9725-001/REC BASE/PCT#2</v>
      </c>
      <c r="G11" s="5">
        <v>425.25</v>
      </c>
      <c r="H11" t="str">
        <f t="shared" si="1"/>
        <v>ACCT#9725-001/REC BASE/PCT#2</v>
      </c>
    </row>
    <row r="12" spans="1:8" x14ac:dyDescent="0.25">
      <c r="E12" t="str">
        <f>"9725-001-115701"</f>
        <v>9725-001-115701</v>
      </c>
      <c r="F12" t="str">
        <f t="shared" si="0"/>
        <v>ACCT#9725-001/REC BASE/PCT#2</v>
      </c>
      <c r="G12" s="5">
        <v>188.21</v>
      </c>
      <c r="H12" t="str">
        <f t="shared" si="1"/>
        <v>ACCT#9725-001/REC BASE/PCT#2</v>
      </c>
    </row>
    <row r="13" spans="1:8" x14ac:dyDescent="0.25">
      <c r="E13" t="str">
        <f>"9725-001-115751"</f>
        <v>9725-001-115751</v>
      </c>
      <c r="F13" t="str">
        <f t="shared" si="0"/>
        <v>ACCT#9725-001/REC BASE/PCT#2</v>
      </c>
      <c r="G13" s="5">
        <v>1745.12</v>
      </c>
      <c r="H13" t="str">
        <f t="shared" si="1"/>
        <v>ACCT#9725-001/REC BASE/PCT#2</v>
      </c>
    </row>
    <row r="14" spans="1:8" x14ac:dyDescent="0.25">
      <c r="E14" t="str">
        <f>"9725-001-115768"</f>
        <v>9725-001-115768</v>
      </c>
      <c r="F14" t="str">
        <f t="shared" si="0"/>
        <v>ACCT#9725-001/REC BASE/PCT#2</v>
      </c>
      <c r="G14" s="5">
        <v>1363.17</v>
      </c>
      <c r="H14" t="str">
        <f t="shared" si="1"/>
        <v>ACCT#9725-001/REC BASE/PCT#2</v>
      </c>
    </row>
    <row r="15" spans="1:8" x14ac:dyDescent="0.25">
      <c r="E15" t="str">
        <f>"9725-001-115794"</f>
        <v>9725-001-115794</v>
      </c>
      <c r="F15" t="str">
        <f t="shared" si="0"/>
        <v>ACCT#9725-001/REC BASE/PCT#2</v>
      </c>
      <c r="G15" s="5">
        <v>412.21</v>
      </c>
      <c r="H15" t="str">
        <f t="shared" si="1"/>
        <v>ACCT#9725-001/REC BASE/PCT#2</v>
      </c>
    </row>
    <row r="16" spans="1:8" x14ac:dyDescent="0.25">
      <c r="E16" t="str">
        <f>"9725-001-115816"</f>
        <v>9725-001-115816</v>
      </c>
      <c r="F16" t="str">
        <f t="shared" si="0"/>
        <v>ACCT#9725-001/REC BASE/PCT#2</v>
      </c>
      <c r="G16" s="5">
        <v>221.55</v>
      </c>
      <c r="H16" t="str">
        <f t="shared" si="1"/>
        <v>ACCT#9725-001/REC BASE/PCT#2</v>
      </c>
    </row>
    <row r="17" spans="1:8" x14ac:dyDescent="0.25">
      <c r="E17" t="str">
        <f>"9725-004-115456"</f>
        <v>9725-004-115456</v>
      </c>
      <c r="F17" t="str">
        <f>"RECYCLED BASE/PCT#1"</f>
        <v>RECYCLED BASE/PCT#1</v>
      </c>
      <c r="G17" s="5">
        <v>477.22</v>
      </c>
      <c r="H17" t="str">
        <f>"RECYCLED BASE/PCT#1"</f>
        <v>RECYCLED BASE/PCT#1</v>
      </c>
    </row>
    <row r="18" spans="1:8" x14ac:dyDescent="0.25">
      <c r="E18" t="str">
        <f>"9725-004-115875"</f>
        <v>9725-004-115875</v>
      </c>
      <c r="F18" t="str">
        <f>"RECYCLED BASE/PCT#1"</f>
        <v>RECYCLED BASE/PCT#1</v>
      </c>
      <c r="G18" s="5">
        <v>589.57000000000005</v>
      </c>
      <c r="H18" t="str">
        <f>"RECYCLED BASE/PCT#1"</f>
        <v>RECYCLED BASE/PCT#1</v>
      </c>
    </row>
    <row r="19" spans="1:8" x14ac:dyDescent="0.25">
      <c r="E19" t="str">
        <f>"9725-007-115337"</f>
        <v>9725-007-115337</v>
      </c>
      <c r="F19" t="str">
        <f>"ACCT#9725-007/REC BASE/PCT#4"</f>
        <v>ACCT#9725-007/REC BASE/PCT#4</v>
      </c>
      <c r="G19" s="5">
        <v>1852.57</v>
      </c>
      <c r="H19" t="str">
        <f>"ACCT#9725-007/REC BASE/PCT#4"</f>
        <v>ACCT#9725-007/REC BASE/PCT#4</v>
      </c>
    </row>
    <row r="20" spans="1:8" x14ac:dyDescent="0.25">
      <c r="E20" t="str">
        <f>"9725-007-115361"</f>
        <v>9725-007-115361</v>
      </c>
      <c r="F20" t="str">
        <f>"ACCT#9725-007/REC BASE/PCT#4"</f>
        <v>ACCT#9725-007/REC BASE/PCT#4</v>
      </c>
      <c r="G20" s="5">
        <v>2475.04</v>
      </c>
      <c r="H20" t="str">
        <f>"ACCT#9725-007/REC BASE/PCT#4"</f>
        <v>ACCT#9725-007/REC BASE/PCT#4</v>
      </c>
    </row>
    <row r="21" spans="1:8" x14ac:dyDescent="0.25">
      <c r="E21" t="str">
        <f>"9725-007-115390"</f>
        <v>9725-007-115390</v>
      </c>
      <c r="F21" t="str">
        <f>"ACCT#9725-007/REC BASE/PCT#4"</f>
        <v>ACCT#9725-007/REC BASE/PCT#4</v>
      </c>
      <c r="G21" s="5">
        <v>2471.8000000000002</v>
      </c>
      <c r="H21" t="str">
        <f>"ACCT#9725-007/REC BASE/PCT#4"</f>
        <v>ACCT#9725-007/REC BASE/PCT#4</v>
      </c>
    </row>
    <row r="22" spans="1:8" x14ac:dyDescent="0.25">
      <c r="A22" t="s">
        <v>9</v>
      </c>
      <c r="B22">
        <v>2603</v>
      </c>
      <c r="C22" s="5">
        <v>7417.24</v>
      </c>
      <c r="D22" s="1">
        <v>43978</v>
      </c>
      <c r="E22" t="str">
        <f>"9725-001-115832"</f>
        <v>9725-001-115832</v>
      </c>
      <c r="F22" t="str">
        <f t="shared" ref="F22:F32" si="2">"ACCT #9725-001/REC BASE/PCT#2"</f>
        <v>ACCT #9725-001/REC BASE/PCT#2</v>
      </c>
      <c r="G22" s="5">
        <v>641.29</v>
      </c>
      <c r="H22" t="str">
        <f t="shared" ref="H22:H32" si="3">"ACCT #9725-001/REC BASE/PCT#2"</f>
        <v>ACCT #9725-001/REC BASE/PCT#2</v>
      </c>
    </row>
    <row r="23" spans="1:8" x14ac:dyDescent="0.25">
      <c r="E23" t="str">
        <f>"9725-001-115891"</f>
        <v>9725-001-115891</v>
      </c>
      <c r="F23" t="str">
        <f t="shared" si="2"/>
        <v>ACCT #9725-001/REC BASE/PCT#2</v>
      </c>
      <c r="G23" s="5">
        <v>212.98</v>
      </c>
      <c r="H23" t="str">
        <f t="shared" si="3"/>
        <v>ACCT #9725-001/REC BASE/PCT#2</v>
      </c>
    </row>
    <row r="24" spans="1:8" x14ac:dyDescent="0.25">
      <c r="E24" t="str">
        <f>"9725-001-115914"</f>
        <v>9725-001-115914</v>
      </c>
      <c r="F24" t="str">
        <f t="shared" si="2"/>
        <v>ACCT #9725-001/REC BASE/PCT#2</v>
      </c>
      <c r="G24" s="5">
        <v>406.79</v>
      </c>
      <c r="H24" t="str">
        <f t="shared" si="3"/>
        <v>ACCT #9725-001/REC BASE/PCT#2</v>
      </c>
    </row>
    <row r="25" spans="1:8" x14ac:dyDescent="0.25">
      <c r="E25" t="str">
        <f>"9725-001-115940"</f>
        <v>9725-001-115940</v>
      </c>
      <c r="F25" t="str">
        <f t="shared" si="2"/>
        <v>ACCT #9725-001/REC BASE/PCT#2</v>
      </c>
      <c r="G25" s="5">
        <v>417.29</v>
      </c>
      <c r="H25" t="str">
        <f t="shared" si="3"/>
        <v>ACCT #9725-001/REC BASE/PCT#2</v>
      </c>
    </row>
    <row r="26" spans="1:8" x14ac:dyDescent="0.25">
      <c r="E26" t="str">
        <f>"9725-001-115971"</f>
        <v>9725-001-115971</v>
      </c>
      <c r="F26" t="str">
        <f t="shared" si="2"/>
        <v>ACCT #9725-001/REC BASE/PCT#2</v>
      </c>
      <c r="G26" s="5">
        <v>201.86</v>
      </c>
      <c r="H26" t="str">
        <f t="shared" si="3"/>
        <v>ACCT #9725-001/REC BASE/PCT#2</v>
      </c>
    </row>
    <row r="27" spans="1:8" x14ac:dyDescent="0.25">
      <c r="E27" t="str">
        <f>"9725-001-116004"</f>
        <v>9725-001-116004</v>
      </c>
      <c r="F27" t="str">
        <f t="shared" si="2"/>
        <v>ACCT #9725-001/REC BASE/PCT#2</v>
      </c>
      <c r="G27" s="5">
        <v>431.55</v>
      </c>
      <c r="H27" t="str">
        <f t="shared" si="3"/>
        <v>ACCT #9725-001/REC BASE/PCT#2</v>
      </c>
    </row>
    <row r="28" spans="1:8" x14ac:dyDescent="0.25">
      <c r="E28" t="str">
        <f>"9725-001-116029"</f>
        <v>9725-001-116029</v>
      </c>
      <c r="F28" t="str">
        <f t="shared" si="2"/>
        <v>ACCT #9725-001/REC BASE/PCT#2</v>
      </c>
      <c r="G28" s="5">
        <v>2653.1</v>
      </c>
      <c r="H28" t="str">
        <f t="shared" si="3"/>
        <v>ACCT #9725-001/REC BASE/PCT#2</v>
      </c>
    </row>
    <row r="29" spans="1:8" x14ac:dyDescent="0.25">
      <c r="E29" t="str">
        <f>"9725-001-116064"</f>
        <v>9725-001-116064</v>
      </c>
      <c r="F29" t="str">
        <f t="shared" si="2"/>
        <v>ACCT #9725-001/REC BASE/PCT#2</v>
      </c>
      <c r="G29" s="5">
        <v>611.45000000000005</v>
      </c>
      <c r="H29" t="str">
        <f t="shared" si="3"/>
        <v>ACCT #9725-001/REC BASE/PCT#2</v>
      </c>
    </row>
    <row r="30" spans="1:8" x14ac:dyDescent="0.25">
      <c r="E30" t="str">
        <f>"9725-001-116088"</f>
        <v>9725-001-116088</v>
      </c>
      <c r="F30" t="str">
        <f t="shared" si="2"/>
        <v>ACCT #9725-001/REC BASE/PCT#2</v>
      </c>
      <c r="G30" s="5">
        <v>821.98</v>
      </c>
      <c r="H30" t="str">
        <f t="shared" si="3"/>
        <v>ACCT #9725-001/REC BASE/PCT#2</v>
      </c>
    </row>
    <row r="31" spans="1:8" x14ac:dyDescent="0.25">
      <c r="E31" t="str">
        <f>"9725-001-116113"</f>
        <v>9725-001-116113</v>
      </c>
      <c r="F31" t="str">
        <f t="shared" si="2"/>
        <v>ACCT #9725-001/REC BASE/PCT#2</v>
      </c>
      <c r="G31" s="5">
        <v>184.28</v>
      </c>
      <c r="H31" t="str">
        <f t="shared" si="3"/>
        <v>ACCT #9725-001/REC BASE/PCT#2</v>
      </c>
    </row>
    <row r="32" spans="1:8" x14ac:dyDescent="0.25">
      <c r="E32" t="str">
        <f>"9725-001-116136"</f>
        <v>9725-001-116136</v>
      </c>
      <c r="F32" t="str">
        <f t="shared" si="2"/>
        <v>ACCT #9725-001/REC BASE/PCT#2</v>
      </c>
      <c r="G32" s="5">
        <v>433.04</v>
      </c>
      <c r="H32" t="str">
        <f t="shared" si="3"/>
        <v>ACCT #9725-001/REC BASE/PCT#2</v>
      </c>
    </row>
    <row r="33" spans="1:8" x14ac:dyDescent="0.25">
      <c r="E33" t="str">
        <f>"9725-004-115982"</f>
        <v>9725-004-115982</v>
      </c>
      <c r="F33" t="str">
        <f>"ACCT#9725-004/PCT#1"</f>
        <v>ACCT#9725-004/PCT#1</v>
      </c>
      <c r="G33" s="5">
        <v>401.63</v>
      </c>
      <c r="H33" t="str">
        <f>"ACCT#9725-004/PCT#1"</f>
        <v>ACCT#9725-004/PCT#1</v>
      </c>
    </row>
    <row r="34" spans="1:8" x14ac:dyDescent="0.25">
      <c r="A34" t="s">
        <v>10</v>
      </c>
      <c r="B34">
        <v>131776</v>
      </c>
      <c r="C34" s="5">
        <v>275.2</v>
      </c>
      <c r="D34" s="1">
        <v>43962</v>
      </c>
      <c r="E34" t="str">
        <f>"390183"</f>
        <v>390183</v>
      </c>
      <c r="F34" t="str">
        <f>"CUST#16500 / PCT#4"</f>
        <v>CUST#16500 / PCT#4</v>
      </c>
      <c r="G34" s="5">
        <v>275.2</v>
      </c>
      <c r="H34" t="str">
        <f>"CUST#16500 / PCT#4"</f>
        <v>CUST#16500 / PCT#4</v>
      </c>
    </row>
    <row r="35" spans="1:8" x14ac:dyDescent="0.25">
      <c r="A35" t="s">
        <v>11</v>
      </c>
      <c r="B35">
        <v>131777</v>
      </c>
      <c r="C35" s="5">
        <v>748.5</v>
      </c>
      <c r="D35" s="1">
        <v>43962</v>
      </c>
      <c r="E35" t="str">
        <f>"614005"</f>
        <v>614005</v>
      </c>
      <c r="F35" t="str">
        <f>"FIRE EXT MAINT/PCT#4"</f>
        <v>FIRE EXT MAINT/PCT#4</v>
      </c>
      <c r="G35" s="5">
        <v>748.5</v>
      </c>
      <c r="H35" t="str">
        <f>"FIRE EXT MAINT/PCT#4"</f>
        <v>FIRE EXT MAINT/PCT#4</v>
      </c>
    </row>
    <row r="36" spans="1:8" x14ac:dyDescent="0.25">
      <c r="A36" t="s">
        <v>11</v>
      </c>
      <c r="B36">
        <v>131908</v>
      </c>
      <c r="C36" s="5">
        <v>2532.5</v>
      </c>
      <c r="D36" s="1">
        <v>43977</v>
      </c>
      <c r="E36" t="str">
        <f>"INV324198 INV33013"</f>
        <v>INV324198 INV33013</v>
      </c>
      <c r="F36" t="str">
        <f>"INV324198"</f>
        <v>INV324198</v>
      </c>
      <c r="G36" s="5">
        <v>2532.5</v>
      </c>
      <c r="H36" t="str">
        <f>"INV324198"</f>
        <v>INV324198</v>
      </c>
    </row>
    <row r="37" spans="1:8" x14ac:dyDescent="0.25">
      <c r="E37" t="str">
        <f>""</f>
        <v/>
      </c>
      <c r="F37" t="str">
        <f>""</f>
        <v/>
      </c>
      <c r="H37" t="str">
        <f>"INV330135"</f>
        <v>INV330135</v>
      </c>
    </row>
    <row r="38" spans="1:8" x14ac:dyDescent="0.25">
      <c r="E38" t="str">
        <f>""</f>
        <v/>
      </c>
      <c r="F38" t="str">
        <f>""</f>
        <v/>
      </c>
      <c r="H38" t="str">
        <f>"INV330261"</f>
        <v>INV330261</v>
      </c>
    </row>
    <row r="39" spans="1:8" x14ac:dyDescent="0.25">
      <c r="A39" t="s">
        <v>12</v>
      </c>
      <c r="B39">
        <v>131778</v>
      </c>
      <c r="C39" s="5">
        <v>310</v>
      </c>
      <c r="D39" s="1">
        <v>43962</v>
      </c>
      <c r="E39" t="str">
        <f>"202005056703"</f>
        <v>202005056703</v>
      </c>
      <c r="F39" t="str">
        <f>"19-19963"</f>
        <v>19-19963</v>
      </c>
      <c r="G39" s="5">
        <v>137.5</v>
      </c>
      <c r="H39" t="str">
        <f>"19-19963"</f>
        <v>19-19963</v>
      </c>
    </row>
    <row r="40" spans="1:8" x14ac:dyDescent="0.25">
      <c r="E40" t="str">
        <f>"202005056704"</f>
        <v>202005056704</v>
      </c>
      <c r="F40" t="str">
        <f>"19-20002"</f>
        <v>19-20002</v>
      </c>
      <c r="G40" s="5">
        <v>45</v>
      </c>
      <c r="H40" t="str">
        <f>"19-20002"</f>
        <v>19-20002</v>
      </c>
    </row>
    <row r="41" spans="1:8" x14ac:dyDescent="0.25">
      <c r="E41" t="str">
        <f>"202005056705"</f>
        <v>202005056705</v>
      </c>
      <c r="F41" t="str">
        <f>"19-19857"</f>
        <v>19-19857</v>
      </c>
      <c r="G41" s="5">
        <v>127.5</v>
      </c>
      <c r="H41" t="str">
        <f>"19-19857"</f>
        <v>19-19857</v>
      </c>
    </row>
    <row r="42" spans="1:8" x14ac:dyDescent="0.25">
      <c r="A42" t="s">
        <v>13</v>
      </c>
      <c r="B42">
        <v>2544</v>
      </c>
      <c r="C42" s="5">
        <v>133.99</v>
      </c>
      <c r="D42" s="1">
        <v>43963</v>
      </c>
      <c r="E42" t="str">
        <f>"202005056660"</f>
        <v>202005056660</v>
      </c>
      <c r="F42" t="str">
        <f>"REIMBURSE PHOTOGRAPHY SC/MAIL"</f>
        <v>REIMBURSE PHOTOGRAPHY SC/MAIL</v>
      </c>
      <c r="G42" s="5">
        <v>133.99</v>
      </c>
      <c r="H42" t="str">
        <f>"REIMBURSE PHOTOGRAPHY SC/MAIL"</f>
        <v>REIMBURSE PHOTOGRAPHY SC/MAIL</v>
      </c>
    </row>
    <row r="43" spans="1:8" x14ac:dyDescent="0.25">
      <c r="A43" t="s">
        <v>13</v>
      </c>
      <c r="B43">
        <v>2612</v>
      </c>
      <c r="C43" s="5">
        <v>127.79</v>
      </c>
      <c r="D43" s="1">
        <v>43978</v>
      </c>
      <c r="E43" t="str">
        <f>"202005196920"</f>
        <v>202005196920</v>
      </c>
      <c r="F43" t="str">
        <f>"REIMBURSE DROP BOX MAY 2020"</f>
        <v>REIMBURSE DROP BOX MAY 2020</v>
      </c>
      <c r="G43" s="5">
        <v>127.79</v>
      </c>
      <c r="H43" t="str">
        <f>"REIMBURSE DROP BOX MAY 2020"</f>
        <v>REIMBURSE DROP BOX MAY 2020</v>
      </c>
    </row>
    <row r="44" spans="1:8" x14ac:dyDescent="0.25">
      <c r="A44" t="s">
        <v>14</v>
      </c>
      <c r="B44">
        <v>131909</v>
      </c>
      <c r="C44" s="5">
        <v>902.23</v>
      </c>
      <c r="D44" s="1">
        <v>43977</v>
      </c>
      <c r="E44" t="str">
        <f>"7028825"</f>
        <v>7028825</v>
      </c>
      <c r="F44" t="str">
        <f>"CUST#17295/PCT#3"</f>
        <v>CUST#17295/PCT#3</v>
      </c>
      <c r="G44" s="5">
        <v>902.23</v>
      </c>
      <c r="H44" t="str">
        <f>"CUST#17295/PCT#3"</f>
        <v>CUST#17295/PCT#3</v>
      </c>
    </row>
    <row r="45" spans="1:8" x14ac:dyDescent="0.25">
      <c r="A45" t="s">
        <v>15</v>
      </c>
      <c r="B45">
        <v>131910</v>
      </c>
      <c r="C45" s="5">
        <v>60</v>
      </c>
      <c r="D45" s="1">
        <v>43977</v>
      </c>
      <c r="E45" t="str">
        <f>"202005196941"</f>
        <v>202005196941</v>
      </c>
      <c r="F45" t="str">
        <f>"ALANNA DICKINSON"</f>
        <v>ALANNA DICKINSON</v>
      </c>
      <c r="G45" s="5">
        <v>60</v>
      </c>
      <c r="H45" t="str">
        <f>""</f>
        <v/>
      </c>
    </row>
    <row r="46" spans="1:8" x14ac:dyDescent="0.25">
      <c r="A46" t="s">
        <v>16</v>
      </c>
      <c r="B46">
        <v>2643</v>
      </c>
      <c r="C46" s="5">
        <v>200</v>
      </c>
      <c r="D46" s="1">
        <v>43978</v>
      </c>
      <c r="E46" t="str">
        <f>"202005146886"</f>
        <v>202005146886</v>
      </c>
      <c r="F46" t="str">
        <f>"10213 2019C   10213 2019B"</f>
        <v>10213 2019C   10213 2019B</v>
      </c>
      <c r="G46" s="5">
        <v>200</v>
      </c>
      <c r="H46" t="str">
        <f>"10213 2019C   10213 2019B"</f>
        <v>10213 2019C   10213 2019B</v>
      </c>
    </row>
    <row r="47" spans="1:8" x14ac:dyDescent="0.25">
      <c r="A47" t="s">
        <v>17</v>
      </c>
      <c r="B47">
        <v>2616</v>
      </c>
      <c r="C47" s="5">
        <v>300</v>
      </c>
      <c r="D47" s="1">
        <v>43978</v>
      </c>
      <c r="E47" t="str">
        <f>"202005146863"</f>
        <v>202005146863</v>
      </c>
      <c r="F47" t="str">
        <f>"423-6569"</f>
        <v>423-6569</v>
      </c>
      <c r="G47" s="5">
        <v>300</v>
      </c>
      <c r="H47" t="str">
        <f>"423-6569"</f>
        <v>423-6569</v>
      </c>
    </row>
    <row r="48" spans="1:8" x14ac:dyDescent="0.25">
      <c r="A48" t="s">
        <v>18</v>
      </c>
      <c r="B48">
        <v>131911</v>
      </c>
      <c r="C48" s="5">
        <v>130</v>
      </c>
      <c r="D48" s="1">
        <v>43977</v>
      </c>
      <c r="E48" t="str">
        <f>"202005206974"</f>
        <v>202005206974</v>
      </c>
      <c r="F48" t="str">
        <f>"REFUND FOR RETURNED PET"</f>
        <v>REFUND FOR RETURNED PET</v>
      </c>
      <c r="G48" s="5">
        <v>130</v>
      </c>
      <c r="H48" t="str">
        <f>"REFUND FOR RETURNED PET"</f>
        <v>REFUND FOR RETURNED PET</v>
      </c>
    </row>
    <row r="49" spans="1:8" x14ac:dyDescent="0.25">
      <c r="A49" t="s">
        <v>19</v>
      </c>
      <c r="B49">
        <v>2554</v>
      </c>
      <c r="C49" s="5">
        <v>96.02</v>
      </c>
      <c r="D49" s="1">
        <v>43963</v>
      </c>
      <c r="E49" t="str">
        <f>"11LG-QPQF-DH3K"</f>
        <v>11LG-QPQF-DH3K</v>
      </c>
      <c r="F49" t="str">
        <f>"Cases"</f>
        <v>Cases</v>
      </c>
      <c r="G49" s="5">
        <v>96.02</v>
      </c>
      <c r="H49" t="str">
        <f>"Latitude 5290"</f>
        <v>Latitude 5290</v>
      </c>
    </row>
    <row r="50" spans="1:8" x14ac:dyDescent="0.25">
      <c r="E50" t="str">
        <f>""</f>
        <v/>
      </c>
      <c r="F50" t="str">
        <f>""</f>
        <v/>
      </c>
      <c r="H50" t="str">
        <f>"Latitude 5290"</f>
        <v>Latitude 5290</v>
      </c>
    </row>
    <row r="51" spans="1:8" x14ac:dyDescent="0.25">
      <c r="A51" t="s">
        <v>19</v>
      </c>
      <c r="B51">
        <v>2626</v>
      </c>
      <c r="C51" s="5">
        <v>1452.97</v>
      </c>
      <c r="D51" s="1">
        <v>43978</v>
      </c>
      <c r="E51" t="str">
        <f>"1TMG-YGK4-4R44"</f>
        <v>1TMG-YGK4-4R44</v>
      </c>
      <c r="F51" t="str">
        <f>"VCR &amp; DVD Recorder"</f>
        <v>VCR &amp; DVD Recorder</v>
      </c>
      <c r="G51" s="5">
        <v>1207.99</v>
      </c>
      <c r="H51" t="str">
        <f>"ZV427FX4"</f>
        <v>ZV427FX4</v>
      </c>
    </row>
    <row r="52" spans="1:8" x14ac:dyDescent="0.25">
      <c r="E52" t="str">
        <f>""</f>
        <v/>
      </c>
      <c r="F52" t="str">
        <f>""</f>
        <v/>
      </c>
      <c r="H52" t="str">
        <f>"ZV427FX4"</f>
        <v>ZV427FX4</v>
      </c>
    </row>
    <row r="53" spans="1:8" x14ac:dyDescent="0.25">
      <c r="E53" t="str">
        <f>""</f>
        <v/>
      </c>
      <c r="F53" t="str">
        <f>""</f>
        <v/>
      </c>
      <c r="H53" t="str">
        <f>"Shipping"</f>
        <v>Shipping</v>
      </c>
    </row>
    <row r="54" spans="1:8" x14ac:dyDescent="0.25">
      <c r="E54" t="str">
        <f>"1WL1-R3PH-FWVG"</f>
        <v>1WL1-R3PH-FWVG</v>
      </c>
      <c r="F54" t="str">
        <f>"Soundbar"</f>
        <v>Soundbar</v>
      </c>
      <c r="G54" s="5">
        <v>159.99</v>
      </c>
      <c r="H54" t="str">
        <f>"Bose Solo 5"</f>
        <v>Bose Solo 5</v>
      </c>
    </row>
    <row r="55" spans="1:8" x14ac:dyDescent="0.25">
      <c r="E55" t="str">
        <f>"1X7K-YVFX-Y7R9"</f>
        <v>1X7K-YVFX-Y7R9</v>
      </c>
      <c r="F55" t="str">
        <f>"TRENDnet"</f>
        <v>TRENDnet</v>
      </c>
      <c r="G55" s="5">
        <v>84.99</v>
      </c>
      <c r="H55" t="str">
        <f>"TRENDnet adapter"</f>
        <v>TRENDnet adapter</v>
      </c>
    </row>
    <row r="56" spans="1:8" x14ac:dyDescent="0.25">
      <c r="A56" t="s">
        <v>20</v>
      </c>
      <c r="B56">
        <v>131779</v>
      </c>
      <c r="C56" s="5">
        <v>133.80000000000001</v>
      </c>
      <c r="D56" s="1">
        <v>43962</v>
      </c>
      <c r="E56" t="str">
        <f>"01-201279546"</f>
        <v>01-201279546</v>
      </c>
      <c r="F56" t="str">
        <f>"INV 01-201279546"</f>
        <v>INV 01-201279546</v>
      </c>
      <c r="G56" s="5">
        <v>36.9</v>
      </c>
      <c r="H56" t="str">
        <f>"INV 01-201279546"</f>
        <v>INV 01-201279546</v>
      </c>
    </row>
    <row r="57" spans="1:8" x14ac:dyDescent="0.25">
      <c r="E57" t="str">
        <f>"202004286619"</f>
        <v>202004286619</v>
      </c>
      <c r="F57" t="str">
        <f>"NOTARY PACKAGE-KRISTIN MILES"</f>
        <v>NOTARY PACKAGE-KRISTIN MILES</v>
      </c>
      <c r="G57" s="5">
        <v>96.9</v>
      </c>
      <c r="H57" t="str">
        <f>"NOTARY PACKAGE-KRISTIN MILES"</f>
        <v>NOTARY PACKAGE-KRISTIN MILES</v>
      </c>
    </row>
    <row r="58" spans="1:8" x14ac:dyDescent="0.25">
      <c r="A58" t="s">
        <v>21</v>
      </c>
      <c r="B58">
        <v>2613</v>
      </c>
      <c r="C58" s="5">
        <v>436.04</v>
      </c>
      <c r="D58" s="1">
        <v>43978</v>
      </c>
      <c r="E58" t="str">
        <f>"S136276509"</f>
        <v>S136276509</v>
      </c>
      <c r="F58" t="str">
        <f>"ORD#171252140/PCT#2"</f>
        <v>ORD#171252140/PCT#2</v>
      </c>
      <c r="G58" s="5">
        <v>436.04</v>
      </c>
      <c r="H58" t="str">
        <f>"ORD#171252140/PCT#2"</f>
        <v>ORD#171252140/PCT#2</v>
      </c>
    </row>
    <row r="59" spans="1:8" x14ac:dyDescent="0.25">
      <c r="A59" t="s">
        <v>22</v>
      </c>
      <c r="B59">
        <v>131780</v>
      </c>
      <c r="C59" s="5">
        <v>52.78</v>
      </c>
      <c r="D59" s="1">
        <v>43962</v>
      </c>
      <c r="E59" t="str">
        <f>"971303603"</f>
        <v>971303603</v>
      </c>
      <c r="F59" t="str">
        <f>"INV 971303603"</f>
        <v>INV 971303603</v>
      </c>
      <c r="G59" s="5">
        <v>52.78</v>
      </c>
      <c r="H59" t="str">
        <f>"INV 971303603"</f>
        <v>INV 971303603</v>
      </c>
    </row>
    <row r="60" spans="1:8" x14ac:dyDescent="0.25">
      <c r="A60" t="s">
        <v>23</v>
      </c>
      <c r="B60">
        <v>131781</v>
      </c>
      <c r="C60" s="5">
        <v>14500</v>
      </c>
      <c r="D60" s="1">
        <v>43962</v>
      </c>
      <c r="E60" t="str">
        <f>"112176"</f>
        <v>112176</v>
      </c>
      <c r="F60" t="str">
        <f>"VOTER SUPPLIES"</f>
        <v>VOTER SUPPLIES</v>
      </c>
      <c r="G60" s="5">
        <v>14500</v>
      </c>
      <c r="H60" t="str">
        <f>"VOTER SUPPLIES"</f>
        <v>VOTER SUPPLIES</v>
      </c>
    </row>
    <row r="61" spans="1:8" x14ac:dyDescent="0.25">
      <c r="A61" t="s">
        <v>24</v>
      </c>
      <c r="B61">
        <v>2585</v>
      </c>
      <c r="C61" s="5">
        <v>850</v>
      </c>
      <c r="D61" s="1">
        <v>43963</v>
      </c>
      <c r="E61" t="str">
        <f>"202005056683"</f>
        <v>202005056683</v>
      </c>
      <c r="F61" t="str">
        <f>"404-248-6"</f>
        <v>404-248-6</v>
      </c>
      <c r="G61" s="5">
        <v>250</v>
      </c>
      <c r="H61" t="str">
        <f>"404-248-6"</f>
        <v>404-248-6</v>
      </c>
    </row>
    <row r="62" spans="1:8" x14ac:dyDescent="0.25">
      <c r="E62" t="str">
        <f>"202005056684"</f>
        <v>202005056684</v>
      </c>
      <c r="F62" t="str">
        <f>"41115911"</f>
        <v>41115911</v>
      </c>
      <c r="G62" s="5">
        <v>250</v>
      </c>
      <c r="H62" t="str">
        <f>"41115911"</f>
        <v>41115911</v>
      </c>
    </row>
    <row r="63" spans="1:8" x14ac:dyDescent="0.25">
      <c r="E63" t="str">
        <f>"202005056685"</f>
        <v>202005056685</v>
      </c>
      <c r="F63" t="str">
        <f>"312292016B"</f>
        <v>312292016B</v>
      </c>
      <c r="G63" s="5">
        <v>250</v>
      </c>
      <c r="H63" t="str">
        <f>"312292016B"</f>
        <v>312292016B</v>
      </c>
    </row>
    <row r="64" spans="1:8" x14ac:dyDescent="0.25">
      <c r="E64" t="str">
        <f>"202005056686"</f>
        <v>202005056686</v>
      </c>
      <c r="F64" t="str">
        <f>"19-19847"</f>
        <v>19-19847</v>
      </c>
      <c r="G64" s="5">
        <v>100</v>
      </c>
      <c r="H64" t="str">
        <f>"19-19847"</f>
        <v>19-19847</v>
      </c>
    </row>
    <row r="65" spans="1:8" x14ac:dyDescent="0.25">
      <c r="A65" t="s">
        <v>24</v>
      </c>
      <c r="B65">
        <v>2654</v>
      </c>
      <c r="C65" s="5">
        <v>3100</v>
      </c>
      <c r="D65" s="1">
        <v>43978</v>
      </c>
      <c r="E65" t="str">
        <f>"202005146870"</f>
        <v>202005146870</v>
      </c>
      <c r="F65" t="str">
        <f>"1511-335"</f>
        <v>1511-335</v>
      </c>
      <c r="G65" s="5">
        <v>100</v>
      </c>
      <c r="H65" t="str">
        <f>"1511-335"</f>
        <v>1511-335</v>
      </c>
    </row>
    <row r="66" spans="1:8" x14ac:dyDescent="0.25">
      <c r="E66" t="str">
        <f>"202005146871"</f>
        <v>202005146871</v>
      </c>
      <c r="F66" t="str">
        <f>"16 838   16 919"</f>
        <v>16 838   16 919</v>
      </c>
      <c r="G66" s="5">
        <v>300</v>
      </c>
      <c r="H66" t="str">
        <f>"16 838   16 919"</f>
        <v>16 838   16 919</v>
      </c>
    </row>
    <row r="67" spans="1:8" x14ac:dyDescent="0.25">
      <c r="E67" t="str">
        <f>"202005146872"</f>
        <v>202005146872</v>
      </c>
      <c r="F67" t="str">
        <f>"1272-21  1275-335  423-6785"</f>
        <v>1272-21  1275-335  423-6785</v>
      </c>
      <c r="G67" s="5">
        <v>400</v>
      </c>
      <c r="H67" t="str">
        <f>"1272-21  1275-335  423-6785"</f>
        <v>1272-21  1275-335  423-6785</v>
      </c>
    </row>
    <row r="68" spans="1:8" x14ac:dyDescent="0.25">
      <c r="E68" t="str">
        <f>"202005146873"</f>
        <v>202005146873</v>
      </c>
      <c r="F68" t="str">
        <f>"1486-335"</f>
        <v>1486-335</v>
      </c>
      <c r="G68" s="5">
        <v>100</v>
      </c>
      <c r="H68" t="str">
        <f>"1486-335"</f>
        <v>1486-335</v>
      </c>
    </row>
    <row r="69" spans="1:8" x14ac:dyDescent="0.25">
      <c r="E69" t="str">
        <f>"202005146874"</f>
        <v>202005146874</v>
      </c>
      <c r="F69" t="str">
        <f>"17 095"</f>
        <v>17 095</v>
      </c>
      <c r="G69" s="5">
        <v>100</v>
      </c>
      <c r="H69" t="str">
        <f>"17 095"</f>
        <v>17 095</v>
      </c>
    </row>
    <row r="70" spans="1:8" x14ac:dyDescent="0.25">
      <c r="E70" t="str">
        <f>"202005146875"</f>
        <v>202005146875</v>
      </c>
      <c r="F70" t="str">
        <f>"423-7170"</f>
        <v>423-7170</v>
      </c>
      <c r="G70" s="5">
        <v>100</v>
      </c>
      <c r="H70" t="str">
        <f>"423-7170"</f>
        <v>423-7170</v>
      </c>
    </row>
    <row r="71" spans="1:8" x14ac:dyDescent="0.25">
      <c r="E71" t="str">
        <f>"202005146876"</f>
        <v>202005146876</v>
      </c>
      <c r="F71" t="str">
        <f>"17 051  1499-335"</f>
        <v>17 051  1499-335</v>
      </c>
      <c r="G71" s="5">
        <v>200</v>
      </c>
      <c r="H71" t="str">
        <f>"17 051  1499-335"</f>
        <v>17 051  1499-335</v>
      </c>
    </row>
    <row r="72" spans="1:8" x14ac:dyDescent="0.25">
      <c r="E72" t="str">
        <f>"202005146877"</f>
        <v>202005146877</v>
      </c>
      <c r="F72" t="str">
        <f>"17 070  423-7191"</f>
        <v>17 070  423-7191</v>
      </c>
      <c r="G72" s="5">
        <v>200</v>
      </c>
      <c r="H72" t="str">
        <f>"17 070  423-7191"</f>
        <v>17 070  423-7191</v>
      </c>
    </row>
    <row r="73" spans="1:8" x14ac:dyDescent="0.25">
      <c r="E73" t="str">
        <f>"202005146878"</f>
        <v>202005146878</v>
      </c>
      <c r="F73" t="str">
        <f>"C190114  JP112292019A"</f>
        <v>C190114  JP112292019A</v>
      </c>
      <c r="G73" s="5">
        <v>600</v>
      </c>
      <c r="H73" t="str">
        <f>"C190114  JP112292019A"</f>
        <v>C190114  JP112292019A</v>
      </c>
    </row>
    <row r="74" spans="1:8" x14ac:dyDescent="0.25">
      <c r="E74" t="str">
        <f>"202005146879"</f>
        <v>202005146879</v>
      </c>
      <c r="F74" t="str">
        <f>"AC-2019-0303A"</f>
        <v>AC-2019-0303A</v>
      </c>
      <c r="G74" s="5">
        <v>200</v>
      </c>
      <c r="H74" t="str">
        <f>"AC-2019-0303A"</f>
        <v>AC-2019-0303A</v>
      </c>
    </row>
    <row r="75" spans="1:8" x14ac:dyDescent="0.25">
      <c r="E75" t="str">
        <f>"202005146880"</f>
        <v>202005146880</v>
      </c>
      <c r="F75" t="str">
        <f>"1471-335"</f>
        <v>1471-335</v>
      </c>
      <c r="G75" s="5">
        <v>100</v>
      </c>
      <c r="H75" t="str">
        <f>"1471-335"</f>
        <v>1471-335</v>
      </c>
    </row>
    <row r="76" spans="1:8" x14ac:dyDescent="0.25">
      <c r="E76" t="str">
        <f>"202005146881"</f>
        <v>202005146881</v>
      </c>
      <c r="F76" t="str">
        <f>"1508-335   1504-21"</f>
        <v>1508-335   1504-21</v>
      </c>
      <c r="G76" s="5">
        <v>200</v>
      </c>
      <c r="H76" t="str">
        <f>"1508-335   1504-21"</f>
        <v>1508-335   1504-21</v>
      </c>
    </row>
    <row r="77" spans="1:8" x14ac:dyDescent="0.25">
      <c r="E77" t="str">
        <f>"202005146882"</f>
        <v>202005146882</v>
      </c>
      <c r="F77" t="str">
        <f>"16 934"</f>
        <v>16 934</v>
      </c>
      <c r="G77" s="5">
        <v>200</v>
      </c>
      <c r="H77" t="str">
        <f>"16 934"</f>
        <v>16 934</v>
      </c>
    </row>
    <row r="78" spans="1:8" x14ac:dyDescent="0.25">
      <c r="E78" t="str">
        <f>"202005146883"</f>
        <v>202005146883</v>
      </c>
      <c r="F78" t="str">
        <f>"1503-335"</f>
        <v>1503-335</v>
      </c>
      <c r="G78" s="5">
        <v>100</v>
      </c>
      <c r="H78" t="str">
        <f>"1503-335"</f>
        <v>1503-335</v>
      </c>
    </row>
    <row r="79" spans="1:8" x14ac:dyDescent="0.25">
      <c r="E79" t="str">
        <f>"202005146884"</f>
        <v>202005146884</v>
      </c>
      <c r="F79" t="str">
        <f>"1495-21"</f>
        <v>1495-21</v>
      </c>
      <c r="G79" s="5">
        <v>100</v>
      </c>
      <c r="H79" t="str">
        <f>"1495-21"</f>
        <v>1495-21</v>
      </c>
    </row>
    <row r="80" spans="1:8" x14ac:dyDescent="0.25">
      <c r="E80" t="str">
        <f>"202005196922"</f>
        <v>202005196922</v>
      </c>
      <c r="F80" t="str">
        <f>"1397-21"</f>
        <v>1397-21</v>
      </c>
      <c r="G80" s="5">
        <v>100</v>
      </c>
      <c r="H80" t="str">
        <f>"1397-21"</f>
        <v>1397-21</v>
      </c>
    </row>
    <row r="81" spans="1:8" x14ac:dyDescent="0.25">
      <c r="A81" t="s">
        <v>25</v>
      </c>
      <c r="B81">
        <v>131782</v>
      </c>
      <c r="C81" s="5">
        <v>477.45</v>
      </c>
      <c r="D81" s="1">
        <v>43962</v>
      </c>
      <c r="E81" t="str">
        <f>"43T060028 50410829"</f>
        <v>43T060028 50410829</v>
      </c>
      <c r="F81" t="str">
        <f>"INV 43T060028"</f>
        <v>INV 43T060028</v>
      </c>
      <c r="G81" s="5">
        <v>477.45</v>
      </c>
      <c r="H81" t="str">
        <f>"INV 43T060028"</f>
        <v>INV 43T060028</v>
      </c>
    </row>
    <row r="82" spans="1:8" x14ac:dyDescent="0.25">
      <c r="E82" t="str">
        <f>""</f>
        <v/>
      </c>
      <c r="F82" t="str">
        <f>""</f>
        <v/>
      </c>
      <c r="H82" t="str">
        <f>"INV 504108299"</f>
        <v>INV 504108299</v>
      </c>
    </row>
    <row r="83" spans="1:8" x14ac:dyDescent="0.25">
      <c r="A83" t="s">
        <v>26</v>
      </c>
      <c r="B83">
        <v>131783</v>
      </c>
      <c r="C83" s="5">
        <v>112.78</v>
      </c>
      <c r="D83" s="1">
        <v>43962</v>
      </c>
      <c r="E83" t="str">
        <f>"202004286617"</f>
        <v>202004286617</v>
      </c>
      <c r="F83" t="str">
        <f>"ACCT#3-3053/PCT#2"</f>
        <v>ACCT#3-3053/PCT#2</v>
      </c>
      <c r="G83" s="5">
        <v>112.78</v>
      </c>
      <c r="H83" t="str">
        <f>"ACCT#3-3053/PCT#2"</f>
        <v>ACCT#3-3053/PCT#2</v>
      </c>
    </row>
    <row r="84" spans="1:8" x14ac:dyDescent="0.25">
      <c r="A84" t="s">
        <v>27</v>
      </c>
      <c r="B84">
        <v>131784</v>
      </c>
      <c r="C84" s="5">
        <v>344.96</v>
      </c>
      <c r="D84" s="1">
        <v>43962</v>
      </c>
      <c r="E84" t="str">
        <f>"202005056649"</f>
        <v>202005056649</v>
      </c>
      <c r="F84" t="str">
        <f>"ACCT#010057/AUDITOR"</f>
        <v>ACCT#010057/AUDITOR</v>
      </c>
      <c r="G84" s="5">
        <v>9</v>
      </c>
      <c r="H84" t="str">
        <f>"ACCT#010057/AUDITOR"</f>
        <v>ACCT#010057/AUDITOR</v>
      </c>
    </row>
    <row r="85" spans="1:8" x14ac:dyDescent="0.25">
      <c r="E85" t="str">
        <f>"202005056650"</f>
        <v>202005056650</v>
      </c>
      <c r="F85" t="str">
        <f>"ACCT#010238/GEN SVCS"</f>
        <v>ACCT#010238/GEN SVCS</v>
      </c>
      <c r="G85" s="5">
        <v>57.99</v>
      </c>
      <c r="H85" t="str">
        <f>"ACCT#010238/GEN SVCS"</f>
        <v>ACCT#010238/GEN SVCS</v>
      </c>
    </row>
    <row r="86" spans="1:8" x14ac:dyDescent="0.25">
      <c r="E86" t="str">
        <f>"202005056651"</f>
        <v>202005056651</v>
      </c>
      <c r="F86" t="str">
        <f>"ACCT#012231/CO DIST JUDGE OFF"</f>
        <v>ACCT#012231/CO DIST JUDGE OFF</v>
      </c>
      <c r="G86" s="5">
        <v>10</v>
      </c>
      <c r="H86" t="str">
        <f>"ACCT#012231/CO DIST JUDGE OFF"</f>
        <v>ACCT#012231/CO DIST JUDGE OFF</v>
      </c>
    </row>
    <row r="87" spans="1:8" x14ac:dyDescent="0.25">
      <c r="E87" t="str">
        <f>"202005056652"</f>
        <v>202005056652</v>
      </c>
      <c r="F87" t="str">
        <f>"ACCT#011955/COUNTY DISTRICT JU"</f>
        <v>ACCT#011955/COUNTY DISTRICT JU</v>
      </c>
      <c r="G87" s="5">
        <v>18</v>
      </c>
      <c r="H87" t="str">
        <f>"ACCT#011955/COUNTY DISTRICT JU"</f>
        <v>ACCT#011955/COUNTY DISTRICT JU</v>
      </c>
    </row>
    <row r="88" spans="1:8" x14ac:dyDescent="0.25">
      <c r="E88" t="str">
        <f>"202005056653"</f>
        <v>202005056653</v>
      </c>
      <c r="F88" t="str">
        <f>"ACCT#012259/DIST CLERK'S OFF"</f>
        <v>ACCT#012259/DIST CLERK'S OFF</v>
      </c>
      <c r="G88" s="5">
        <v>9</v>
      </c>
      <c r="H88" t="str">
        <f>"ACCT#012259/DIST CLERK'S OFF"</f>
        <v>ACCT#012259/DIST CLERK'S OFF</v>
      </c>
    </row>
    <row r="89" spans="1:8" x14ac:dyDescent="0.25">
      <c r="E89" t="str">
        <f>"202005056654"</f>
        <v>202005056654</v>
      </c>
      <c r="F89" t="str">
        <f>"ACCT#012571/TREASURER"</f>
        <v>ACCT#012571/TREASURER</v>
      </c>
      <c r="G89" s="5">
        <v>9</v>
      </c>
      <c r="H89" t="str">
        <f>"ACCT#012571/TREASURER"</f>
        <v>ACCT#012571/TREASURER</v>
      </c>
    </row>
    <row r="90" spans="1:8" x14ac:dyDescent="0.25">
      <c r="E90" t="str">
        <f>"202005056655"</f>
        <v>202005056655</v>
      </c>
      <c r="F90" t="str">
        <f>"ACCT#013393/HUMAN RESOURCES"</f>
        <v>ACCT#013393/HUMAN RESOURCES</v>
      </c>
      <c r="G90" s="5">
        <v>10</v>
      </c>
      <c r="H90" t="str">
        <f>"ACCT#013393/HUMAN RESOURCES"</f>
        <v>ACCT#013393/HUMAN RESOURCES</v>
      </c>
    </row>
    <row r="91" spans="1:8" x14ac:dyDescent="0.25">
      <c r="E91" t="str">
        <f>"202005056656"</f>
        <v>202005056656</v>
      </c>
      <c r="F91" t="str">
        <f>"ACCT#014877/INDIGENT HEALTH"</f>
        <v>ACCT#014877/INDIGENT HEALTH</v>
      </c>
      <c r="G91" s="5">
        <v>26.99</v>
      </c>
      <c r="H91" t="str">
        <f>"ACCT#014877/INDIGENT HEALTH"</f>
        <v>ACCT#014877/INDIGENT HEALTH</v>
      </c>
    </row>
    <row r="92" spans="1:8" x14ac:dyDescent="0.25">
      <c r="E92" t="str">
        <f>"202005056657"</f>
        <v>202005056657</v>
      </c>
      <c r="F92" t="str">
        <f>"ACCT#011033/IT DEPT"</f>
        <v>ACCT#011033/IT DEPT</v>
      </c>
      <c r="G92" s="5">
        <v>31.5</v>
      </c>
      <c r="H92" t="str">
        <f>"ACCT#011033/IT DEPT"</f>
        <v>ACCT#011033/IT DEPT</v>
      </c>
    </row>
    <row r="93" spans="1:8" x14ac:dyDescent="0.25">
      <c r="E93" t="str">
        <f>"202005056658"</f>
        <v>202005056658</v>
      </c>
      <c r="F93" t="str">
        <f>"ACCT#012803/CO JUDGE"</f>
        <v>ACCT#012803/CO JUDGE</v>
      </c>
      <c r="G93" s="5">
        <v>9</v>
      </c>
      <c r="H93" t="str">
        <f>"ACCT#012803/CO JUDGE"</f>
        <v>ACCT#012803/CO JUDGE</v>
      </c>
    </row>
    <row r="94" spans="1:8" x14ac:dyDescent="0.25">
      <c r="E94" t="str">
        <f>"202005066721"</f>
        <v>202005066721</v>
      </c>
      <c r="F94" t="str">
        <f>"ACCT#010835/COMMISSIONER PCT1"</f>
        <v>ACCT#010835/COMMISSIONER PCT1</v>
      </c>
      <c r="G94" s="5">
        <v>26</v>
      </c>
      <c r="H94" t="str">
        <f>"ACCT#010835/COMMISSIONER PCT1"</f>
        <v>ACCT#010835/COMMISSIONER PCT1</v>
      </c>
    </row>
    <row r="95" spans="1:8" x14ac:dyDescent="0.25">
      <c r="E95" t="str">
        <f>"202005066736"</f>
        <v>202005066736</v>
      </c>
      <c r="F95" t="str">
        <f>"ACCT#015476/PURCHASING"</f>
        <v>ACCT#015476/PURCHASING</v>
      </c>
      <c r="G95" s="5">
        <v>18.489999999999998</v>
      </c>
      <c r="H95" t="str">
        <f>"ACCT#015476/PURCHASING"</f>
        <v>ACCT#015476/PURCHASING</v>
      </c>
    </row>
    <row r="96" spans="1:8" x14ac:dyDescent="0.25">
      <c r="E96" t="str">
        <f>"202005066737"</f>
        <v>202005066737</v>
      </c>
      <c r="F96" t="str">
        <f>"ACCT#015199/JP#1"</f>
        <v>ACCT#015199/JP#1</v>
      </c>
      <c r="G96" s="5">
        <v>9</v>
      </c>
      <c r="H96" t="str">
        <f>"ACCT#015199/JP#1"</f>
        <v>ACCT#015199/JP#1</v>
      </c>
    </row>
    <row r="97" spans="1:8" x14ac:dyDescent="0.25">
      <c r="E97" t="str">
        <f>"202005066738"</f>
        <v>202005066738</v>
      </c>
      <c r="F97" t="str">
        <f>"ACCT#014737/ANIMAL SERVICE"</f>
        <v>ACCT#014737/ANIMAL SERVICE</v>
      </c>
      <c r="G97" s="5">
        <v>31.99</v>
      </c>
      <c r="H97" t="str">
        <f>"ACCT#014737/ANIMAL SERVICE"</f>
        <v>ACCT#014737/ANIMAL SERVICE</v>
      </c>
    </row>
    <row r="98" spans="1:8" x14ac:dyDescent="0.25">
      <c r="E98" t="str">
        <f>"202005066739"</f>
        <v>202005066739</v>
      </c>
      <c r="F98" t="str">
        <f>"ACCT#011280/COUNTY CLERK"</f>
        <v>ACCT#011280/COUNTY CLERK</v>
      </c>
      <c r="G98" s="5">
        <v>54</v>
      </c>
      <c r="H98" t="str">
        <f>"ACCT#011280/COUNTY CLERK"</f>
        <v>ACCT#011280/COUNTY CLERK</v>
      </c>
    </row>
    <row r="99" spans="1:8" x14ac:dyDescent="0.25">
      <c r="E99" t="str">
        <f>"202005066740"</f>
        <v>202005066740</v>
      </c>
      <c r="F99" t="str">
        <f>"ACCT#010149/AGRI LIVE EXT"</f>
        <v>ACCT#010149/AGRI LIVE EXT</v>
      </c>
      <c r="G99" s="5">
        <v>15</v>
      </c>
      <c r="H99" t="str">
        <f>"ACCT#010149/AGRI LIVE EXT"</f>
        <v>ACCT#010149/AGRI LIVE EXT</v>
      </c>
    </row>
    <row r="100" spans="1:8" x14ac:dyDescent="0.25">
      <c r="A100" t="s">
        <v>27</v>
      </c>
      <c r="B100">
        <v>131912</v>
      </c>
      <c r="C100" s="5">
        <v>52.5</v>
      </c>
      <c r="D100" s="1">
        <v>43977</v>
      </c>
      <c r="E100" t="str">
        <f>"202005146889"</f>
        <v>202005146889</v>
      </c>
      <c r="F100" t="str">
        <f>"ACCT#012260/DISTRICT ATTORNEY"</f>
        <v>ACCT#012260/DISTRICT ATTORNEY</v>
      </c>
      <c r="G100" s="5">
        <v>52.5</v>
      </c>
      <c r="H100" t="str">
        <f>"ACCT#012260/DISTRICT ATTORNEY"</f>
        <v>ACCT#012260/DISTRICT ATTORNEY</v>
      </c>
    </row>
    <row r="101" spans="1:8" x14ac:dyDescent="0.25">
      <c r="A101" t="s">
        <v>28</v>
      </c>
      <c r="B101">
        <v>131894</v>
      </c>
      <c r="C101" s="5">
        <v>57.91</v>
      </c>
      <c r="D101" s="1">
        <v>43965</v>
      </c>
      <c r="E101" t="str">
        <f>"202005146844"</f>
        <v>202005146844</v>
      </c>
      <c r="F101" t="str">
        <f>"ACCT#0201855301 / 05052020"</f>
        <v>ACCT#0201855301 / 05052020</v>
      </c>
      <c r="G101" s="5">
        <v>32.630000000000003</v>
      </c>
      <c r="H101" t="str">
        <f>"ACCT#0201855301 / 05052020"</f>
        <v>ACCT#0201855301 / 05052020</v>
      </c>
    </row>
    <row r="102" spans="1:8" x14ac:dyDescent="0.25">
      <c r="E102" t="str">
        <f>"202005146845"</f>
        <v>202005146845</v>
      </c>
      <c r="F102" t="str">
        <f>"ACCT#0201891401 / 05052020"</f>
        <v>ACCT#0201891401 / 05052020</v>
      </c>
      <c r="G102" s="5">
        <v>25.28</v>
      </c>
      <c r="H102" t="str">
        <f>"ACCT#0201891401 / 05052020"</f>
        <v>ACCT#0201891401 / 05052020</v>
      </c>
    </row>
    <row r="103" spans="1:8" x14ac:dyDescent="0.25">
      <c r="A103" t="s">
        <v>28</v>
      </c>
      <c r="B103">
        <v>131907</v>
      </c>
      <c r="C103" s="5">
        <v>860.45</v>
      </c>
      <c r="D103" s="1">
        <v>43972</v>
      </c>
      <c r="E103" t="str">
        <f>"202005206975"</f>
        <v>202005206975</v>
      </c>
      <c r="F103" t="str">
        <f>"ACCT#0102120801 / 05202020"</f>
        <v>ACCT#0102120801 / 05202020</v>
      </c>
      <c r="G103" s="5">
        <v>330.38</v>
      </c>
      <c r="H103" t="str">
        <f>"ACCT#0102120801 / 05202020"</f>
        <v>ACCT#0102120801 / 05202020</v>
      </c>
    </row>
    <row r="104" spans="1:8" x14ac:dyDescent="0.25">
      <c r="E104" t="str">
        <f>"202005206976"</f>
        <v>202005206976</v>
      </c>
      <c r="F104" t="str">
        <f>"ACCT#0400785803 / 05202020"</f>
        <v>ACCT#0400785803 / 05202020</v>
      </c>
      <c r="G104" s="5">
        <v>131.81</v>
      </c>
      <c r="H104" t="str">
        <f>"ACCT#0400785803 / 05202020"</f>
        <v>ACCT#0400785803 / 05202020</v>
      </c>
    </row>
    <row r="105" spans="1:8" x14ac:dyDescent="0.25">
      <c r="E105" t="str">
        <f>"202005206977"</f>
        <v>202005206977</v>
      </c>
      <c r="F105" t="str">
        <f>"ACCT#0401408501 / 05202020"</f>
        <v>ACCT#0401408501 / 05202020</v>
      </c>
      <c r="G105" s="5">
        <v>320.62</v>
      </c>
      <c r="H105" t="str">
        <f>"ACCT#0401408501 / 05202020"</f>
        <v>ACCT#0401408501 / 05202020</v>
      </c>
    </row>
    <row r="106" spans="1:8" x14ac:dyDescent="0.25">
      <c r="E106" t="str">
        <f>"202005206978"</f>
        <v>202005206978</v>
      </c>
      <c r="F106" t="str">
        <f>"ACCT#0800042801 / 05202020"</f>
        <v>ACCT#0800042801 / 05202020</v>
      </c>
      <c r="G106" s="5">
        <v>50.04</v>
      </c>
      <c r="H106" t="str">
        <f>"ACCT#0800042801 / 05202020"</f>
        <v>ACCT#0800042801 / 05202020</v>
      </c>
    </row>
    <row r="107" spans="1:8" x14ac:dyDescent="0.25">
      <c r="E107" t="str">
        <f>"202005206979"</f>
        <v>202005206979</v>
      </c>
      <c r="F107" t="str">
        <f>"ACCT#0802361501 / 05202020"</f>
        <v>ACCT#0802361501 / 05202020</v>
      </c>
      <c r="G107" s="5">
        <v>27.6</v>
      </c>
      <c r="H107" t="str">
        <f>"ACCT#0802361501 / 05202020"</f>
        <v>ACCT#0802361501 / 05202020</v>
      </c>
    </row>
    <row r="108" spans="1:8" x14ac:dyDescent="0.25">
      <c r="A108" t="s">
        <v>28</v>
      </c>
      <c r="B108">
        <v>131913</v>
      </c>
      <c r="C108" s="5">
        <v>261.27999999999997</v>
      </c>
      <c r="D108" s="1">
        <v>43977</v>
      </c>
      <c r="E108" t="str">
        <f>"202005146892"</f>
        <v>202005146892</v>
      </c>
      <c r="F108" t="str">
        <f>"ACCT#7700010024/15 LDS WATER"</f>
        <v>ACCT#7700010024/15 LDS WATER</v>
      </c>
      <c r="G108" s="5">
        <v>153.75</v>
      </c>
      <c r="H108" t="str">
        <f>"ACCT#7700010024/15 LDS WATER"</f>
        <v>ACCT#7700010024/15 LDS WATER</v>
      </c>
    </row>
    <row r="109" spans="1:8" x14ac:dyDescent="0.25">
      <c r="E109" t="str">
        <f>"202005146898"</f>
        <v>202005146898</v>
      </c>
      <c r="F109" t="str">
        <f>"ACCT#7700010026/10 LDS WATER"</f>
        <v>ACCT#7700010026/10 LDS WATER</v>
      </c>
      <c r="G109" s="5">
        <v>102.5</v>
      </c>
      <c r="H109" t="str">
        <f>"ACCT#7700010026/10 LDS WATER"</f>
        <v>ACCT#7700010026/10 LDS WATER</v>
      </c>
    </row>
    <row r="110" spans="1:8" x14ac:dyDescent="0.25">
      <c r="E110" t="str">
        <f>"202005186903"</f>
        <v>202005186903</v>
      </c>
      <c r="F110" t="str">
        <f>"ACCT#7700010019/METER#83799902"</f>
        <v>ACCT#7700010019/METER#83799902</v>
      </c>
      <c r="G110" s="5">
        <v>5.03</v>
      </c>
      <c r="H110" t="str">
        <f>"ACCT#7700010019/METER#83799902"</f>
        <v>ACCT#7700010019/METER#83799902</v>
      </c>
    </row>
    <row r="111" spans="1:8" x14ac:dyDescent="0.25">
      <c r="A111" t="s">
        <v>29</v>
      </c>
      <c r="B111">
        <v>2614</v>
      </c>
      <c r="C111" s="5">
        <v>10926.46</v>
      </c>
      <c r="D111" s="1">
        <v>43978</v>
      </c>
      <c r="E111" t="str">
        <f>"15027"</f>
        <v>15027</v>
      </c>
      <c r="F111" t="str">
        <f>"BC MAR/APRIL ADVERTISING"</f>
        <v>BC MAR/APRIL ADVERTISING</v>
      </c>
      <c r="G111" s="5">
        <v>9476.4599999999991</v>
      </c>
      <c r="H111" t="str">
        <f>"BC MAR/APRIL ADVERTISING"</f>
        <v>BC MAR/APRIL ADVERTISING</v>
      </c>
    </row>
    <row r="112" spans="1:8" x14ac:dyDescent="0.25">
      <c r="E112" t="str">
        <f>"15028"</f>
        <v>15028</v>
      </c>
      <c r="F112" t="str">
        <f>"BC PRO SERV MAR/APRIL ADV"</f>
        <v>BC PRO SERV MAR/APRIL ADV</v>
      </c>
      <c r="G112" s="5">
        <v>1450</v>
      </c>
      <c r="H112" t="str">
        <f>"BC PRO SERV MAR/APRIL ADV"</f>
        <v>BC PRO SERV MAR/APRIL ADV</v>
      </c>
    </row>
    <row r="113" spans="1:8" x14ac:dyDescent="0.25">
      <c r="A113" t="s">
        <v>30</v>
      </c>
      <c r="B113">
        <v>131785</v>
      </c>
      <c r="C113" s="5">
        <v>175.28</v>
      </c>
      <c r="D113" s="1">
        <v>43962</v>
      </c>
      <c r="E113" t="str">
        <f>"202005066735"</f>
        <v>202005066735</v>
      </c>
      <c r="F113" t="str">
        <f>"REIMBURSE KENNEL SUPPLIES"</f>
        <v>REIMBURSE KENNEL SUPPLIES</v>
      </c>
      <c r="G113" s="5">
        <v>175.28</v>
      </c>
      <c r="H113" t="str">
        <f>"REIMBURSE KENNEL SUPPLIES"</f>
        <v>REIMBURSE KENNEL SUPPLIES</v>
      </c>
    </row>
    <row r="114" spans="1:8" x14ac:dyDescent="0.25">
      <c r="E114" t="str">
        <f>""</f>
        <v/>
      </c>
      <c r="F114" t="str">
        <f>""</f>
        <v/>
      </c>
      <c r="H114" t="str">
        <f>"REIMBURSE KENNEL SUPPLIES"</f>
        <v>REIMBURSE KENNEL SUPPLIES</v>
      </c>
    </row>
    <row r="115" spans="1:8" x14ac:dyDescent="0.25">
      <c r="A115" t="s">
        <v>30</v>
      </c>
      <c r="B115">
        <v>131914</v>
      </c>
      <c r="C115" s="5">
        <v>1267.1600000000001</v>
      </c>
      <c r="D115" s="1">
        <v>43977</v>
      </c>
      <c r="E115" t="str">
        <f>"202005206971"</f>
        <v>202005206971</v>
      </c>
      <c r="F115" t="str">
        <f>"REIMBURSE PAINT"</f>
        <v>REIMBURSE PAINT</v>
      </c>
      <c r="G115" s="5">
        <v>1267.1600000000001</v>
      </c>
      <c r="H115" t="str">
        <f>"REIMBURSE PAINT"</f>
        <v>REIMBURSE PAINT</v>
      </c>
    </row>
    <row r="116" spans="1:8" x14ac:dyDescent="0.25">
      <c r="A116" t="s">
        <v>31</v>
      </c>
      <c r="B116">
        <v>131786</v>
      </c>
      <c r="C116" s="5">
        <v>6638.48</v>
      </c>
      <c r="D116" s="1">
        <v>43962</v>
      </c>
      <c r="E116" t="str">
        <f>"202005056640"</f>
        <v>202005056640</v>
      </c>
      <c r="F116" t="str">
        <f>"ACCT#512 308-9870 530 7"</f>
        <v>ACCT#512 308-9870 530 7</v>
      </c>
      <c r="G116" s="5">
        <v>580.29999999999995</v>
      </c>
      <c r="H116" t="str">
        <f>"ACCT#512 308-9870 530 7"</f>
        <v>ACCT#512 308-9870 530 7</v>
      </c>
    </row>
    <row r="117" spans="1:8" x14ac:dyDescent="0.25">
      <c r="E117" t="str">
        <f>"202005066741"</f>
        <v>202005066741</v>
      </c>
      <c r="F117" t="str">
        <f>"ACCT#512A49-0048 193 3"</f>
        <v>ACCT#512A49-0048 193 3</v>
      </c>
      <c r="G117" s="5">
        <v>6058.18</v>
      </c>
      <c r="H117" t="str">
        <f>"ACCT#512A49-0048 193 3"</f>
        <v>ACCT#512A49-0048 193 3</v>
      </c>
    </row>
    <row r="118" spans="1:8" x14ac:dyDescent="0.25">
      <c r="E118" t="str">
        <f>""</f>
        <v/>
      </c>
      <c r="F118" t="str">
        <f>""</f>
        <v/>
      </c>
      <c r="H118" t="str">
        <f>"ACCT#512A49-0048 193 3"</f>
        <v>ACCT#512A49-0048 193 3</v>
      </c>
    </row>
    <row r="119" spans="1:8" x14ac:dyDescent="0.25">
      <c r="E119" t="str">
        <f>""</f>
        <v/>
      </c>
      <c r="F119" t="str">
        <f>""</f>
        <v/>
      </c>
      <c r="H119" t="str">
        <f>"ACCT#512A49-0048 193 3"</f>
        <v>ACCT#512A49-0048 193 3</v>
      </c>
    </row>
    <row r="120" spans="1:8" x14ac:dyDescent="0.25">
      <c r="E120" t="str">
        <f>""</f>
        <v/>
      </c>
      <c r="F120" t="str">
        <f>""</f>
        <v/>
      </c>
      <c r="H120" t="str">
        <f>"ACCT#512A49-0048 193 3"</f>
        <v>ACCT#512A49-0048 193 3</v>
      </c>
    </row>
    <row r="121" spans="1:8" x14ac:dyDescent="0.25">
      <c r="A121" t="s">
        <v>31</v>
      </c>
      <c r="B121">
        <v>131787</v>
      </c>
      <c r="C121" s="5">
        <v>125</v>
      </c>
      <c r="D121" s="1">
        <v>43962</v>
      </c>
      <c r="E121" t="str">
        <f>"347680"</f>
        <v>347680</v>
      </c>
      <c r="F121" t="str">
        <f>"INV 347680"</f>
        <v>INV 347680</v>
      </c>
      <c r="G121" s="5">
        <v>125</v>
      </c>
      <c r="H121" t="str">
        <f>"INV 347680"</f>
        <v>INV 347680</v>
      </c>
    </row>
    <row r="122" spans="1:8" x14ac:dyDescent="0.25">
      <c r="A122" t="s">
        <v>31</v>
      </c>
      <c r="B122">
        <v>131788</v>
      </c>
      <c r="C122" s="5">
        <v>5408.66</v>
      </c>
      <c r="D122" s="1">
        <v>43962</v>
      </c>
      <c r="E122" t="str">
        <f>"1284125507"</f>
        <v>1284125507</v>
      </c>
      <c r="F122" t="str">
        <f>"ACCT#831-000-7919 523"</f>
        <v>ACCT#831-000-7919 523</v>
      </c>
      <c r="G122" s="5">
        <v>1468.59</v>
      </c>
      <c r="H122" t="str">
        <f>"ACCT#831-000-7919 523"</f>
        <v>ACCT#831-000-7919 523</v>
      </c>
    </row>
    <row r="123" spans="1:8" x14ac:dyDescent="0.25">
      <c r="E123" t="str">
        <f>"202005056641"</f>
        <v>202005056641</v>
      </c>
      <c r="F123" t="str">
        <f>"ACCT#831-000-6084 095"</f>
        <v>ACCT#831-000-6084 095</v>
      </c>
      <c r="G123" s="5">
        <v>1684.69</v>
      </c>
      <c r="H123" t="str">
        <f>"ACCT#831-000-6084 095"</f>
        <v>ACCT#831-000-6084 095</v>
      </c>
    </row>
    <row r="124" spans="1:8" x14ac:dyDescent="0.25">
      <c r="E124" t="str">
        <f>"3689524508"</f>
        <v>3689524508</v>
      </c>
      <c r="F124" t="str">
        <f>"ACCT#831-000-9850 451"</f>
        <v>ACCT#831-000-9850 451</v>
      </c>
      <c r="G124" s="5">
        <v>1381.13</v>
      </c>
      <c r="H124" t="str">
        <f>"ACCT#831-000-9850 451"</f>
        <v>ACCT#831-000-9850 451</v>
      </c>
    </row>
    <row r="125" spans="1:8" x14ac:dyDescent="0.25">
      <c r="E125" t="str">
        <f>"4924254503"</f>
        <v>4924254503</v>
      </c>
      <c r="F125" t="str">
        <f>"ACCT#831-000-7218-923"</f>
        <v>ACCT#831-000-7218-923</v>
      </c>
      <c r="G125" s="5">
        <v>874.25</v>
      </c>
      <c r="H125" t="str">
        <f>"ACCT#831-000-7218-923"</f>
        <v>ACCT#831-000-7218-923</v>
      </c>
    </row>
    <row r="126" spans="1:8" x14ac:dyDescent="0.25">
      <c r="A126" t="s">
        <v>31</v>
      </c>
      <c r="B126">
        <v>131915</v>
      </c>
      <c r="C126" s="5">
        <v>1804.19</v>
      </c>
      <c r="D126" s="1">
        <v>43977</v>
      </c>
      <c r="E126" t="str">
        <f>"202005196939"</f>
        <v>202005196939</v>
      </c>
      <c r="F126" t="str">
        <f>"ACCT. 512-303-1080 238 5"</f>
        <v>ACCT. 512-303-1080 238 5</v>
      </c>
      <c r="G126" s="5">
        <v>1804.19</v>
      </c>
      <c r="H126" t="str">
        <f>"512-303-1080 LE"</f>
        <v>512-303-1080 LE</v>
      </c>
    </row>
    <row r="127" spans="1:8" x14ac:dyDescent="0.25">
      <c r="E127" t="str">
        <f>""</f>
        <v/>
      </c>
      <c r="F127" t="str">
        <f>""</f>
        <v/>
      </c>
      <c r="H127" t="str">
        <f>"512-303-1080 JAIL"</f>
        <v>512-303-1080 JAIL</v>
      </c>
    </row>
    <row r="128" spans="1:8" x14ac:dyDescent="0.25">
      <c r="A128" t="s">
        <v>32</v>
      </c>
      <c r="B128">
        <v>131789</v>
      </c>
      <c r="C128" s="5">
        <v>3938.84</v>
      </c>
      <c r="D128" s="1">
        <v>43962</v>
      </c>
      <c r="E128" t="str">
        <f>"90524359X04272020"</f>
        <v>90524359X04272020</v>
      </c>
      <c r="F128" t="str">
        <f>"ACCT#287290524359"</f>
        <v>ACCT#287290524359</v>
      </c>
      <c r="G128" s="5">
        <v>3938.84</v>
      </c>
      <c r="H128" t="str">
        <f t="shared" ref="H128:H136" si="4">"AT&amp;T MOBILITY"</f>
        <v>AT&amp;T MOBILITY</v>
      </c>
    </row>
    <row r="129" spans="1:8" x14ac:dyDescent="0.25">
      <c r="E129" t="str">
        <f>""</f>
        <v/>
      </c>
      <c r="F129" t="str">
        <f>""</f>
        <v/>
      </c>
      <c r="H129" t="str">
        <f t="shared" si="4"/>
        <v>AT&amp;T MOBILITY</v>
      </c>
    </row>
    <row r="130" spans="1:8" x14ac:dyDescent="0.25">
      <c r="E130" t="str">
        <f>""</f>
        <v/>
      </c>
      <c r="F130" t="str">
        <f>""</f>
        <v/>
      </c>
      <c r="H130" t="str">
        <f t="shared" si="4"/>
        <v>AT&amp;T MOBILITY</v>
      </c>
    </row>
    <row r="131" spans="1:8" x14ac:dyDescent="0.25">
      <c r="E131" t="str">
        <f>""</f>
        <v/>
      </c>
      <c r="F131" t="str">
        <f>""</f>
        <v/>
      </c>
      <c r="H131" t="str">
        <f t="shared" si="4"/>
        <v>AT&amp;T MOBILITY</v>
      </c>
    </row>
    <row r="132" spans="1:8" x14ac:dyDescent="0.25">
      <c r="E132" t="str">
        <f>""</f>
        <v/>
      </c>
      <c r="F132" t="str">
        <f>""</f>
        <v/>
      </c>
      <c r="H132" t="str">
        <f t="shared" si="4"/>
        <v>AT&amp;T MOBILITY</v>
      </c>
    </row>
    <row r="133" spans="1:8" x14ac:dyDescent="0.25">
      <c r="E133" t="str">
        <f>""</f>
        <v/>
      </c>
      <c r="F133" t="str">
        <f>""</f>
        <v/>
      </c>
      <c r="H133" t="str">
        <f t="shared" si="4"/>
        <v>AT&amp;T MOBILITY</v>
      </c>
    </row>
    <row r="134" spans="1:8" x14ac:dyDescent="0.25">
      <c r="E134" t="str">
        <f>""</f>
        <v/>
      </c>
      <c r="F134" t="str">
        <f>""</f>
        <v/>
      </c>
      <c r="H134" t="str">
        <f t="shared" si="4"/>
        <v>AT&amp;T MOBILITY</v>
      </c>
    </row>
    <row r="135" spans="1:8" x14ac:dyDescent="0.25">
      <c r="E135" t="str">
        <f>""</f>
        <v/>
      </c>
      <c r="F135" t="str">
        <f>""</f>
        <v/>
      </c>
      <c r="H135" t="str">
        <f t="shared" si="4"/>
        <v>AT&amp;T MOBILITY</v>
      </c>
    </row>
    <row r="136" spans="1:8" x14ac:dyDescent="0.25">
      <c r="E136" t="str">
        <f>""</f>
        <v/>
      </c>
      <c r="F136" t="str">
        <f>""</f>
        <v/>
      </c>
      <c r="H136" t="str">
        <f t="shared" si="4"/>
        <v>AT&amp;T MOBILITY</v>
      </c>
    </row>
    <row r="137" spans="1:8" x14ac:dyDescent="0.25">
      <c r="A137" t="s">
        <v>32</v>
      </c>
      <c r="B137">
        <v>131916</v>
      </c>
      <c r="C137" s="5">
        <v>1520.16</v>
      </c>
      <c r="D137" s="1">
        <v>43977</v>
      </c>
      <c r="E137" t="str">
        <f>"287280903541X0520"</f>
        <v>287280903541X0520</v>
      </c>
      <c r="F137" t="str">
        <f>"INV 287280903541X05202020"</f>
        <v>INV 287280903541X05202020</v>
      </c>
      <c r="G137" s="5">
        <v>217.49</v>
      </c>
      <c r="H137" t="str">
        <f>"INV 287280903541X05202020"</f>
        <v>INV 287280903541X05202020</v>
      </c>
    </row>
    <row r="138" spans="1:8" x14ac:dyDescent="0.25">
      <c r="E138" t="str">
        <f>"63291654X05202020"</f>
        <v>63291654X05202020</v>
      </c>
      <c r="F138" t="str">
        <f>"ACCT#287263291654  04/13-05/12"</f>
        <v>ACCT#287263291654  04/13-05/12</v>
      </c>
      <c r="G138" s="5">
        <v>1302.67</v>
      </c>
      <c r="H138" t="str">
        <f t="shared" ref="H138:H151" si="5">"ACCT#287263291654  04/13-05/12"</f>
        <v>ACCT#287263291654  04/13-05/12</v>
      </c>
    </row>
    <row r="139" spans="1:8" x14ac:dyDescent="0.25">
      <c r="E139" t="str">
        <f>""</f>
        <v/>
      </c>
      <c r="F139" t="str">
        <f>""</f>
        <v/>
      </c>
      <c r="H139" t="str">
        <f t="shared" si="5"/>
        <v>ACCT#287263291654  04/13-05/12</v>
      </c>
    </row>
    <row r="140" spans="1:8" x14ac:dyDescent="0.25">
      <c r="E140" t="str">
        <f>""</f>
        <v/>
      </c>
      <c r="F140" t="str">
        <f>""</f>
        <v/>
      </c>
      <c r="H140" t="str">
        <f t="shared" si="5"/>
        <v>ACCT#287263291654  04/13-05/12</v>
      </c>
    </row>
    <row r="141" spans="1:8" x14ac:dyDescent="0.25">
      <c r="E141" t="str">
        <f>""</f>
        <v/>
      </c>
      <c r="F141" t="str">
        <f>""</f>
        <v/>
      </c>
      <c r="H141" t="str">
        <f t="shared" si="5"/>
        <v>ACCT#287263291654  04/13-05/12</v>
      </c>
    </row>
    <row r="142" spans="1:8" x14ac:dyDescent="0.25">
      <c r="E142" t="str">
        <f>""</f>
        <v/>
      </c>
      <c r="F142" t="str">
        <f>""</f>
        <v/>
      </c>
      <c r="H142" t="str">
        <f t="shared" si="5"/>
        <v>ACCT#287263291654  04/13-05/12</v>
      </c>
    </row>
    <row r="143" spans="1:8" x14ac:dyDescent="0.25">
      <c r="E143" t="str">
        <f>""</f>
        <v/>
      </c>
      <c r="F143" t="str">
        <f>""</f>
        <v/>
      </c>
      <c r="H143" t="str">
        <f t="shared" si="5"/>
        <v>ACCT#287263291654  04/13-05/12</v>
      </c>
    </row>
    <row r="144" spans="1:8" x14ac:dyDescent="0.25">
      <c r="E144" t="str">
        <f>""</f>
        <v/>
      </c>
      <c r="F144" t="str">
        <f>""</f>
        <v/>
      </c>
      <c r="H144" t="str">
        <f t="shared" si="5"/>
        <v>ACCT#287263291654  04/13-05/12</v>
      </c>
    </row>
    <row r="145" spans="1:8" x14ac:dyDescent="0.25">
      <c r="E145" t="str">
        <f>""</f>
        <v/>
      </c>
      <c r="F145" t="str">
        <f>""</f>
        <v/>
      </c>
      <c r="H145" t="str">
        <f t="shared" si="5"/>
        <v>ACCT#287263291654  04/13-05/12</v>
      </c>
    </row>
    <row r="146" spans="1:8" x14ac:dyDescent="0.25">
      <c r="E146" t="str">
        <f>""</f>
        <v/>
      </c>
      <c r="F146" t="str">
        <f>""</f>
        <v/>
      </c>
      <c r="H146" t="str">
        <f t="shared" si="5"/>
        <v>ACCT#287263291654  04/13-05/12</v>
      </c>
    </row>
    <row r="147" spans="1:8" x14ac:dyDescent="0.25">
      <c r="E147" t="str">
        <f>""</f>
        <v/>
      </c>
      <c r="F147" t="str">
        <f>""</f>
        <v/>
      </c>
      <c r="H147" t="str">
        <f t="shared" si="5"/>
        <v>ACCT#287263291654  04/13-05/12</v>
      </c>
    </row>
    <row r="148" spans="1:8" x14ac:dyDescent="0.25">
      <c r="E148" t="str">
        <f>""</f>
        <v/>
      </c>
      <c r="F148" t="str">
        <f>""</f>
        <v/>
      </c>
      <c r="H148" t="str">
        <f t="shared" si="5"/>
        <v>ACCT#287263291654  04/13-05/12</v>
      </c>
    </row>
    <row r="149" spans="1:8" x14ac:dyDescent="0.25">
      <c r="E149" t="str">
        <f>""</f>
        <v/>
      </c>
      <c r="F149" t="str">
        <f>""</f>
        <v/>
      </c>
      <c r="H149" t="str">
        <f t="shared" si="5"/>
        <v>ACCT#287263291654  04/13-05/12</v>
      </c>
    </row>
    <row r="150" spans="1:8" x14ac:dyDescent="0.25">
      <c r="E150" t="str">
        <f>""</f>
        <v/>
      </c>
      <c r="F150" t="str">
        <f>""</f>
        <v/>
      </c>
      <c r="H150" t="str">
        <f t="shared" si="5"/>
        <v>ACCT#287263291654  04/13-05/12</v>
      </c>
    </row>
    <row r="151" spans="1:8" x14ac:dyDescent="0.25">
      <c r="E151" t="str">
        <f>""</f>
        <v/>
      </c>
      <c r="F151" t="str">
        <f>""</f>
        <v/>
      </c>
      <c r="H151" t="str">
        <f t="shared" si="5"/>
        <v>ACCT#287263291654  04/13-05/12</v>
      </c>
    </row>
    <row r="152" spans="1:8" x14ac:dyDescent="0.25">
      <c r="A152" t="s">
        <v>33</v>
      </c>
      <c r="B152">
        <v>131917</v>
      </c>
      <c r="C152" s="5">
        <v>219.95</v>
      </c>
      <c r="D152" s="1">
        <v>43977</v>
      </c>
      <c r="E152" t="str">
        <f>"99999901301511"</f>
        <v>99999901301511</v>
      </c>
      <c r="F152" t="str">
        <f>"ORD#2278719001"</f>
        <v>ORD#2278719001</v>
      </c>
      <c r="G152" s="5">
        <v>219.95</v>
      </c>
      <c r="H152" t="str">
        <f>"ORD#2278719001"</f>
        <v>ORD#2278719001</v>
      </c>
    </row>
    <row r="153" spans="1:8" x14ac:dyDescent="0.25">
      <c r="A153" t="s">
        <v>34</v>
      </c>
      <c r="B153">
        <v>131790</v>
      </c>
      <c r="C153" s="5">
        <v>125</v>
      </c>
      <c r="D153" s="1">
        <v>43962</v>
      </c>
      <c r="E153" t="str">
        <f>"202005056644"</f>
        <v>202005056644</v>
      </c>
      <c r="F153" t="str">
        <f>"ACCT#8269621/1 YR PRINT&amp;DIGITA"</f>
        <v>ACCT#8269621/1 YR PRINT&amp;DIGITA</v>
      </c>
      <c r="G153" s="5">
        <v>125</v>
      </c>
      <c r="H153" t="str">
        <f>"ACCT#8269621/1 YR PRINT&amp;DIGITA"</f>
        <v>ACCT#8269621/1 YR PRINT&amp;DIGITA</v>
      </c>
    </row>
    <row r="154" spans="1:8" x14ac:dyDescent="0.25">
      <c r="A154" t="s">
        <v>35</v>
      </c>
      <c r="B154">
        <v>131918</v>
      </c>
      <c r="C154" s="5">
        <v>58.96</v>
      </c>
      <c r="D154" s="1">
        <v>43977</v>
      </c>
      <c r="E154" t="str">
        <f>"154235"</f>
        <v>154235</v>
      </c>
      <c r="F154" t="str">
        <f>"PART#207-13998/PCT#3"</f>
        <v>PART#207-13998/PCT#3</v>
      </c>
      <c r="G154" s="5">
        <v>58.96</v>
      </c>
      <c r="H154" t="str">
        <f>"AUSTIN REBUILDERS INC"</f>
        <v>AUSTIN REBUILDERS INC</v>
      </c>
    </row>
    <row r="155" spans="1:8" x14ac:dyDescent="0.25">
      <c r="A155" t="s">
        <v>36</v>
      </c>
      <c r="B155">
        <v>2611</v>
      </c>
      <c r="C155" s="5">
        <v>450</v>
      </c>
      <c r="D155" s="1">
        <v>43978</v>
      </c>
      <c r="E155" t="str">
        <f>"2175"</f>
        <v>2175</v>
      </c>
      <c r="F155" t="str">
        <f>"HUNTERS CROSSING STATUS HRING"</f>
        <v>HUNTERS CROSSING STATUS HRING</v>
      </c>
      <c r="G155" s="5">
        <v>450</v>
      </c>
      <c r="H155" t="str">
        <f>"HUNTERS CROSSING STATUS HRING"</f>
        <v>HUNTERS CROSSING STATUS HRING</v>
      </c>
    </row>
    <row r="156" spans="1:8" x14ac:dyDescent="0.25">
      <c r="A156" t="s">
        <v>37</v>
      </c>
      <c r="B156">
        <v>2563</v>
      </c>
      <c r="C156" s="5">
        <v>168.49</v>
      </c>
      <c r="D156" s="1">
        <v>43963</v>
      </c>
      <c r="E156" t="str">
        <f>"202005066719"</f>
        <v>202005066719</v>
      </c>
      <c r="F156" t="str">
        <f>"CUST ID:0009/PCT#1"</f>
        <v>CUST ID:0009/PCT#1</v>
      </c>
      <c r="G156" s="5">
        <v>51</v>
      </c>
      <c r="H156" t="str">
        <f>"CUST ID:0009/PCT#1"</f>
        <v>CUST ID:0009/PCT#1</v>
      </c>
    </row>
    <row r="157" spans="1:8" x14ac:dyDescent="0.25">
      <c r="E157" t="str">
        <f>"371251"</f>
        <v>371251</v>
      </c>
      <c r="F157" t="str">
        <f>"INV 371251"</f>
        <v>INV 371251</v>
      </c>
      <c r="G157" s="5">
        <v>117.49</v>
      </c>
      <c r="H157" t="str">
        <f>"INV 371251"</f>
        <v>INV 371251</v>
      </c>
    </row>
    <row r="158" spans="1:8" x14ac:dyDescent="0.25">
      <c r="A158" t="s">
        <v>37</v>
      </c>
      <c r="B158">
        <v>2634</v>
      </c>
      <c r="C158" s="5">
        <v>236</v>
      </c>
      <c r="D158" s="1">
        <v>43978</v>
      </c>
      <c r="E158" t="str">
        <f>"202005146894"</f>
        <v>202005146894</v>
      </c>
      <c r="F158" t="str">
        <f>"CUST ID:0010/PCT#2"</f>
        <v>CUST ID:0010/PCT#2</v>
      </c>
      <c r="G158" s="5">
        <v>236</v>
      </c>
      <c r="H158" t="str">
        <f>"CUST ID:0010/PCT#2"</f>
        <v>CUST ID:0010/PCT#2</v>
      </c>
    </row>
    <row r="159" spans="1:8" x14ac:dyDescent="0.25">
      <c r="A159" t="s">
        <v>38</v>
      </c>
      <c r="B159">
        <v>2538</v>
      </c>
      <c r="C159" s="5">
        <v>1650</v>
      </c>
      <c r="D159" s="1">
        <v>43963</v>
      </c>
      <c r="E159" t="str">
        <f>"1557-1"</f>
        <v>1557-1</v>
      </c>
      <c r="F159" t="str">
        <f>"REMOVED TREES PONDEROSA RD/P2"</f>
        <v>REMOVED TREES PONDEROSA RD/P2</v>
      </c>
      <c r="G159" s="5">
        <v>1650</v>
      </c>
      <c r="H159" t="str">
        <f>"REMOVED TREES PONDEROSA RD/P2"</f>
        <v>REMOVED TREES PONDEROSA RD/P2</v>
      </c>
    </row>
    <row r="160" spans="1:8" x14ac:dyDescent="0.25">
      <c r="A160" t="s">
        <v>39</v>
      </c>
      <c r="B160">
        <v>131919</v>
      </c>
      <c r="C160" s="5">
        <v>153985</v>
      </c>
      <c r="D160" s="1">
        <v>43977</v>
      </c>
      <c r="E160" t="str">
        <f>"202005186906"</f>
        <v>202005186906</v>
      </c>
      <c r="F160" t="str">
        <f>"LOCAL SUPPORT 3RD QTR JUL-SEP"</f>
        <v>LOCAL SUPPORT 3RD QTR JUL-SEP</v>
      </c>
      <c r="G160" s="5">
        <v>153985</v>
      </c>
      <c r="H160" t="str">
        <f>"LOCAL SUPPORT 3RD QTR JUL-SEP"</f>
        <v>LOCAL SUPPORT 3RD QTR JUL-SEP</v>
      </c>
    </row>
    <row r="161" spans="1:8" x14ac:dyDescent="0.25">
      <c r="A161" t="s">
        <v>40</v>
      </c>
      <c r="B161">
        <v>131791</v>
      </c>
      <c r="C161" s="5">
        <v>3125</v>
      </c>
      <c r="D161" s="1">
        <v>43962</v>
      </c>
      <c r="E161" t="str">
        <f>"12612"</f>
        <v>12612</v>
      </c>
      <c r="F161" t="str">
        <f t="shared" ref="F161:F171" si="6">"SERVICE"</f>
        <v>SERVICE</v>
      </c>
      <c r="G161" s="5">
        <v>400</v>
      </c>
      <c r="H161" t="str">
        <f t="shared" ref="H161:H171" si="7">"SERVICE"</f>
        <v>SERVICE</v>
      </c>
    </row>
    <row r="162" spans="1:8" x14ac:dyDescent="0.25">
      <c r="E162" t="str">
        <f>"12752"</f>
        <v>12752</v>
      </c>
      <c r="F162" t="str">
        <f t="shared" si="6"/>
        <v>SERVICE</v>
      </c>
      <c r="G162" s="5">
        <v>225</v>
      </c>
      <c r="H162" t="str">
        <f t="shared" si="7"/>
        <v>SERVICE</v>
      </c>
    </row>
    <row r="163" spans="1:8" x14ac:dyDescent="0.25">
      <c r="E163" t="str">
        <f>"13110"</f>
        <v>13110</v>
      </c>
      <c r="F163" t="str">
        <f t="shared" si="6"/>
        <v>SERVICE</v>
      </c>
      <c r="G163" s="5">
        <v>325</v>
      </c>
      <c r="H163" t="str">
        <f t="shared" si="7"/>
        <v>SERVICE</v>
      </c>
    </row>
    <row r="164" spans="1:8" x14ac:dyDescent="0.25">
      <c r="E164" t="str">
        <f>"13144"</f>
        <v>13144</v>
      </c>
      <c r="F164" t="str">
        <f t="shared" si="6"/>
        <v>SERVICE</v>
      </c>
      <c r="G164" s="5">
        <v>325</v>
      </c>
      <c r="H164" t="str">
        <f t="shared" si="7"/>
        <v>SERVICE</v>
      </c>
    </row>
    <row r="165" spans="1:8" x14ac:dyDescent="0.25">
      <c r="E165" t="str">
        <f>"13146"</f>
        <v>13146</v>
      </c>
      <c r="F165" t="str">
        <f t="shared" si="6"/>
        <v>SERVICE</v>
      </c>
      <c r="G165" s="5">
        <v>325</v>
      </c>
      <c r="H165" t="str">
        <f t="shared" si="7"/>
        <v>SERVICE</v>
      </c>
    </row>
    <row r="166" spans="1:8" x14ac:dyDescent="0.25">
      <c r="E166" t="str">
        <f>"13180"</f>
        <v>13180</v>
      </c>
      <c r="F166" t="str">
        <f t="shared" si="6"/>
        <v>SERVICE</v>
      </c>
      <c r="G166" s="5">
        <v>325</v>
      </c>
      <c r="H166" t="str">
        <f t="shared" si="7"/>
        <v>SERVICE</v>
      </c>
    </row>
    <row r="167" spans="1:8" x14ac:dyDescent="0.25">
      <c r="E167" t="str">
        <f>"13184"</f>
        <v>13184</v>
      </c>
      <c r="F167" t="str">
        <f t="shared" si="6"/>
        <v>SERVICE</v>
      </c>
      <c r="G167" s="5">
        <v>225</v>
      </c>
      <c r="H167" t="str">
        <f t="shared" si="7"/>
        <v>SERVICE</v>
      </c>
    </row>
    <row r="168" spans="1:8" x14ac:dyDescent="0.25">
      <c r="E168" t="str">
        <f>"13191"</f>
        <v>13191</v>
      </c>
      <c r="F168" t="str">
        <f t="shared" si="6"/>
        <v>SERVICE</v>
      </c>
      <c r="G168" s="5">
        <v>325</v>
      </c>
      <c r="H168" t="str">
        <f t="shared" si="7"/>
        <v>SERVICE</v>
      </c>
    </row>
    <row r="169" spans="1:8" x14ac:dyDescent="0.25">
      <c r="E169" t="str">
        <f>"13205"</f>
        <v>13205</v>
      </c>
      <c r="F169" t="str">
        <f t="shared" si="6"/>
        <v>SERVICE</v>
      </c>
      <c r="G169" s="5">
        <v>250</v>
      </c>
      <c r="H169" t="str">
        <f t="shared" si="7"/>
        <v>SERVICE</v>
      </c>
    </row>
    <row r="170" spans="1:8" x14ac:dyDescent="0.25">
      <c r="E170" t="str">
        <f>"13229"</f>
        <v>13229</v>
      </c>
      <c r="F170" t="str">
        <f t="shared" si="6"/>
        <v>SERVICE</v>
      </c>
      <c r="G170" s="5">
        <v>250</v>
      </c>
      <c r="H170" t="str">
        <f t="shared" si="7"/>
        <v>SERVICE</v>
      </c>
    </row>
    <row r="171" spans="1:8" x14ac:dyDescent="0.25">
      <c r="E171" t="str">
        <f>"13414"</f>
        <v>13414</v>
      </c>
      <c r="F171" t="str">
        <f t="shared" si="6"/>
        <v>SERVICE</v>
      </c>
      <c r="G171" s="5">
        <v>150</v>
      </c>
      <c r="H171" t="str">
        <f t="shared" si="7"/>
        <v>SERVICE</v>
      </c>
    </row>
    <row r="172" spans="1:8" x14ac:dyDescent="0.25">
      <c r="A172" t="s">
        <v>41</v>
      </c>
      <c r="B172">
        <v>2557</v>
      </c>
      <c r="C172" s="5">
        <v>9366.7099999999991</v>
      </c>
      <c r="D172" s="1">
        <v>43963</v>
      </c>
      <c r="E172" t="str">
        <f>"202004286618"</f>
        <v>202004286618</v>
      </c>
      <c r="F172" t="str">
        <f>"GRANT REIMBURSEMENT"</f>
        <v>GRANT REIMBURSEMENT</v>
      </c>
      <c r="G172" s="5">
        <v>9366.7099999999991</v>
      </c>
      <c r="H172" t="str">
        <f>"GRANT REIMBURSEMENT"</f>
        <v>GRANT REIMBURSEMENT</v>
      </c>
    </row>
    <row r="173" spans="1:8" x14ac:dyDescent="0.25">
      <c r="A173" t="s">
        <v>41</v>
      </c>
      <c r="B173">
        <v>2627</v>
      </c>
      <c r="C173" s="5">
        <v>14239.73</v>
      </c>
      <c r="D173" s="1">
        <v>43978</v>
      </c>
      <c r="E173" t="str">
        <f>"202005186900"</f>
        <v>202005186900</v>
      </c>
      <c r="F173" t="str">
        <f>"GRANT REIMBURSEMENT"</f>
        <v>GRANT REIMBURSEMENT</v>
      </c>
      <c r="G173" s="5">
        <v>5373.88</v>
      </c>
      <c r="H173" t="str">
        <f>"GRANT REIMBURSEMENT"</f>
        <v>GRANT REIMBURSEMENT</v>
      </c>
    </row>
    <row r="174" spans="1:8" x14ac:dyDescent="0.25">
      <c r="E174" t="str">
        <f>"202005186911"</f>
        <v>202005186911</v>
      </c>
      <c r="F174" t="str">
        <f>"GRANT REIMBURSEMENT"</f>
        <v>GRANT REIMBURSEMENT</v>
      </c>
      <c r="G174" s="5">
        <v>8865.85</v>
      </c>
      <c r="H174" t="str">
        <f>"GRANT REIMBURSEMENT"</f>
        <v>GRANT REIMBURSEMENT</v>
      </c>
    </row>
    <row r="175" spans="1:8" x14ac:dyDescent="0.25">
      <c r="A175" t="s">
        <v>42</v>
      </c>
      <c r="B175">
        <v>2650</v>
      </c>
      <c r="C175" s="5">
        <v>99.81</v>
      </c>
      <c r="D175" s="1">
        <v>43978</v>
      </c>
      <c r="E175" t="str">
        <f>"202005196946"</f>
        <v>202005196946</v>
      </c>
      <c r="F175" t="str">
        <f>"INDIGENT HEALTH"</f>
        <v>INDIGENT HEALTH</v>
      </c>
      <c r="G175" s="5">
        <v>99.81</v>
      </c>
      <c r="H175" t="str">
        <f>"INDIGENT HEALTH"</f>
        <v>INDIGENT HEALTH</v>
      </c>
    </row>
    <row r="176" spans="1:8" x14ac:dyDescent="0.25">
      <c r="A176" t="s">
        <v>43</v>
      </c>
      <c r="B176">
        <v>2605</v>
      </c>
      <c r="C176" s="5">
        <v>2565</v>
      </c>
      <c r="D176" s="1">
        <v>43978</v>
      </c>
      <c r="E176" t="str">
        <f>"2020051"</f>
        <v>2020051</v>
      </c>
      <c r="F176" t="str">
        <f>"TRANSPORT - G.A. TALAMANTES"</f>
        <v>TRANSPORT - G.A. TALAMANTES</v>
      </c>
      <c r="G176" s="5">
        <v>495</v>
      </c>
      <c r="H176" t="str">
        <f>"TRANSPORT - G.A. TALAMANTES"</f>
        <v>TRANSPORT - G.A. TALAMANTES</v>
      </c>
    </row>
    <row r="177" spans="1:8" x14ac:dyDescent="0.25">
      <c r="E177" t="str">
        <f>"2020053"</f>
        <v>2020053</v>
      </c>
      <c r="F177" t="str">
        <f>"TRANSPORT - S.A. CUTHBERTSON"</f>
        <v>TRANSPORT - S.A. CUTHBERTSON</v>
      </c>
      <c r="G177" s="5">
        <v>390</v>
      </c>
      <c r="H177" t="str">
        <f>"TRANSPORT - S.A. CUTHBERTSON"</f>
        <v>TRANSPORT - S.A. CUTHBERTSON</v>
      </c>
    </row>
    <row r="178" spans="1:8" x14ac:dyDescent="0.25">
      <c r="E178" t="str">
        <f>"2020058"</f>
        <v>2020058</v>
      </c>
      <c r="F178" t="str">
        <f>"TRANSPORT - S. DAVIS"</f>
        <v>TRANSPORT - S. DAVIS</v>
      </c>
      <c r="G178" s="5">
        <v>495</v>
      </c>
      <c r="H178" t="str">
        <f>"TRANSPORT - S. DAVIS"</f>
        <v>TRANSPORT - S. DAVIS</v>
      </c>
    </row>
    <row r="179" spans="1:8" x14ac:dyDescent="0.25">
      <c r="E179" t="str">
        <f>"2020059"</f>
        <v>2020059</v>
      </c>
      <c r="F179" t="str">
        <f>"TRANSPORT - L.M. ARAUJO"</f>
        <v>TRANSPORT - L.M. ARAUJO</v>
      </c>
      <c r="G179" s="5">
        <v>345</v>
      </c>
      <c r="H179" t="str">
        <f>"TRANSPORT - L.M. ARAUJO"</f>
        <v>TRANSPORT - L.M. ARAUJO</v>
      </c>
    </row>
    <row r="180" spans="1:8" x14ac:dyDescent="0.25">
      <c r="E180" t="str">
        <f>"2020062"</f>
        <v>2020062</v>
      </c>
      <c r="F180" t="str">
        <f>"TRANSPORT - J. COOK"</f>
        <v>TRANSPORT - J. COOK</v>
      </c>
      <c r="G180" s="5">
        <v>345</v>
      </c>
      <c r="H180" t="str">
        <f>"TRANSPORT - J. COOK"</f>
        <v>TRANSPORT - J. COOK</v>
      </c>
    </row>
    <row r="181" spans="1:8" x14ac:dyDescent="0.25">
      <c r="E181" t="str">
        <f>"2020065"</f>
        <v>2020065</v>
      </c>
      <c r="F181" t="str">
        <f>"TRANSPORT - J. DIAZ"</f>
        <v>TRANSPORT - J. DIAZ</v>
      </c>
      <c r="G181" s="5">
        <v>495</v>
      </c>
      <c r="H181" t="str">
        <f>"TRANSPORT - J. DIAZ"</f>
        <v>TRANSPORT - J. DIAZ</v>
      </c>
    </row>
    <row r="182" spans="1:8" x14ac:dyDescent="0.25">
      <c r="A182" t="s">
        <v>44</v>
      </c>
      <c r="B182">
        <v>2630</v>
      </c>
      <c r="C182" s="5">
        <v>347.89</v>
      </c>
      <c r="D182" s="1">
        <v>43978</v>
      </c>
      <c r="E182" t="str">
        <f>"6008500796"</f>
        <v>6008500796</v>
      </c>
      <c r="F182" t="str">
        <f>"ACCT#3422853/ANIMAL CONTROL"</f>
        <v>ACCT#3422853/ANIMAL CONTROL</v>
      </c>
      <c r="G182" s="5">
        <v>115.96</v>
      </c>
      <c r="H182" t="str">
        <f>"ACCT#3422853/ANIMAL CONTROL"</f>
        <v>ACCT#3422853/ANIMAL CONTROL</v>
      </c>
    </row>
    <row r="183" spans="1:8" x14ac:dyDescent="0.25">
      <c r="E183" t="str">
        <f>"6008500797"</f>
        <v>6008500797</v>
      </c>
      <c r="F183" t="str">
        <f>"ACCT#3422853/ANIMAL CONTROL"</f>
        <v>ACCT#3422853/ANIMAL CONTROL</v>
      </c>
      <c r="G183" s="5">
        <v>231.93</v>
      </c>
      <c r="H183" t="str">
        <f>"ACCT#3422853/ANIMAL CONTROL"</f>
        <v>ACCT#3422853/ANIMAL CONTROL</v>
      </c>
    </row>
    <row r="184" spans="1:8" x14ac:dyDescent="0.25">
      <c r="A184" t="s">
        <v>45</v>
      </c>
      <c r="B184">
        <v>2533</v>
      </c>
      <c r="C184" s="5">
        <v>542.5</v>
      </c>
      <c r="D184" s="1">
        <v>43963</v>
      </c>
      <c r="E184" t="str">
        <f>"202005056712"</f>
        <v>202005056712</v>
      </c>
      <c r="F184" t="str">
        <f>"SERVICE FOR APRIL"</f>
        <v>SERVICE FOR APRIL</v>
      </c>
      <c r="G184" s="5">
        <v>542.5</v>
      </c>
      <c r="H184" t="str">
        <f>"SER. FOR APRIL - LE"</f>
        <v>SER. FOR APRIL - LE</v>
      </c>
    </row>
    <row r="185" spans="1:8" x14ac:dyDescent="0.25">
      <c r="E185" t="str">
        <f>""</f>
        <v/>
      </c>
      <c r="F185" t="str">
        <f>""</f>
        <v/>
      </c>
      <c r="H185" t="str">
        <f>"SER. FOR APRIL - JAI"</f>
        <v>SER. FOR APRIL - JAI</v>
      </c>
    </row>
    <row r="186" spans="1:8" x14ac:dyDescent="0.25">
      <c r="A186" t="s">
        <v>46</v>
      </c>
      <c r="B186">
        <v>131792</v>
      </c>
      <c r="C186" s="5">
        <v>1222.99</v>
      </c>
      <c r="D186" s="1">
        <v>43962</v>
      </c>
      <c r="E186" t="str">
        <f>"75492594 75500715"</f>
        <v>75492594 75500715</v>
      </c>
      <c r="F186" t="str">
        <f>"INV 75492594"</f>
        <v>INV 75492594</v>
      </c>
      <c r="G186" s="5">
        <v>1222.99</v>
      </c>
      <c r="H186" t="str">
        <f>"INV 75492594"</f>
        <v>INV 75492594</v>
      </c>
    </row>
    <row r="187" spans="1:8" x14ac:dyDescent="0.25">
      <c r="E187" t="str">
        <f>""</f>
        <v/>
      </c>
      <c r="F187" t="str">
        <f>""</f>
        <v/>
      </c>
      <c r="H187" t="str">
        <f>"INV 75500715"</f>
        <v>INV 75500715</v>
      </c>
    </row>
    <row r="188" spans="1:8" x14ac:dyDescent="0.25">
      <c r="A188" t="s">
        <v>46</v>
      </c>
      <c r="B188">
        <v>131920</v>
      </c>
      <c r="C188" s="5">
        <v>1139.67</v>
      </c>
      <c r="D188" s="1">
        <v>43977</v>
      </c>
      <c r="E188" t="str">
        <f>"75507691 75512216"</f>
        <v>75507691 75512216</v>
      </c>
      <c r="F188" t="str">
        <f>"INV 75507691"</f>
        <v>INV 75507691</v>
      </c>
      <c r="G188" s="5">
        <v>1139.67</v>
      </c>
      <c r="H188" t="str">
        <f>"INV 75507691"</f>
        <v>INV 75507691</v>
      </c>
    </row>
    <row r="189" spans="1:8" x14ac:dyDescent="0.25">
      <c r="E189" t="str">
        <f>""</f>
        <v/>
      </c>
      <c r="F189" t="str">
        <f>""</f>
        <v/>
      </c>
      <c r="H189" t="str">
        <f>"INV 75512216"</f>
        <v>INV 75512216</v>
      </c>
    </row>
    <row r="190" spans="1:8" x14ac:dyDescent="0.25">
      <c r="E190" t="str">
        <f>""</f>
        <v/>
      </c>
      <c r="F190" t="str">
        <f>""</f>
        <v/>
      </c>
      <c r="H190" t="str">
        <f>"INV 75515706"</f>
        <v>INV 75515706</v>
      </c>
    </row>
    <row r="191" spans="1:8" x14ac:dyDescent="0.25">
      <c r="A191" t="s">
        <v>47</v>
      </c>
      <c r="B191">
        <v>2567</v>
      </c>
      <c r="C191" s="5">
        <v>330</v>
      </c>
      <c r="D191" s="1">
        <v>43963</v>
      </c>
      <c r="E191" t="str">
        <f>"202005056643"</f>
        <v>202005056643</v>
      </c>
      <c r="F191" t="str">
        <f>"REIMBURSE STATE BAR DUES"</f>
        <v>REIMBURSE STATE BAR DUES</v>
      </c>
      <c r="G191" s="5">
        <v>330</v>
      </c>
      <c r="H191" t="str">
        <f>"REIMBURSE STATE BAR DUES"</f>
        <v>REIMBURSE STATE BAR DUES</v>
      </c>
    </row>
    <row r="192" spans="1:8" x14ac:dyDescent="0.25">
      <c r="A192" t="s">
        <v>48</v>
      </c>
      <c r="B192">
        <v>131793</v>
      </c>
      <c r="C192" s="5">
        <v>9.99</v>
      </c>
      <c r="D192" s="1">
        <v>43962</v>
      </c>
      <c r="E192" t="str">
        <f>"4487383"</f>
        <v>4487383</v>
      </c>
      <c r="F192" t="str">
        <f>"inv# 4487383"</f>
        <v>inv# 4487383</v>
      </c>
      <c r="G192" s="5">
        <v>9.99</v>
      </c>
      <c r="H192" t="str">
        <f>"inv# 4487383"</f>
        <v>inv# 4487383</v>
      </c>
    </row>
    <row r="193" spans="1:8" x14ac:dyDescent="0.25">
      <c r="A193" t="s">
        <v>49</v>
      </c>
      <c r="B193">
        <v>2575</v>
      </c>
      <c r="C193" s="5">
        <v>2270.7800000000002</v>
      </c>
      <c r="D193" s="1">
        <v>43963</v>
      </c>
      <c r="E193" t="str">
        <f>"24700"</f>
        <v>24700</v>
      </c>
      <c r="F193" t="str">
        <f>"INV 24700"</f>
        <v>INV 24700</v>
      </c>
      <c r="G193" s="5">
        <v>2270.7800000000002</v>
      </c>
      <c r="H193" t="str">
        <f>"INV 24700"</f>
        <v>INV 24700</v>
      </c>
    </row>
    <row r="194" spans="1:8" x14ac:dyDescent="0.25">
      <c r="A194" t="s">
        <v>50</v>
      </c>
      <c r="B194">
        <v>131794</v>
      </c>
      <c r="C194" s="5">
        <v>528.20000000000005</v>
      </c>
      <c r="D194" s="1">
        <v>43962</v>
      </c>
      <c r="E194" t="str">
        <f>"84078904915 840789"</f>
        <v>84078904915 840789</v>
      </c>
      <c r="F194" t="str">
        <f>"INV 84078904915"</f>
        <v>INV 84078904915</v>
      </c>
      <c r="G194" s="5">
        <v>528.20000000000005</v>
      </c>
      <c r="H194" t="str">
        <f>"INV 84078904915"</f>
        <v>INV 84078904915</v>
      </c>
    </row>
    <row r="195" spans="1:8" x14ac:dyDescent="0.25">
      <c r="E195" t="str">
        <f>""</f>
        <v/>
      </c>
      <c r="F195" t="str">
        <f>""</f>
        <v/>
      </c>
      <c r="H195" t="str">
        <f>"INV 84078904992"</f>
        <v>INV 84078904992</v>
      </c>
    </row>
    <row r="196" spans="1:8" x14ac:dyDescent="0.25">
      <c r="A196" t="s">
        <v>50</v>
      </c>
      <c r="B196">
        <v>131921</v>
      </c>
      <c r="C196" s="5">
        <v>458.16</v>
      </c>
      <c r="D196" s="1">
        <v>43977</v>
      </c>
      <c r="E196" t="str">
        <f>"84078905048  5129"</f>
        <v>84078905048  5129</v>
      </c>
      <c r="F196" t="str">
        <f>"INV 84078905048"</f>
        <v>INV 84078905048</v>
      </c>
      <c r="G196" s="5">
        <v>458.16</v>
      </c>
      <c r="H196" t="str">
        <f>"INV 84078905048"</f>
        <v>INV 84078905048</v>
      </c>
    </row>
    <row r="197" spans="1:8" x14ac:dyDescent="0.25">
      <c r="E197" t="str">
        <f>""</f>
        <v/>
      </c>
      <c r="F197" t="str">
        <f>""</f>
        <v/>
      </c>
      <c r="H197" t="str">
        <f>"INV 84078905129"</f>
        <v>INV 84078905129</v>
      </c>
    </row>
    <row r="198" spans="1:8" x14ac:dyDescent="0.25">
      <c r="A198" t="s">
        <v>51</v>
      </c>
      <c r="B198">
        <v>2615</v>
      </c>
      <c r="C198" s="5">
        <v>350</v>
      </c>
      <c r="D198" s="1">
        <v>43978</v>
      </c>
      <c r="E198" t="str">
        <f>"202005196928"</f>
        <v>202005196928</v>
      </c>
      <c r="F198" t="str">
        <f>"19-19526"</f>
        <v>19-19526</v>
      </c>
      <c r="G198" s="5">
        <v>100</v>
      </c>
      <c r="H198" t="str">
        <f>"19-19526"</f>
        <v>19-19526</v>
      </c>
    </row>
    <row r="199" spans="1:8" x14ac:dyDescent="0.25">
      <c r="E199" t="str">
        <f>"202005196929"</f>
        <v>202005196929</v>
      </c>
      <c r="F199" t="str">
        <f>"C18-0034"</f>
        <v>C18-0034</v>
      </c>
      <c r="G199" s="5">
        <v>250</v>
      </c>
      <c r="H199" t="str">
        <f>"C18-0034"</f>
        <v>C18-0034</v>
      </c>
    </row>
    <row r="200" spans="1:8" x14ac:dyDescent="0.25">
      <c r="A200" t="s">
        <v>52</v>
      </c>
      <c r="B200">
        <v>131902</v>
      </c>
      <c r="C200" s="5">
        <v>2260.83</v>
      </c>
      <c r="D200" s="1">
        <v>43971</v>
      </c>
      <c r="E200" t="str">
        <f>"202005206969"</f>
        <v>202005206969</v>
      </c>
      <c r="F200" t="str">
        <f>"ACCT#5000057374 / 05042020"</f>
        <v>ACCT#5000057374 / 05042020</v>
      </c>
      <c r="G200" s="5">
        <v>2260.83</v>
      </c>
      <c r="H200" t="str">
        <f>"ACCT#5000057374 / 05042020"</f>
        <v>ACCT#5000057374 / 05042020</v>
      </c>
    </row>
    <row r="201" spans="1:8" x14ac:dyDescent="0.25">
      <c r="E201" t="str">
        <f>""</f>
        <v/>
      </c>
      <c r="F201" t="str">
        <f>""</f>
        <v/>
      </c>
      <c r="H201" t="str">
        <f>"ACCT#5000057374 / 05042020"</f>
        <v>ACCT#5000057374 / 05042020</v>
      </c>
    </row>
    <row r="202" spans="1:8" x14ac:dyDescent="0.25">
      <c r="E202" t="str">
        <f>""</f>
        <v/>
      </c>
      <c r="F202" t="str">
        <f>""</f>
        <v/>
      </c>
      <c r="H202" t="str">
        <f>"ACCT#5000057374 / 05042020"</f>
        <v>ACCT#5000057374 / 05042020</v>
      </c>
    </row>
    <row r="203" spans="1:8" x14ac:dyDescent="0.25">
      <c r="E203" t="str">
        <f>""</f>
        <v/>
      </c>
      <c r="F203" t="str">
        <f>""</f>
        <v/>
      </c>
      <c r="H203" t="str">
        <f>"ACCT#5000057374 / 05042020"</f>
        <v>ACCT#5000057374 / 05042020</v>
      </c>
    </row>
    <row r="204" spans="1:8" x14ac:dyDescent="0.25">
      <c r="A204" t="s">
        <v>53</v>
      </c>
      <c r="B204">
        <v>2653</v>
      </c>
      <c r="C204" s="5">
        <v>20374.21</v>
      </c>
      <c r="D204" s="1">
        <v>43978</v>
      </c>
      <c r="E204" t="str">
        <f>"202005186901"</f>
        <v>202005186901</v>
      </c>
      <c r="F204" t="str">
        <f>"GRANT REIMBURSEMENT"</f>
        <v>GRANT REIMBURSEMENT</v>
      </c>
      <c r="G204" s="5">
        <v>19649.21</v>
      </c>
      <c r="H204" t="str">
        <f>"GRANT REIMBURSEMENT"</f>
        <v>GRANT REIMBURSEMENT</v>
      </c>
    </row>
    <row r="205" spans="1:8" x14ac:dyDescent="0.25">
      <c r="E205" t="str">
        <f>"25042020"</f>
        <v>25042020</v>
      </c>
      <c r="F205" t="str">
        <f>"INV 25042020"</f>
        <v>INV 25042020</v>
      </c>
      <c r="G205" s="5">
        <v>725</v>
      </c>
      <c r="H205" t="str">
        <f>"INV 25042020"</f>
        <v>INV 25042020</v>
      </c>
    </row>
    <row r="206" spans="1:8" x14ac:dyDescent="0.25">
      <c r="A206" t="s">
        <v>54</v>
      </c>
      <c r="B206">
        <v>131922</v>
      </c>
      <c r="C206" s="5">
        <v>316.60000000000002</v>
      </c>
      <c r="D206" s="1">
        <v>43977</v>
      </c>
      <c r="E206" t="str">
        <f>"CT1885504"</f>
        <v>CT1885504</v>
      </c>
      <c r="F206" t="str">
        <f>"ACCT#B02137/PCT#3"</f>
        <v>ACCT#B02137/PCT#3</v>
      </c>
      <c r="G206" s="5">
        <v>316.60000000000002</v>
      </c>
      <c r="H206" t="str">
        <f>"ACCT#B02137/PCT#3"</f>
        <v>ACCT#B02137/PCT#3</v>
      </c>
    </row>
    <row r="207" spans="1:8" x14ac:dyDescent="0.25">
      <c r="A207" t="s">
        <v>55</v>
      </c>
      <c r="B207">
        <v>131795</v>
      </c>
      <c r="C207" s="5">
        <v>5103.8100000000004</v>
      </c>
      <c r="D207" s="1">
        <v>43962</v>
      </c>
      <c r="E207" t="str">
        <f>"109325"</f>
        <v>109325</v>
      </c>
      <c r="F207" t="str">
        <f>"ACCT#1268/PCT#3"</f>
        <v>ACCT#1268/PCT#3</v>
      </c>
      <c r="G207" s="5">
        <v>2110.19</v>
      </c>
      <c r="H207" t="str">
        <f>"ACCT#1268/PCT#3"</f>
        <v>ACCT#1268/PCT#3</v>
      </c>
    </row>
    <row r="208" spans="1:8" x14ac:dyDescent="0.25">
      <c r="E208" t="str">
        <f>"109509"</f>
        <v>109509</v>
      </c>
      <c r="F208" t="str">
        <f>"ACCT#1268/PCT#3"</f>
        <v>ACCT#1268/PCT#3</v>
      </c>
      <c r="G208" s="5">
        <v>2993.62</v>
      </c>
      <c r="H208" t="str">
        <f>"ACCT#1268/PCT#3"</f>
        <v>ACCT#1268/PCT#3</v>
      </c>
    </row>
    <row r="209" spans="1:8" x14ac:dyDescent="0.25">
      <c r="A209" t="s">
        <v>55</v>
      </c>
      <c r="B209">
        <v>131923</v>
      </c>
      <c r="C209" s="5">
        <v>4163.2299999999996</v>
      </c>
      <c r="D209" s="1">
        <v>43977</v>
      </c>
      <c r="E209" t="str">
        <f>"109667"</f>
        <v>109667</v>
      </c>
      <c r="F209" t="str">
        <f>"ACCT#1268/PCT#3"</f>
        <v>ACCT#1268/PCT#3</v>
      </c>
      <c r="G209" s="5">
        <v>2534.08</v>
      </c>
      <c r="H209" t="str">
        <f>"ACCT#1268/PCT#3"</f>
        <v>ACCT#1268/PCT#3</v>
      </c>
    </row>
    <row r="210" spans="1:8" x14ac:dyDescent="0.25">
      <c r="E210" t="str">
        <f>"109853"</f>
        <v>109853</v>
      </c>
      <c r="F210" t="str">
        <f>"ACCT#1268/COMM BASE/PCT#3"</f>
        <v>ACCT#1268/COMM BASE/PCT#3</v>
      </c>
      <c r="G210" s="5">
        <v>1629.15</v>
      </c>
      <c r="H210" t="str">
        <f>"ACCT#1268/COMM BASE/PCT#3"</f>
        <v>ACCT#1268/COMM BASE/PCT#3</v>
      </c>
    </row>
    <row r="211" spans="1:8" x14ac:dyDescent="0.25">
      <c r="A211" t="s">
        <v>56</v>
      </c>
      <c r="B211">
        <v>2588</v>
      </c>
      <c r="C211" s="5">
        <v>875</v>
      </c>
      <c r="D211" s="1">
        <v>43963</v>
      </c>
      <c r="E211" t="str">
        <f>"202005056699"</f>
        <v>202005056699</v>
      </c>
      <c r="F211" t="str">
        <f>"312312019D 925 355 8660 A001"</f>
        <v>312312019D 925 355 8660 A001</v>
      </c>
      <c r="G211" s="5">
        <v>250</v>
      </c>
      <c r="H211" t="str">
        <f>"312312019D 925 355 8660 A001"</f>
        <v>312312019D 925 355 8660 A001</v>
      </c>
    </row>
    <row r="212" spans="1:8" x14ac:dyDescent="0.25">
      <c r="E212" t="str">
        <f>"202005056700"</f>
        <v>202005056700</v>
      </c>
      <c r="F212" t="str">
        <f>"412139.3  9253556633A001"</f>
        <v>412139.3  9253556633A001</v>
      </c>
      <c r="G212" s="5">
        <v>250</v>
      </c>
      <c r="H212" t="str">
        <f>"412139.3  9253556633A001"</f>
        <v>412139.3  9253556633A001</v>
      </c>
    </row>
    <row r="213" spans="1:8" x14ac:dyDescent="0.25">
      <c r="E213" t="str">
        <f>"202005056701"</f>
        <v>202005056701</v>
      </c>
      <c r="F213" t="str">
        <f>"301262020D  925 3561874 A001"</f>
        <v>301262020D  925 3561874 A001</v>
      </c>
      <c r="G213" s="5">
        <v>125</v>
      </c>
      <c r="H213" t="str">
        <f>"301262020D  925 3561874 A001"</f>
        <v>301262020D  925 3561874 A001</v>
      </c>
    </row>
    <row r="214" spans="1:8" x14ac:dyDescent="0.25">
      <c r="E214" t="str">
        <f>"202005056702"</f>
        <v>202005056702</v>
      </c>
      <c r="F214" t="str">
        <f>"301262020E  925 356 1874 A002"</f>
        <v>301262020E  925 356 1874 A002</v>
      </c>
      <c r="G214" s="5">
        <v>250</v>
      </c>
      <c r="H214" t="str">
        <f>"301262020E  925 356 1874 A002"</f>
        <v>301262020E  925 356 1874 A002</v>
      </c>
    </row>
    <row r="215" spans="1:8" x14ac:dyDescent="0.25">
      <c r="A215" t="s">
        <v>57</v>
      </c>
      <c r="B215">
        <v>131796</v>
      </c>
      <c r="C215" s="5">
        <v>15</v>
      </c>
      <c r="D215" s="1">
        <v>43962</v>
      </c>
      <c r="E215" t="str">
        <f>"20-20203"</f>
        <v>20-20203</v>
      </c>
      <c r="F215" t="str">
        <f>"CENTRAL ADOPTION REGISTRY FUND"</f>
        <v>CENTRAL ADOPTION REGISTRY FUND</v>
      </c>
      <c r="G215" s="5">
        <v>15</v>
      </c>
      <c r="H215" t="str">
        <f>"CENTRAL ADOPTION REGISTRY FUND"</f>
        <v>CENTRAL ADOPTION REGISTRY FUND</v>
      </c>
    </row>
    <row r="216" spans="1:8" x14ac:dyDescent="0.25">
      <c r="A216" t="s">
        <v>57</v>
      </c>
      <c r="B216">
        <v>131924</v>
      </c>
      <c r="C216" s="5">
        <v>30</v>
      </c>
      <c r="D216" s="1">
        <v>43977</v>
      </c>
      <c r="E216" t="str">
        <f>"202005146887"</f>
        <v>202005146887</v>
      </c>
      <c r="F216" t="str">
        <f>"20-20213"</f>
        <v>20-20213</v>
      </c>
      <c r="G216" s="5">
        <v>15</v>
      </c>
      <c r="H216" t="str">
        <f>"20-20213"</f>
        <v>20-20213</v>
      </c>
    </row>
    <row r="217" spans="1:8" x14ac:dyDescent="0.25">
      <c r="E217" t="str">
        <f>"423-7233"</f>
        <v>423-7233</v>
      </c>
      <c r="F217" t="str">
        <f>"423-7233"</f>
        <v>423-7233</v>
      </c>
      <c r="G217" s="5">
        <v>15</v>
      </c>
      <c r="H217" t="str">
        <f>"423-7233"</f>
        <v>423-7233</v>
      </c>
    </row>
    <row r="218" spans="1:8" x14ac:dyDescent="0.25">
      <c r="A218" t="s">
        <v>58</v>
      </c>
      <c r="B218">
        <v>509</v>
      </c>
      <c r="C218" s="5">
        <v>2070.9899999999998</v>
      </c>
      <c r="D218" s="1">
        <v>43962</v>
      </c>
      <c r="E218" t="str">
        <f>"202005076746"</f>
        <v>202005076746</v>
      </c>
      <c r="F218" t="str">
        <f>"Monthly Statement"</f>
        <v>Monthly Statement</v>
      </c>
      <c r="G218" s="5">
        <v>2070.9899999999998</v>
      </c>
      <c r="H218" t="str">
        <f>"HRWEBAdvisor"</f>
        <v>HRWEBAdvisor</v>
      </c>
    </row>
    <row r="219" spans="1:8" x14ac:dyDescent="0.25">
      <c r="E219" t="str">
        <f>""</f>
        <v/>
      </c>
      <c r="F219" t="str">
        <f>""</f>
        <v/>
      </c>
      <c r="H219" t="str">
        <f>"Child Protective Ref"</f>
        <v>Child Protective Ref</v>
      </c>
    </row>
    <row r="220" spans="1:8" x14ac:dyDescent="0.25">
      <c r="E220" t="str">
        <f>""</f>
        <v/>
      </c>
      <c r="F220" t="str">
        <f>""</f>
        <v/>
      </c>
      <c r="H220" t="str">
        <f>"Government"</f>
        <v>Government</v>
      </c>
    </row>
    <row r="221" spans="1:8" x14ac:dyDescent="0.25">
      <c r="E221" t="str">
        <f>""</f>
        <v/>
      </c>
      <c r="F221" t="str">
        <f>""</f>
        <v/>
      </c>
      <c r="H221" t="str">
        <f>"MPrinted"</f>
        <v>MPrinted</v>
      </c>
    </row>
    <row r="222" spans="1:8" x14ac:dyDescent="0.25">
      <c r="E222" t="str">
        <f>""</f>
        <v/>
      </c>
      <c r="F222" t="str">
        <f>""</f>
        <v/>
      </c>
      <c r="H222" t="str">
        <f>"Go Daddy"</f>
        <v>Go Daddy</v>
      </c>
    </row>
    <row r="223" spans="1:8" x14ac:dyDescent="0.25">
      <c r="E223" t="str">
        <f>""</f>
        <v/>
      </c>
      <c r="F223" t="str">
        <f>""</f>
        <v/>
      </c>
      <c r="H223" t="str">
        <f>"Google"</f>
        <v>Google</v>
      </c>
    </row>
    <row r="224" spans="1:8" x14ac:dyDescent="0.25">
      <c r="E224" t="str">
        <f>""</f>
        <v/>
      </c>
      <c r="F224" t="str">
        <f>""</f>
        <v/>
      </c>
      <c r="H224" t="str">
        <f>"WebEx"</f>
        <v>WebEx</v>
      </c>
    </row>
    <row r="225" spans="1:8" x14ac:dyDescent="0.25">
      <c r="E225" t="str">
        <f>""</f>
        <v/>
      </c>
      <c r="F225" t="str">
        <f>""</f>
        <v/>
      </c>
      <c r="H225" t="str">
        <f>"NextWare"</f>
        <v>NextWare</v>
      </c>
    </row>
    <row r="226" spans="1:8" x14ac:dyDescent="0.25">
      <c r="E226" t="str">
        <f>""</f>
        <v/>
      </c>
      <c r="F226" t="str">
        <f>""</f>
        <v/>
      </c>
      <c r="H226" t="str">
        <f>"Home Depot"</f>
        <v>Home Depot</v>
      </c>
    </row>
    <row r="227" spans="1:8" x14ac:dyDescent="0.25">
      <c r="E227" t="str">
        <f>""</f>
        <v/>
      </c>
      <c r="F227" t="str">
        <f>""</f>
        <v/>
      </c>
      <c r="H227" t="str">
        <f>"CapCog Refund"</f>
        <v>CapCog Refund</v>
      </c>
    </row>
    <row r="228" spans="1:8" x14ac:dyDescent="0.25">
      <c r="E228" t="str">
        <f>""</f>
        <v/>
      </c>
      <c r="F228" t="str">
        <f>""</f>
        <v/>
      </c>
      <c r="H228" t="str">
        <f>"Home Depot Refund"</f>
        <v>Home Depot Refund</v>
      </c>
    </row>
    <row r="229" spans="1:8" x14ac:dyDescent="0.25">
      <c r="E229" t="str">
        <f>""</f>
        <v/>
      </c>
      <c r="F229" t="str">
        <f>""</f>
        <v/>
      </c>
      <c r="H229" t="str">
        <f>"Home Depot"</f>
        <v>Home Depot</v>
      </c>
    </row>
    <row r="230" spans="1:8" x14ac:dyDescent="0.25">
      <c r="E230" t="str">
        <f>""</f>
        <v/>
      </c>
      <c r="F230" t="str">
        <f>""</f>
        <v/>
      </c>
      <c r="H230" t="str">
        <f>"Walmart"</f>
        <v>Walmart</v>
      </c>
    </row>
    <row r="231" spans="1:8" x14ac:dyDescent="0.25">
      <c r="E231" t="str">
        <f>""</f>
        <v/>
      </c>
      <c r="F231" t="str">
        <f>""</f>
        <v/>
      </c>
      <c r="H231" t="str">
        <f>"Campbell Pet"</f>
        <v>Campbell Pet</v>
      </c>
    </row>
    <row r="232" spans="1:8" x14ac:dyDescent="0.25">
      <c r="E232" t="str">
        <f>""</f>
        <v/>
      </c>
      <c r="F232" t="str">
        <f>""</f>
        <v/>
      </c>
      <c r="H232" t="str">
        <f>"RMA"</f>
        <v>RMA</v>
      </c>
    </row>
    <row r="233" spans="1:8" x14ac:dyDescent="0.25">
      <c r="E233" t="str">
        <f>""</f>
        <v/>
      </c>
      <c r="F233" t="str">
        <f>""</f>
        <v/>
      </c>
      <c r="H233" t="str">
        <f>"Bucees"</f>
        <v>Bucees</v>
      </c>
    </row>
    <row r="234" spans="1:8" x14ac:dyDescent="0.25">
      <c r="E234" t="str">
        <f>""</f>
        <v/>
      </c>
      <c r="F234" t="str">
        <f>""</f>
        <v/>
      </c>
      <c r="H234" t="str">
        <f>"Bucees"</f>
        <v>Bucees</v>
      </c>
    </row>
    <row r="235" spans="1:8" x14ac:dyDescent="0.25">
      <c r="E235" t="str">
        <f>""</f>
        <v/>
      </c>
      <c r="F235" t="str">
        <f>""</f>
        <v/>
      </c>
      <c r="H235" t="str">
        <f>"Home Depot"</f>
        <v>Home Depot</v>
      </c>
    </row>
    <row r="236" spans="1:8" x14ac:dyDescent="0.25">
      <c r="E236" t="str">
        <f>""</f>
        <v/>
      </c>
      <c r="F236" t="str">
        <f>""</f>
        <v/>
      </c>
      <c r="H236" t="str">
        <f>"TxTag"</f>
        <v>TxTag</v>
      </c>
    </row>
    <row r="237" spans="1:8" x14ac:dyDescent="0.25">
      <c r="A237" t="s">
        <v>58</v>
      </c>
      <c r="B237">
        <v>510</v>
      </c>
      <c r="C237" s="5">
        <v>533.44000000000005</v>
      </c>
      <c r="D237" s="1">
        <v>43962</v>
      </c>
      <c r="E237" t="str">
        <f>"202005076744"</f>
        <v>202005076744</v>
      </c>
      <c r="F237" t="str">
        <f>"STATEMENT 0574"</f>
        <v>STATEMENT 0574</v>
      </c>
      <c r="G237" s="5">
        <v>533.44000000000005</v>
      </c>
      <c r="H237" t="str">
        <f>"LOWES"</f>
        <v>LOWES</v>
      </c>
    </row>
    <row r="238" spans="1:8" x14ac:dyDescent="0.25">
      <c r="E238" t="str">
        <f>""</f>
        <v/>
      </c>
      <c r="F238" t="str">
        <f>""</f>
        <v/>
      </c>
      <c r="H238" t="str">
        <f>"WALMART"</f>
        <v>WALMART</v>
      </c>
    </row>
    <row r="239" spans="1:8" x14ac:dyDescent="0.25">
      <c r="E239" t="str">
        <f>""</f>
        <v/>
      </c>
      <c r="F239" t="str">
        <f>""</f>
        <v/>
      </c>
      <c r="H239" t="str">
        <f>"DISCOUNT DOOR &amp; ME"</f>
        <v>DISCOUNT DOOR &amp; ME</v>
      </c>
    </row>
    <row r="240" spans="1:8" x14ac:dyDescent="0.25">
      <c r="E240" t="str">
        <f>""</f>
        <v/>
      </c>
      <c r="F240" t="str">
        <f>""</f>
        <v/>
      </c>
      <c r="H240" t="str">
        <f>"MATHESON TRI-GAS"</f>
        <v>MATHESON TRI-GAS</v>
      </c>
    </row>
    <row r="241" spans="1:8" x14ac:dyDescent="0.25">
      <c r="E241" t="str">
        <f>""</f>
        <v/>
      </c>
      <c r="F241" t="str">
        <f>""</f>
        <v/>
      </c>
      <c r="H241" t="str">
        <f>"HARBOR FREIGHT"</f>
        <v>HARBOR FREIGHT</v>
      </c>
    </row>
    <row r="242" spans="1:8" x14ac:dyDescent="0.25">
      <c r="E242" t="str">
        <f>""</f>
        <v/>
      </c>
      <c r="F242" t="str">
        <f>""</f>
        <v/>
      </c>
      <c r="H242" t="str">
        <f>"WALMART"</f>
        <v>WALMART</v>
      </c>
    </row>
    <row r="243" spans="1:8" x14ac:dyDescent="0.25">
      <c r="E243" t="str">
        <f>""</f>
        <v/>
      </c>
      <c r="F243" t="str">
        <f>""</f>
        <v/>
      </c>
      <c r="H243" t="str">
        <f>"HOME DEPOT"</f>
        <v>HOME DEPOT</v>
      </c>
    </row>
    <row r="244" spans="1:8" x14ac:dyDescent="0.25">
      <c r="A244" t="s">
        <v>59</v>
      </c>
      <c r="B244">
        <v>2582</v>
      </c>
      <c r="C244" s="5">
        <v>409.02</v>
      </c>
      <c r="D244" s="1">
        <v>43963</v>
      </c>
      <c r="E244" t="str">
        <f>"XPW5965"</f>
        <v>XPW5965</v>
      </c>
      <c r="F244" t="str">
        <f>"CDW GOVERNMENT INC"</f>
        <v>CDW GOVERNMENT INC</v>
      </c>
      <c r="G244" s="5">
        <v>409.02</v>
      </c>
      <c r="H244" t="str">
        <f>"Video Kit"</f>
        <v>Video Kit</v>
      </c>
    </row>
    <row r="245" spans="1:8" x14ac:dyDescent="0.25">
      <c r="A245" t="s">
        <v>60</v>
      </c>
      <c r="B245">
        <v>131797</v>
      </c>
      <c r="C245" s="5">
        <v>9990</v>
      </c>
      <c r="D245" s="1">
        <v>43962</v>
      </c>
      <c r="E245" t="str">
        <f>"INVUS212665"</f>
        <v>INVUS212665</v>
      </c>
      <c r="F245" t="str">
        <f>"Cellebrite renewal"</f>
        <v>Cellebrite renewal</v>
      </c>
      <c r="G245" s="5">
        <v>9990</v>
      </c>
      <c r="H245" t="str">
        <f>"A-SOW-07-023"</f>
        <v>A-SOW-07-023</v>
      </c>
    </row>
    <row r="246" spans="1:8" x14ac:dyDescent="0.25">
      <c r="A246" t="s">
        <v>61</v>
      </c>
      <c r="B246">
        <v>132016</v>
      </c>
      <c r="C246" s="5">
        <v>1094.4100000000001</v>
      </c>
      <c r="D246" s="1">
        <v>43977</v>
      </c>
      <c r="E246" t="str">
        <f>"202005267005"</f>
        <v>202005267005</v>
      </c>
      <c r="F246" t="str">
        <f>"ACCT#80000081165-5 / 05192020"</f>
        <v>ACCT#80000081165-5 / 05192020</v>
      </c>
      <c r="G246" s="5">
        <v>1094.4100000000001</v>
      </c>
      <c r="H246" t="str">
        <f>"ACCT#80000081165-5 / 05192020"</f>
        <v>ACCT#80000081165-5 / 05192020</v>
      </c>
    </row>
    <row r="247" spans="1:8" x14ac:dyDescent="0.25">
      <c r="E247" t="str">
        <f>""</f>
        <v/>
      </c>
      <c r="F247" t="str">
        <f>""</f>
        <v/>
      </c>
      <c r="H247" t="str">
        <f>"ACCT#80000081165-5 / 05192020"</f>
        <v>ACCT#80000081165-5 / 05192020</v>
      </c>
    </row>
    <row r="248" spans="1:8" x14ac:dyDescent="0.25">
      <c r="A248" t="s">
        <v>62</v>
      </c>
      <c r="B248">
        <v>131798</v>
      </c>
      <c r="C248" s="5">
        <v>5000</v>
      </c>
      <c r="D248" s="1">
        <v>43962</v>
      </c>
      <c r="E248" t="str">
        <f>"BC2#024"</f>
        <v>BC2#024</v>
      </c>
      <c r="F248" t="str">
        <f>"RENTAL DATES 12/29-01/29/PCT#2"</f>
        <v>RENTAL DATES 12/29-01/29/PCT#2</v>
      </c>
      <c r="G248" s="5">
        <v>600</v>
      </c>
      <c r="H248" t="str">
        <f>"RENTAL DATES 12/29-01/29/PCT#2"</f>
        <v>RENTAL DATES 12/29-01/29/PCT#2</v>
      </c>
    </row>
    <row r="249" spans="1:8" x14ac:dyDescent="0.25">
      <c r="E249" t="str">
        <f>"BC2#025"</f>
        <v>BC2#025</v>
      </c>
      <c r="F249" t="str">
        <f>"RENTAL DATES 01/29-02/29/PCT#2"</f>
        <v>RENTAL DATES 01/29-02/29/PCT#2</v>
      </c>
      <c r="G249" s="5">
        <v>600</v>
      </c>
      <c r="H249" t="str">
        <f>"RENTAL DATES 01/29-02/29/PCT#2"</f>
        <v>RENTAL DATES 01/29-02/29/PCT#2</v>
      </c>
    </row>
    <row r="250" spans="1:8" x14ac:dyDescent="0.25">
      <c r="E250" t="str">
        <f>"BC2#025RR"</f>
        <v>BC2#025RR</v>
      </c>
      <c r="F250" t="str">
        <f>"LOST WATER BARRIERS/PCT#2"</f>
        <v>LOST WATER BARRIERS/PCT#2</v>
      </c>
      <c r="G250" s="5">
        <v>3800</v>
      </c>
      <c r="H250" t="str">
        <f>"LOST WATER BARRIERS/PCT#2"</f>
        <v>LOST WATER BARRIERS/PCT#2</v>
      </c>
    </row>
    <row r="251" spans="1:8" x14ac:dyDescent="0.25">
      <c r="A251" t="s">
        <v>63</v>
      </c>
      <c r="B251">
        <v>131925</v>
      </c>
      <c r="C251" s="5">
        <v>2100</v>
      </c>
      <c r="D251" s="1">
        <v>43977</v>
      </c>
      <c r="E251" t="str">
        <f>"13111"</f>
        <v>13111</v>
      </c>
      <c r="F251" t="str">
        <f>"CTA 320-19 SHERRE G.T. DOGGETT"</f>
        <v>CTA 320-19 SHERRE G.T. DOGGETT</v>
      </c>
      <c r="G251" s="5">
        <v>2100</v>
      </c>
      <c r="H251" t="str">
        <f>"CTA 320-19 SHERRE G.T. DOGGETT"</f>
        <v>CTA 320-19 SHERRE G.T. DOGGETT</v>
      </c>
    </row>
    <row r="252" spans="1:8" x14ac:dyDescent="0.25">
      <c r="A252" t="s">
        <v>64</v>
      </c>
      <c r="B252">
        <v>2587</v>
      </c>
      <c r="C252" s="5">
        <v>2200</v>
      </c>
      <c r="D252" s="1">
        <v>43963</v>
      </c>
      <c r="E252" t="str">
        <f>"202005056696"</f>
        <v>202005056696</v>
      </c>
      <c r="F252" t="str">
        <f>"16 493"</f>
        <v>16 493</v>
      </c>
      <c r="G252" s="5">
        <v>1800</v>
      </c>
      <c r="H252" t="str">
        <f>"16 493"</f>
        <v>16 493</v>
      </c>
    </row>
    <row r="253" spans="1:8" x14ac:dyDescent="0.25">
      <c r="E253" t="str">
        <f>"202005056697"</f>
        <v>202005056697</v>
      </c>
      <c r="F253" t="str">
        <f>"403109-10"</f>
        <v>403109-10</v>
      </c>
      <c r="G253" s="5">
        <v>400</v>
      </c>
      <c r="H253" t="str">
        <f>"403109-10"</f>
        <v>403109-10</v>
      </c>
    </row>
    <row r="254" spans="1:8" x14ac:dyDescent="0.25">
      <c r="A254" t="s">
        <v>65</v>
      </c>
      <c r="B254">
        <v>2652</v>
      </c>
      <c r="C254" s="5">
        <v>270</v>
      </c>
      <c r="D254" s="1">
        <v>43978</v>
      </c>
      <c r="E254" t="str">
        <f>"202005146888"</f>
        <v>202005146888</v>
      </c>
      <c r="F254" t="str">
        <f>"STATE BAR DUES REIMBURSEMENT"</f>
        <v>STATE BAR DUES REIMBURSEMENT</v>
      </c>
      <c r="G254" s="5">
        <v>270</v>
      </c>
      <c r="H254" t="str">
        <f>"STATE BAR DUES REIMBURSEMENT"</f>
        <v>STATE BAR DUES REIMBURSEMENT</v>
      </c>
    </row>
    <row r="255" spans="1:8" x14ac:dyDescent="0.25">
      <c r="A255" t="s">
        <v>66</v>
      </c>
      <c r="B255">
        <v>131799</v>
      </c>
      <c r="C255" s="5">
        <v>25</v>
      </c>
      <c r="D255" s="1">
        <v>43962</v>
      </c>
      <c r="E255" t="str">
        <f>"202005066720"</f>
        <v>202005066720</v>
      </c>
      <c r="F255" t="str">
        <f>"REFUND - DRIVEWAY PERMIT"</f>
        <v>REFUND - DRIVEWAY PERMIT</v>
      </c>
      <c r="G255" s="5">
        <v>25</v>
      </c>
      <c r="H255" t="str">
        <f>"REFUND - DRIVEWAY PERMIT"</f>
        <v>REFUND - DRIVEWAY PERMIT</v>
      </c>
    </row>
    <row r="256" spans="1:8" x14ac:dyDescent="0.25">
      <c r="A256" t="s">
        <v>67</v>
      </c>
      <c r="B256">
        <v>131800</v>
      </c>
      <c r="C256" s="5">
        <v>9</v>
      </c>
      <c r="D256" s="1">
        <v>43962</v>
      </c>
      <c r="E256" t="str">
        <f>"202005066717"</f>
        <v>202005066717</v>
      </c>
      <c r="F256" t="str">
        <f>"REIMBURSEMENT - HOT DOGS"</f>
        <v>REIMBURSEMENT - HOT DOGS</v>
      </c>
      <c r="G256" s="5">
        <v>9</v>
      </c>
      <c r="H256" t="str">
        <f>"REIMBURSEMENT - HOT DOGS"</f>
        <v>REIMBURSEMENT - HOT DOGS</v>
      </c>
    </row>
    <row r="257" spans="1:8" x14ac:dyDescent="0.25">
      <c r="A257" t="s">
        <v>68</v>
      </c>
      <c r="B257">
        <v>131801</v>
      </c>
      <c r="C257" s="5">
        <v>222.86</v>
      </c>
      <c r="D257" s="1">
        <v>43962</v>
      </c>
      <c r="E257" t="str">
        <f>"5017039531"</f>
        <v>5017039531</v>
      </c>
      <c r="F257" t="str">
        <f>"CUST#0011167190/PCT#1"</f>
        <v>CUST#0011167190/PCT#1</v>
      </c>
      <c r="G257" s="5">
        <v>72.86</v>
      </c>
      <c r="H257" t="str">
        <f>"CUST#0011167190/PCT#1"</f>
        <v>CUST#0011167190/PCT#1</v>
      </c>
    </row>
    <row r="258" spans="1:8" x14ac:dyDescent="0.25">
      <c r="E258" t="str">
        <f>"9087566148"</f>
        <v>9087566148</v>
      </c>
      <c r="F258" t="str">
        <f>"INV 9087566148"</f>
        <v>INV 9087566148</v>
      </c>
      <c r="G258" s="5">
        <v>100</v>
      </c>
      <c r="H258" t="str">
        <f>"INV 9087566148"</f>
        <v>INV 9087566148</v>
      </c>
    </row>
    <row r="259" spans="1:8" x14ac:dyDescent="0.25">
      <c r="E259" t="str">
        <f>"9087566150"</f>
        <v>9087566150</v>
      </c>
      <c r="F259" t="str">
        <f>"INV 9087566150"</f>
        <v>INV 9087566150</v>
      </c>
      <c r="G259" s="5">
        <v>50</v>
      </c>
      <c r="H259" t="str">
        <f>"INV 9087566150"</f>
        <v>INV 9087566150</v>
      </c>
    </row>
    <row r="260" spans="1:8" x14ac:dyDescent="0.25">
      <c r="A260" t="s">
        <v>69</v>
      </c>
      <c r="B260">
        <v>131802</v>
      </c>
      <c r="C260" s="5">
        <v>210.04</v>
      </c>
      <c r="D260" s="1">
        <v>43962</v>
      </c>
      <c r="E260" t="str">
        <f>"8404602918"</f>
        <v>8404602918</v>
      </c>
      <c r="F260" t="str">
        <f>"CUST#10377368/PCT#3"</f>
        <v>CUST#10377368/PCT#3</v>
      </c>
      <c r="G260" s="5">
        <v>210.04</v>
      </c>
      <c r="H260" t="str">
        <f>"CUST#10377368/PCT#3"</f>
        <v>CUST#10377368/PCT#3</v>
      </c>
    </row>
    <row r="261" spans="1:8" x14ac:dyDescent="0.25">
      <c r="A261" t="s">
        <v>70</v>
      </c>
      <c r="B261">
        <v>131803</v>
      </c>
      <c r="C261" s="5">
        <v>414.8</v>
      </c>
      <c r="D261" s="1">
        <v>43962</v>
      </c>
      <c r="E261" t="str">
        <f>"202005066729"</f>
        <v>202005066729</v>
      </c>
      <c r="F261" t="str">
        <f>"PAYER#14108463/ANIMAL SHELTER"</f>
        <v>PAYER#14108463/ANIMAL SHELTER</v>
      </c>
      <c r="G261" s="5">
        <v>414.8</v>
      </c>
      <c r="H261" t="str">
        <f>"PAYER#14108463/ANIMAL SHELTER"</f>
        <v>PAYER#14108463/ANIMAL SHELTER</v>
      </c>
    </row>
    <row r="262" spans="1:8" x14ac:dyDescent="0.25">
      <c r="A262" t="s">
        <v>69</v>
      </c>
      <c r="B262">
        <v>131926</v>
      </c>
      <c r="C262" s="5">
        <v>37.49</v>
      </c>
      <c r="D262" s="1">
        <v>43977</v>
      </c>
      <c r="E262" t="str">
        <f>"8404620801"</f>
        <v>8404620801</v>
      </c>
      <c r="F262" t="str">
        <f>"10377368/PCT#2"</f>
        <v>10377368/PCT#2</v>
      </c>
      <c r="G262" s="5">
        <v>37.49</v>
      </c>
      <c r="H262" t="str">
        <f>"10377368/PCT#2"</f>
        <v>10377368/PCT#2</v>
      </c>
    </row>
    <row r="263" spans="1:8" x14ac:dyDescent="0.25">
      <c r="A263" t="s">
        <v>70</v>
      </c>
      <c r="B263">
        <v>131927</v>
      </c>
      <c r="C263" s="5">
        <v>4421.88</v>
      </c>
      <c r="D263" s="1">
        <v>43977</v>
      </c>
      <c r="E263" t="str">
        <f>"202005146890"</f>
        <v>202005146890</v>
      </c>
      <c r="F263" t="str">
        <f>"PAYER#14108375"</f>
        <v>PAYER#14108375</v>
      </c>
      <c r="G263" s="5">
        <v>1696.32</v>
      </c>
      <c r="H263" t="str">
        <f>"PAYER#14108375"</f>
        <v>PAYER#14108375</v>
      </c>
    </row>
    <row r="264" spans="1:8" x14ac:dyDescent="0.25">
      <c r="E264" t="str">
        <f>"202005146891"</f>
        <v>202005146891</v>
      </c>
      <c r="F264" t="str">
        <f>"PAYER#14108431"</f>
        <v>PAYER#14108431</v>
      </c>
      <c r="G264" s="5">
        <v>44.72</v>
      </c>
      <c r="H264" t="str">
        <f>"PAYER#14108431"</f>
        <v>PAYER#14108431</v>
      </c>
    </row>
    <row r="265" spans="1:8" x14ac:dyDescent="0.25">
      <c r="E265" t="str">
        <f>"202005146893"</f>
        <v>202005146893</v>
      </c>
      <c r="F265" t="str">
        <f>"PAYER#14108431/PCT#1"</f>
        <v>PAYER#14108431/PCT#1</v>
      </c>
      <c r="G265" s="5">
        <v>689.09</v>
      </c>
      <c r="H265" t="str">
        <f>"PAYER#14108431/PCT#1"</f>
        <v>PAYER#14108431/PCT#1</v>
      </c>
    </row>
    <row r="266" spans="1:8" x14ac:dyDescent="0.25">
      <c r="E266" t="str">
        <f>"202005146897"</f>
        <v>202005146897</v>
      </c>
      <c r="F266" t="str">
        <f>"PAYER#14108367/PCT#2"</f>
        <v>PAYER#14108367/PCT#2</v>
      </c>
      <c r="G266" s="5">
        <v>775</v>
      </c>
      <c r="H266" t="str">
        <f>"PAYER#14108367/PCT#2"</f>
        <v>PAYER#14108367/PCT#2</v>
      </c>
    </row>
    <row r="267" spans="1:8" x14ac:dyDescent="0.25">
      <c r="E267" t="str">
        <f>"202005146899"</f>
        <v>202005146899</v>
      </c>
      <c r="F267" t="str">
        <f>"PAYER#14108430/PCT#4"</f>
        <v>PAYER#14108430/PCT#4</v>
      </c>
      <c r="G267" s="5">
        <v>1216.75</v>
      </c>
      <c r="H267" t="str">
        <f>"PAYER#14108430/PCT#4"</f>
        <v>PAYER#14108430/PCT#4</v>
      </c>
    </row>
    <row r="268" spans="1:8" x14ac:dyDescent="0.25">
      <c r="A268" t="s">
        <v>71</v>
      </c>
      <c r="B268">
        <v>131905</v>
      </c>
      <c r="C268" s="5">
        <v>666.68</v>
      </c>
      <c r="D268" s="1">
        <v>43972</v>
      </c>
      <c r="E268" t="str">
        <f>"202005216993"</f>
        <v>202005216993</v>
      </c>
      <c r="F268" t="str">
        <f>"ACCT#72-5613 / 05032020"</f>
        <v>ACCT#72-5613 / 05032020</v>
      </c>
      <c r="G268" s="5">
        <v>666.68</v>
      </c>
      <c r="H268" t="str">
        <f>"ACCT#72-5613 / 05032020"</f>
        <v>ACCT#72-5613 / 05032020</v>
      </c>
    </row>
    <row r="269" spans="1:8" x14ac:dyDescent="0.25">
      <c r="A269" t="s">
        <v>72</v>
      </c>
      <c r="B269">
        <v>131895</v>
      </c>
      <c r="C269" s="5">
        <v>48485.1</v>
      </c>
      <c r="D269" s="1">
        <v>43965</v>
      </c>
      <c r="E269" t="str">
        <f>"202005146846"</f>
        <v>202005146846</v>
      </c>
      <c r="F269" t="str">
        <f>"ACCT#02-2083-04 / 04292020"</f>
        <v>ACCT#02-2083-04 / 04292020</v>
      </c>
      <c r="G269" s="5">
        <v>7164.21</v>
      </c>
      <c r="H269" t="str">
        <f>"ACCT#02-2083-04 / 04292020"</f>
        <v>ACCT#02-2083-04 / 04292020</v>
      </c>
    </row>
    <row r="270" spans="1:8" x14ac:dyDescent="0.25">
      <c r="E270" t="str">
        <f>"202005146847"</f>
        <v>202005146847</v>
      </c>
      <c r="F270" t="str">
        <f>"COUNTY DEV CTR / 04292020"</f>
        <v>COUNTY DEV CTR / 04292020</v>
      </c>
      <c r="G270" s="5">
        <v>1750.05</v>
      </c>
      <c r="H270" t="str">
        <f>"COUNTY DEV CTR / 04292020"</f>
        <v>COUNTY DEV CTR / 04292020</v>
      </c>
    </row>
    <row r="271" spans="1:8" x14ac:dyDescent="0.25">
      <c r="E271" t="str">
        <f>"202005146848"</f>
        <v>202005146848</v>
      </c>
      <c r="F271" t="str">
        <f>"COUNTY LAW ENF CTR / 04292020"</f>
        <v>COUNTY LAW ENF CTR / 04292020</v>
      </c>
      <c r="G271" s="5">
        <v>26812.09</v>
      </c>
      <c r="H271" t="str">
        <f>"COUNTY LAW ENF CTR / 04292020"</f>
        <v>COUNTY LAW ENF CTR / 04292020</v>
      </c>
    </row>
    <row r="272" spans="1:8" x14ac:dyDescent="0.25">
      <c r="E272" t="str">
        <f>"202005146849"</f>
        <v>202005146849</v>
      </c>
      <c r="F272" t="str">
        <f>"BASTROP COURTHOUSE / 04292020"</f>
        <v>BASTROP COURTHOUSE / 04292020</v>
      </c>
      <c r="G272" s="5">
        <v>12758.75</v>
      </c>
      <c r="H272" t="str">
        <f>"BASTROP COURTHOUSE / 04292020"</f>
        <v>BASTROP COURTHOUSE / 04292020</v>
      </c>
    </row>
    <row r="273" spans="1:8" x14ac:dyDescent="0.25">
      <c r="A273" t="s">
        <v>72</v>
      </c>
      <c r="B273">
        <v>131928</v>
      </c>
      <c r="C273" s="5">
        <v>750</v>
      </c>
      <c r="D273" s="1">
        <v>43977</v>
      </c>
      <c r="E273" t="str">
        <f>"202005186907"</f>
        <v>202005186907</v>
      </c>
      <c r="F273" t="str">
        <f>"RENTAL-PARKING LOT"</f>
        <v>RENTAL-PARKING LOT</v>
      </c>
      <c r="G273" s="5">
        <v>750</v>
      </c>
      <c r="H273" t="str">
        <f>"RENTAL-PARKING LOT"</f>
        <v>RENTAL-PARKING LOT</v>
      </c>
    </row>
    <row r="274" spans="1:8" x14ac:dyDescent="0.25">
      <c r="A274" t="s">
        <v>73</v>
      </c>
      <c r="B274">
        <v>131896</v>
      </c>
      <c r="C274" s="5">
        <v>2851.72</v>
      </c>
      <c r="D274" s="1">
        <v>43965</v>
      </c>
      <c r="E274" t="str">
        <f>"202005146857"</f>
        <v>202005146857</v>
      </c>
      <c r="F274" t="str">
        <f>"ACCT#007-0000388-000/04242020"</f>
        <v>ACCT#007-0000388-000/04242020</v>
      </c>
      <c r="G274" s="5">
        <v>533.76</v>
      </c>
      <c r="H274" t="str">
        <f>"ACCT#007-0000388-000/04242020"</f>
        <v>ACCT#007-0000388-000/04242020</v>
      </c>
    </row>
    <row r="275" spans="1:8" x14ac:dyDescent="0.25">
      <c r="E275" t="str">
        <f>"202005146858"</f>
        <v>202005146858</v>
      </c>
      <c r="F275" t="str">
        <f>"ACCT#007-0000389-000/04242020"</f>
        <v>ACCT#007-0000389-000/04242020</v>
      </c>
      <c r="G275" s="5">
        <v>22.86</v>
      </c>
      <c r="H275" t="str">
        <f>"ACCT#007-0000389-000/04242020"</f>
        <v>ACCT#007-0000389-000/04242020</v>
      </c>
    </row>
    <row r="276" spans="1:8" x14ac:dyDescent="0.25">
      <c r="E276" t="str">
        <f>"202005146859"</f>
        <v>202005146859</v>
      </c>
      <c r="F276" t="str">
        <f>"ACCT#044-0001240-000/04242020"</f>
        <v>ACCT#044-0001240-000/04242020</v>
      </c>
      <c r="G276" s="5">
        <v>339.15</v>
      </c>
      <c r="H276" t="str">
        <f>"ACCT#044-0001240-000/04242020"</f>
        <v>ACCT#044-0001240-000/04242020</v>
      </c>
    </row>
    <row r="277" spans="1:8" x14ac:dyDescent="0.25">
      <c r="E277" t="str">
        <f>"202005146860"</f>
        <v>202005146860</v>
      </c>
      <c r="F277" t="str">
        <f>"ACCT#044-0001250-000/04242020"</f>
        <v>ACCT#044-0001250-000/04242020</v>
      </c>
      <c r="G277" s="5">
        <v>126.5</v>
      </c>
      <c r="H277" t="str">
        <f>"ACCT#044-0001250-000/04242020"</f>
        <v>ACCT#044-0001250-000/04242020</v>
      </c>
    </row>
    <row r="278" spans="1:8" x14ac:dyDescent="0.25">
      <c r="E278" t="str">
        <f>"202005146861"</f>
        <v>202005146861</v>
      </c>
      <c r="F278" t="str">
        <f>"ACCT#044-0001252-000/04242020"</f>
        <v>ACCT#044-0001252-000/04242020</v>
      </c>
      <c r="G278" s="5">
        <v>1553.19</v>
      </c>
      <c r="H278" t="str">
        <f>"ACCT#044-0001252-000/04242020"</f>
        <v>ACCT#044-0001252-000/04242020</v>
      </c>
    </row>
    <row r="279" spans="1:8" x14ac:dyDescent="0.25">
      <c r="E279" t="str">
        <f>"202005146862"</f>
        <v>202005146862</v>
      </c>
      <c r="F279" t="str">
        <f>"ACCT#044-0001253-000/04242020"</f>
        <v>ACCT#044-0001253-000/04242020</v>
      </c>
      <c r="G279" s="5">
        <v>276.26</v>
      </c>
      <c r="H279" t="str">
        <f>"ACCT#044-0001253-000/04242020"</f>
        <v>ACCT#044-0001253-000/04242020</v>
      </c>
    </row>
    <row r="280" spans="1:8" x14ac:dyDescent="0.25">
      <c r="A280" t="s">
        <v>74</v>
      </c>
      <c r="B280">
        <v>2636</v>
      </c>
      <c r="C280" s="5">
        <v>42.85</v>
      </c>
      <c r="D280" s="1">
        <v>43978</v>
      </c>
      <c r="E280" t="str">
        <f>"202004-0"</f>
        <v>202004-0</v>
      </c>
      <c r="F280" t="str">
        <f>"INV 202004-0"</f>
        <v>INV 202004-0</v>
      </c>
      <c r="G280" s="5">
        <v>35.6</v>
      </c>
      <c r="H280" t="str">
        <f>"INV 202004-0"</f>
        <v>INV 202004-0</v>
      </c>
    </row>
    <row r="281" spans="1:8" x14ac:dyDescent="0.25">
      <c r="E281" t="str">
        <f>"202005196947"</f>
        <v>202005196947</v>
      </c>
      <c r="F281" t="str">
        <f>"INDIGENT HEALTH"</f>
        <v>INDIGENT HEALTH</v>
      </c>
      <c r="G281" s="5">
        <v>7.25</v>
      </c>
      <c r="H281" t="str">
        <f>"INDIGENT HEALTH"</f>
        <v>INDIGENT HEALTH</v>
      </c>
    </row>
    <row r="282" spans="1:8" x14ac:dyDescent="0.25">
      <c r="A282" t="s">
        <v>75</v>
      </c>
      <c r="B282">
        <v>131929</v>
      </c>
      <c r="C282" s="5">
        <v>39.6</v>
      </c>
      <c r="D282" s="1">
        <v>43977</v>
      </c>
      <c r="E282" t="str">
        <f>"202005196962"</f>
        <v>202005196962</v>
      </c>
      <c r="F282" t="str">
        <f>"ACCT#33799F10034315CSETN"</f>
        <v>ACCT#33799F10034315CSETN</v>
      </c>
      <c r="G282" s="5">
        <v>14.2</v>
      </c>
      <c r="H282" t="str">
        <f>"ACCT#33799F10034315CSETN"</f>
        <v>ACCT#33799F10034315CSETN</v>
      </c>
    </row>
    <row r="283" spans="1:8" x14ac:dyDescent="0.25">
      <c r="E283" t="str">
        <f>"202005196963"</f>
        <v>202005196963</v>
      </c>
      <c r="F283" t="str">
        <f>"ACCT#33799F10034315CSETN"</f>
        <v>ACCT#33799F10034315CSETN</v>
      </c>
      <c r="G283" s="5">
        <v>25.4</v>
      </c>
      <c r="H283" t="str">
        <f>"ACCT#33799F10034315CSETN"</f>
        <v>ACCT#33799F10034315CSETN</v>
      </c>
    </row>
    <row r="284" spans="1:8" x14ac:dyDescent="0.25">
      <c r="A284" t="s">
        <v>76</v>
      </c>
      <c r="B284">
        <v>131804</v>
      </c>
      <c r="C284" s="5">
        <v>75</v>
      </c>
      <c r="D284" s="1">
        <v>43962</v>
      </c>
      <c r="E284" t="str">
        <f>"13110"</f>
        <v>13110</v>
      </c>
      <c r="F284" t="str">
        <f>"SERVICE"</f>
        <v>SERVICE</v>
      </c>
      <c r="G284" s="5">
        <v>75</v>
      </c>
      <c r="H284" t="str">
        <f>"SERVICE"</f>
        <v>SERVICE</v>
      </c>
    </row>
    <row r="285" spans="1:8" x14ac:dyDescent="0.25">
      <c r="A285" t="s">
        <v>77</v>
      </c>
      <c r="B285">
        <v>2618</v>
      </c>
      <c r="C285" s="5">
        <v>547.15</v>
      </c>
      <c r="D285" s="1">
        <v>43978</v>
      </c>
      <c r="E285" t="str">
        <f>"202005196948"</f>
        <v>202005196948</v>
      </c>
      <c r="F285" t="str">
        <f>"INDIGENT HEALTH"</f>
        <v>INDIGENT HEALTH</v>
      </c>
      <c r="G285" s="5">
        <v>547.15</v>
      </c>
      <c r="H285" t="str">
        <f>"INDIGENT HEALTH"</f>
        <v>INDIGENT HEALTH</v>
      </c>
    </row>
    <row r="286" spans="1:8" x14ac:dyDescent="0.25">
      <c r="E286" t="str">
        <f>""</f>
        <v/>
      </c>
      <c r="F286" t="str">
        <f>""</f>
        <v/>
      </c>
      <c r="H286" t="str">
        <f>"INDIGENT HEALTH"</f>
        <v>INDIGENT HEALTH</v>
      </c>
    </row>
    <row r="287" spans="1:8" x14ac:dyDescent="0.25">
      <c r="A287" t="s">
        <v>78</v>
      </c>
      <c r="B287">
        <v>131930</v>
      </c>
      <c r="C287" s="5">
        <v>25</v>
      </c>
      <c r="D287" s="1">
        <v>43977</v>
      </c>
      <c r="E287" t="s">
        <v>79</v>
      </c>
      <c r="F287" t="str">
        <f>"RESTITUTION-KATHY PURCELL"</f>
        <v>RESTITUTION-KATHY PURCELL</v>
      </c>
      <c r="G287" s="5">
        <v>25</v>
      </c>
      <c r="H287" t="str">
        <f>"RESTITUTION-KATHY PURCELL"</f>
        <v>RESTITUTION-KATHY PURCELL</v>
      </c>
    </row>
    <row r="288" spans="1:8" x14ac:dyDescent="0.25">
      <c r="A288" t="s">
        <v>80</v>
      </c>
      <c r="B288">
        <v>131805</v>
      </c>
      <c r="C288" s="5">
        <v>5067.5</v>
      </c>
      <c r="D288" s="1">
        <v>43962</v>
      </c>
      <c r="E288" t="str">
        <f>"20342018"</f>
        <v>20342018</v>
      </c>
      <c r="F288" t="str">
        <f>"CONTECH ENGINEERED SOLUTIONS I"</f>
        <v>CONTECH ENGINEERED SOLUTIONS I</v>
      </c>
      <c r="G288" s="5">
        <v>5067.5</v>
      </c>
      <c r="H288" t="str">
        <f>"H/C Pipe"</f>
        <v>H/C Pipe</v>
      </c>
    </row>
    <row r="289" spans="1:8" x14ac:dyDescent="0.25">
      <c r="E289" t="str">
        <f>""</f>
        <v/>
      </c>
      <c r="F289" t="str">
        <f>""</f>
        <v/>
      </c>
      <c r="H289" t="str">
        <f>"Shipping"</f>
        <v>Shipping</v>
      </c>
    </row>
    <row r="290" spans="1:8" x14ac:dyDescent="0.25">
      <c r="A290" t="s">
        <v>80</v>
      </c>
      <c r="B290">
        <v>131931</v>
      </c>
      <c r="C290" s="5">
        <v>4050</v>
      </c>
      <c r="D290" s="1">
        <v>43977</v>
      </c>
      <c r="E290" t="str">
        <f>"20483384"</f>
        <v>20483384</v>
      </c>
      <c r="F290" t="str">
        <f>"ACCT#434304/PCT#2"</f>
        <v>ACCT#434304/PCT#2</v>
      </c>
      <c r="G290" s="5">
        <v>4050</v>
      </c>
      <c r="H290" t="str">
        <f>"ACCT#434304/PCT#2"</f>
        <v>ACCT#434304/PCT#2</v>
      </c>
    </row>
    <row r="291" spans="1:8" x14ac:dyDescent="0.25">
      <c r="A291" t="s">
        <v>81</v>
      </c>
      <c r="B291">
        <v>2564</v>
      </c>
      <c r="C291" s="5">
        <v>76001.8</v>
      </c>
      <c r="D291" s="1">
        <v>43963</v>
      </c>
      <c r="E291" t="str">
        <f>"202005056711"</f>
        <v>202005056711</v>
      </c>
      <c r="F291" t="str">
        <f>"COOPER EQUIPMENT CO."</f>
        <v>COOPER EQUIPMENT CO.</v>
      </c>
      <c r="G291" s="5">
        <v>76001.8</v>
      </c>
      <c r="H291" t="str">
        <f>"Etnyre 35T Trailer"</f>
        <v>Etnyre 35T Trailer</v>
      </c>
    </row>
    <row r="292" spans="1:8" x14ac:dyDescent="0.25">
      <c r="E292" t="str">
        <f>""</f>
        <v/>
      </c>
      <c r="F292" t="str">
        <f>""</f>
        <v/>
      </c>
      <c r="H292" t="str">
        <f>"Etnyre 35T Trailer"</f>
        <v>Etnyre 35T Trailer</v>
      </c>
    </row>
    <row r="293" spans="1:8" x14ac:dyDescent="0.25">
      <c r="A293" t="s">
        <v>82</v>
      </c>
      <c r="B293">
        <v>131932</v>
      </c>
      <c r="C293" s="5">
        <v>620.73</v>
      </c>
      <c r="D293" s="1">
        <v>43977</v>
      </c>
      <c r="E293" t="str">
        <f>"202005196944"</f>
        <v>202005196944</v>
      </c>
      <c r="F293" t="str">
        <f>"CORAM ALTERNATE SITE SERVICES"</f>
        <v>CORAM ALTERNATE SITE SERVICES</v>
      </c>
      <c r="G293" s="5">
        <v>620.73</v>
      </c>
      <c r="H293" t="str">
        <f>""</f>
        <v/>
      </c>
    </row>
    <row r="294" spans="1:8" x14ac:dyDescent="0.25">
      <c r="A294" t="s">
        <v>83</v>
      </c>
      <c r="B294">
        <v>131806</v>
      </c>
      <c r="C294" s="5">
        <v>75</v>
      </c>
      <c r="D294" s="1">
        <v>43962</v>
      </c>
      <c r="E294" t="str">
        <f>"13110"</f>
        <v>13110</v>
      </c>
      <c r="F294" t="str">
        <f>"SERVICE"</f>
        <v>SERVICE</v>
      </c>
      <c r="G294" s="5">
        <v>75</v>
      </c>
      <c r="H294" t="str">
        <f>"SERVICE"</f>
        <v>SERVICE</v>
      </c>
    </row>
    <row r="295" spans="1:8" x14ac:dyDescent="0.25">
      <c r="A295" t="s">
        <v>84</v>
      </c>
      <c r="B295">
        <v>2635</v>
      </c>
      <c r="C295" s="5">
        <v>228.66</v>
      </c>
      <c r="D295" s="1">
        <v>43978</v>
      </c>
      <c r="E295" t="str">
        <f>"CTCS544794"</f>
        <v>CTCS544794</v>
      </c>
      <c r="F295" t="str">
        <f>"INV CTCS544794 /UNIT 8382"</f>
        <v>INV CTCS544794 /UNIT 8382</v>
      </c>
      <c r="G295" s="5">
        <v>228.66</v>
      </c>
      <c r="H295" t="str">
        <f>"INV CTCS544794 /UNIT 8382"</f>
        <v>INV CTCS544794 /UNIT 8382</v>
      </c>
    </row>
    <row r="296" spans="1:8" x14ac:dyDescent="0.25">
      <c r="A296" t="s">
        <v>85</v>
      </c>
      <c r="B296">
        <v>131807</v>
      </c>
      <c r="C296" s="5">
        <v>272.08</v>
      </c>
      <c r="D296" s="1">
        <v>43962</v>
      </c>
      <c r="E296" t="str">
        <f>"ST04344"</f>
        <v>ST04344</v>
      </c>
      <c r="F296" t="str">
        <f>"ACCT#68930-000/ANIMAL SVCS"</f>
        <v>ACCT#68930-000/ANIMAL SVCS</v>
      </c>
      <c r="G296" s="5">
        <v>272.08</v>
      </c>
      <c r="H296" t="str">
        <f>"ACCT#68930-000/ANIMAL SVCS"</f>
        <v>ACCT#68930-000/ANIMAL SVCS</v>
      </c>
    </row>
    <row r="297" spans="1:8" x14ac:dyDescent="0.25">
      <c r="A297" t="s">
        <v>85</v>
      </c>
      <c r="B297">
        <v>131933</v>
      </c>
      <c r="C297" s="5">
        <v>1958.26</v>
      </c>
      <c r="D297" s="1">
        <v>43977</v>
      </c>
      <c r="E297" t="str">
        <f>"ST88205"</f>
        <v>ST88205</v>
      </c>
      <c r="F297" t="str">
        <f>"ACCT#68930-000/ANIMAL SERVICES"</f>
        <v>ACCT#68930-000/ANIMAL SERVICES</v>
      </c>
      <c r="G297" s="5">
        <v>237.2</v>
      </c>
      <c r="H297" t="str">
        <f t="shared" ref="H297:H303" si="8">"ACCT#68930-000/ANIMAL SERVICES"</f>
        <v>ACCT#68930-000/ANIMAL SERVICES</v>
      </c>
    </row>
    <row r="298" spans="1:8" x14ac:dyDescent="0.25">
      <c r="E298" t="str">
        <f>"ST93726"</f>
        <v>ST93726</v>
      </c>
      <c r="F298" t="str">
        <f>"ACCT#68930-000/ANIMAL SERVICES"</f>
        <v>ACCT#68930-000/ANIMAL SERVICES</v>
      </c>
      <c r="G298" s="5">
        <v>54.68</v>
      </c>
      <c r="H298" t="str">
        <f t="shared" si="8"/>
        <v>ACCT#68930-000/ANIMAL SERVICES</v>
      </c>
    </row>
    <row r="299" spans="1:8" x14ac:dyDescent="0.25">
      <c r="E299" t="str">
        <f>"SU25404"</f>
        <v>SU25404</v>
      </c>
      <c r="F299" t="str">
        <f>"ACCT#68930-000/ANIMAL SERVICES"</f>
        <v>ACCT#68930-000/ANIMAL SERVICES</v>
      </c>
      <c r="G299" s="5">
        <v>1162.9100000000001</v>
      </c>
      <c r="H299" t="str">
        <f t="shared" si="8"/>
        <v>ACCT#68930-000/ANIMAL SERVICES</v>
      </c>
    </row>
    <row r="300" spans="1:8" x14ac:dyDescent="0.25">
      <c r="E300" t="str">
        <f>""</f>
        <v/>
      </c>
      <c r="F300" t="str">
        <f>""</f>
        <v/>
      </c>
      <c r="H300" t="str">
        <f t="shared" si="8"/>
        <v>ACCT#68930-000/ANIMAL SERVICES</v>
      </c>
    </row>
    <row r="301" spans="1:8" x14ac:dyDescent="0.25">
      <c r="E301" t="str">
        <f>"SU34759"</f>
        <v>SU34759</v>
      </c>
      <c r="F301" t="str">
        <f>"ACCT#68930-000/ANIMAL SERVICES"</f>
        <v>ACCT#68930-000/ANIMAL SERVICES</v>
      </c>
      <c r="G301" s="5">
        <v>320</v>
      </c>
      <c r="H301" t="str">
        <f t="shared" si="8"/>
        <v>ACCT#68930-000/ANIMAL SERVICES</v>
      </c>
    </row>
    <row r="302" spans="1:8" x14ac:dyDescent="0.25">
      <c r="E302" t="str">
        <f>""</f>
        <v/>
      </c>
      <c r="F302" t="str">
        <f>""</f>
        <v/>
      </c>
      <c r="H302" t="str">
        <f t="shared" si="8"/>
        <v>ACCT#68930-000/ANIMAL SERVICES</v>
      </c>
    </row>
    <row r="303" spans="1:8" x14ac:dyDescent="0.25">
      <c r="E303" t="str">
        <f>"SU94566"</f>
        <v>SU94566</v>
      </c>
      <c r="F303" t="str">
        <f>"ACCT#68930-000/ANIMAL SERVICES"</f>
        <v>ACCT#68930-000/ANIMAL SERVICES</v>
      </c>
      <c r="G303" s="5">
        <v>183.47</v>
      </c>
      <c r="H303" t="str">
        <f t="shared" si="8"/>
        <v>ACCT#68930-000/ANIMAL SERVICES</v>
      </c>
    </row>
    <row r="304" spans="1:8" x14ac:dyDescent="0.25">
      <c r="A304" t="s">
        <v>86</v>
      </c>
      <c r="B304">
        <v>131808</v>
      </c>
      <c r="C304" s="5">
        <v>720</v>
      </c>
      <c r="D304" s="1">
        <v>43962</v>
      </c>
      <c r="E304" t="str">
        <f>"I-00146686"</f>
        <v>I-00146686</v>
      </c>
      <c r="F304" t="str">
        <f>"Cradlepoint Renewal"</f>
        <v>Cradlepoint Renewal</v>
      </c>
      <c r="G304" s="5">
        <v>720</v>
      </c>
      <c r="H304" t="str">
        <f>"BA1-NCESS-R"</f>
        <v>BA1-NCESS-R</v>
      </c>
    </row>
    <row r="305" spans="1:8" x14ac:dyDescent="0.25">
      <c r="A305" t="s">
        <v>87</v>
      </c>
      <c r="B305">
        <v>131934</v>
      </c>
      <c r="C305" s="5">
        <v>218.06</v>
      </c>
      <c r="D305" s="1">
        <v>43977</v>
      </c>
      <c r="E305" t="str">
        <f>"91358"</f>
        <v>91358</v>
      </c>
      <c r="F305" t="str">
        <f>"ACCT#1839/ANIMAL CONTROL"</f>
        <v>ACCT#1839/ANIMAL CONTROL</v>
      </c>
      <c r="G305" s="5">
        <v>170.39</v>
      </c>
      <c r="H305" t="str">
        <f>"ACCT#1839/ANIMAL CONTROL"</f>
        <v>ACCT#1839/ANIMAL CONTROL</v>
      </c>
    </row>
    <row r="306" spans="1:8" x14ac:dyDescent="0.25">
      <c r="E306" t="str">
        <f>"91426"</f>
        <v>91426</v>
      </c>
      <c r="F306" t="str">
        <f>"ACCT#1839/ANIMAL CONTROL"</f>
        <v>ACCT#1839/ANIMAL CONTROL</v>
      </c>
      <c r="G306" s="5">
        <v>20.53</v>
      </c>
      <c r="H306" t="str">
        <f>"ACCT#1839/ANIMAL CONTROL"</f>
        <v>ACCT#1839/ANIMAL CONTROL</v>
      </c>
    </row>
    <row r="307" spans="1:8" x14ac:dyDescent="0.25">
      <c r="E307" t="str">
        <f>"91556"</f>
        <v>91556</v>
      </c>
      <c r="F307" t="str">
        <f>"ACCT#1839/ANIMAL CONTROL"</f>
        <v>ACCT#1839/ANIMAL CONTROL</v>
      </c>
      <c r="G307" s="5">
        <v>27.14</v>
      </c>
      <c r="H307" t="str">
        <f>"ACCT#1839/ANIMAL CONTROL"</f>
        <v>ACCT#1839/ANIMAL CONTROL</v>
      </c>
    </row>
    <row r="308" spans="1:8" x14ac:dyDescent="0.25">
      <c r="A308" t="s">
        <v>88</v>
      </c>
      <c r="B308">
        <v>131809</v>
      </c>
      <c r="C308" s="5">
        <v>1543.9</v>
      </c>
      <c r="D308" s="1">
        <v>43962</v>
      </c>
      <c r="E308" t="str">
        <f>"1237 2010 4184 359"</f>
        <v>1237 2010 4184 359</v>
      </c>
      <c r="F308" t="str">
        <f>"CONTRACT#042-1434-2"</f>
        <v>CONTRACT#042-1434-2</v>
      </c>
      <c r="G308" s="5">
        <v>1543.9</v>
      </c>
      <c r="H308" t="str">
        <f>"CONTRACT#042-1434-2"</f>
        <v>CONTRACT#042-1434-2</v>
      </c>
    </row>
    <row r="309" spans="1:8" x14ac:dyDescent="0.25">
      <c r="A309" t="s">
        <v>89</v>
      </c>
      <c r="B309">
        <v>131810</v>
      </c>
      <c r="C309" s="5">
        <v>1448</v>
      </c>
      <c r="D309" s="1">
        <v>43962</v>
      </c>
      <c r="E309" t="str">
        <f>"333693"</f>
        <v>333693</v>
      </c>
      <c r="F309" t="str">
        <f>"Delineators and Posts"</f>
        <v>Delineators and Posts</v>
      </c>
      <c r="G309" s="5">
        <v>1448</v>
      </c>
      <c r="H309" t="str">
        <f>"BA080HYE0408D"</f>
        <v>BA080HYE0408D</v>
      </c>
    </row>
    <row r="310" spans="1:8" x14ac:dyDescent="0.25">
      <c r="E310" t="str">
        <f>""</f>
        <v/>
      </c>
      <c r="F310" t="str">
        <f>""</f>
        <v/>
      </c>
      <c r="H310" t="str">
        <f>"RPOCP061"</f>
        <v>RPOCP061</v>
      </c>
    </row>
    <row r="311" spans="1:8" x14ac:dyDescent="0.25">
      <c r="A311" t="s">
        <v>90</v>
      </c>
      <c r="B311">
        <v>131811</v>
      </c>
      <c r="C311" s="5">
        <v>80</v>
      </c>
      <c r="D311" s="1">
        <v>43962</v>
      </c>
      <c r="E311" t="str">
        <f>"13184"</f>
        <v>13184</v>
      </c>
      <c r="F311" t="str">
        <f>"SERVICE"</f>
        <v>SERVICE</v>
      </c>
      <c r="G311" s="5">
        <v>80</v>
      </c>
      <c r="H311" t="str">
        <f>"SERVICE"</f>
        <v>SERVICE</v>
      </c>
    </row>
    <row r="312" spans="1:8" x14ac:dyDescent="0.25">
      <c r="A312" t="s">
        <v>91</v>
      </c>
      <c r="B312">
        <v>131812</v>
      </c>
      <c r="C312" s="5">
        <v>159.80000000000001</v>
      </c>
      <c r="D312" s="1">
        <v>43962</v>
      </c>
      <c r="E312" t="str">
        <f>"ORD1586527"</f>
        <v>ORD1586527</v>
      </c>
      <c r="F312" t="str">
        <f>"ORDER ORD1586527"</f>
        <v>ORDER ORD1586527</v>
      </c>
      <c r="G312" s="5">
        <v>159.80000000000001</v>
      </c>
      <c r="H312" t="str">
        <f>"ORDER ORD1586527"</f>
        <v>ORDER ORD1586527</v>
      </c>
    </row>
    <row r="313" spans="1:8" x14ac:dyDescent="0.25">
      <c r="A313" t="s">
        <v>92</v>
      </c>
      <c r="B313">
        <v>131813</v>
      </c>
      <c r="C313" s="5">
        <v>100</v>
      </c>
      <c r="D313" s="1">
        <v>43962</v>
      </c>
      <c r="E313" t="str">
        <f>"202005056648"</f>
        <v>202005056648</v>
      </c>
      <c r="F313" t="str">
        <f>"LEGAL CONSULT SVCS-APRIL 2020"</f>
        <v>LEGAL CONSULT SVCS-APRIL 2020</v>
      </c>
      <c r="G313" s="5">
        <v>100</v>
      </c>
      <c r="H313" t="str">
        <f>"LEGAL CONSULT SVCS-APRIL 2020"</f>
        <v>LEGAL CONSULT SVCS-APRIL 2020</v>
      </c>
    </row>
    <row r="314" spans="1:8" x14ac:dyDescent="0.25">
      <c r="A314" t="s">
        <v>93</v>
      </c>
      <c r="B314">
        <v>131935</v>
      </c>
      <c r="C314" s="5">
        <v>2000</v>
      </c>
      <c r="D314" s="1">
        <v>43977</v>
      </c>
      <c r="E314" t="s">
        <v>94</v>
      </c>
      <c r="F314" t="str">
        <f>"OVERPAYMENT-FINE WAS PROBATED"</f>
        <v>OVERPAYMENT-FINE WAS PROBATED</v>
      </c>
      <c r="G314" s="5">
        <v>2000</v>
      </c>
      <c r="H314" t="str">
        <f>"OVERPAYMENT-FINE WAS PROBATED"</f>
        <v>OVERPAYMENT-FINE WAS PROBATED</v>
      </c>
    </row>
    <row r="315" spans="1:8" x14ac:dyDescent="0.25">
      <c r="A315" t="s">
        <v>95</v>
      </c>
      <c r="B315">
        <v>2545</v>
      </c>
      <c r="C315" s="5">
        <v>1155</v>
      </c>
      <c r="D315" s="1">
        <v>43963</v>
      </c>
      <c r="E315" t="str">
        <f>"202005056661"</f>
        <v>202005056661</v>
      </c>
      <c r="F315" t="str">
        <f>"15-17513"</f>
        <v>15-17513</v>
      </c>
      <c r="G315" s="5">
        <v>75</v>
      </c>
      <c r="H315" t="str">
        <f>"15-17513"</f>
        <v>15-17513</v>
      </c>
    </row>
    <row r="316" spans="1:8" x14ac:dyDescent="0.25">
      <c r="E316" t="str">
        <f>"202005056662"</f>
        <v>202005056662</v>
      </c>
      <c r="F316" t="str">
        <f>"19-19931"</f>
        <v>19-19931</v>
      </c>
      <c r="G316" s="5">
        <v>90</v>
      </c>
      <c r="H316" t="str">
        <f>"19-19931"</f>
        <v>19-19931</v>
      </c>
    </row>
    <row r="317" spans="1:8" x14ac:dyDescent="0.25">
      <c r="E317" t="str">
        <f>"202005056663"</f>
        <v>202005056663</v>
      </c>
      <c r="F317" t="str">
        <f>"19-19638"</f>
        <v>19-19638</v>
      </c>
      <c r="G317" s="5">
        <v>195</v>
      </c>
      <c r="H317" t="str">
        <f>"19-19638"</f>
        <v>19-19638</v>
      </c>
    </row>
    <row r="318" spans="1:8" x14ac:dyDescent="0.25">
      <c r="E318" t="str">
        <f>"202005056664"</f>
        <v>202005056664</v>
      </c>
      <c r="F318" t="str">
        <f>"20-20030"</f>
        <v>20-20030</v>
      </c>
      <c r="G318" s="5">
        <v>285</v>
      </c>
      <c r="H318" t="str">
        <f>"20-20030"</f>
        <v>20-20030</v>
      </c>
    </row>
    <row r="319" spans="1:8" x14ac:dyDescent="0.25">
      <c r="E319" t="str">
        <f>"202005056665"</f>
        <v>202005056665</v>
      </c>
      <c r="F319" t="str">
        <f>"20-20096"</f>
        <v>20-20096</v>
      </c>
      <c r="G319" s="5">
        <v>120</v>
      </c>
      <c r="H319" t="str">
        <f>"20-20096"</f>
        <v>20-20096</v>
      </c>
    </row>
    <row r="320" spans="1:8" x14ac:dyDescent="0.25">
      <c r="E320" t="str">
        <f>"202005056666"</f>
        <v>202005056666</v>
      </c>
      <c r="F320" t="str">
        <f>"19-19967"</f>
        <v>19-19967</v>
      </c>
      <c r="G320" s="5">
        <v>202.5</v>
      </c>
      <c r="H320" t="str">
        <f>"19-19967"</f>
        <v>19-19967</v>
      </c>
    </row>
    <row r="321" spans="1:8" x14ac:dyDescent="0.25">
      <c r="E321" t="str">
        <f>"202005056667"</f>
        <v>202005056667</v>
      </c>
      <c r="F321" t="str">
        <f>"19-19763"</f>
        <v>19-19763</v>
      </c>
      <c r="G321" s="5">
        <v>135</v>
      </c>
      <c r="H321" t="str">
        <f>"19-19763"</f>
        <v>19-19763</v>
      </c>
    </row>
    <row r="322" spans="1:8" x14ac:dyDescent="0.25">
      <c r="E322" t="str">
        <f>"202005056668"</f>
        <v>202005056668</v>
      </c>
      <c r="F322" t="str">
        <f>"17-18754"</f>
        <v>17-18754</v>
      </c>
      <c r="G322" s="5">
        <v>52.5</v>
      </c>
      <c r="H322" t="str">
        <f>"17-18754"</f>
        <v>17-18754</v>
      </c>
    </row>
    <row r="323" spans="1:8" x14ac:dyDescent="0.25">
      <c r="A323" t="s">
        <v>96</v>
      </c>
      <c r="B323">
        <v>131814</v>
      </c>
      <c r="C323" s="5">
        <v>4570.2299999999996</v>
      </c>
      <c r="D323" s="1">
        <v>43962</v>
      </c>
      <c r="E323" t="str">
        <f>"10385771640"</f>
        <v>10385771640</v>
      </c>
      <c r="F323" t="str">
        <f>"Laptop Batteries"</f>
        <v>Laptop Batteries</v>
      </c>
      <c r="G323" s="5">
        <v>749.95</v>
      </c>
      <c r="H323" t="str">
        <f>"Laptop Batteries"</f>
        <v>Laptop Batteries</v>
      </c>
    </row>
    <row r="324" spans="1:8" x14ac:dyDescent="0.25">
      <c r="E324" t="str">
        <f>"10388007222"</f>
        <v>10388007222</v>
      </c>
      <c r="F324" t="str">
        <f>"Dell Waranty Renewal"</f>
        <v>Dell Waranty Renewal</v>
      </c>
      <c r="G324" s="5">
        <v>774.32</v>
      </c>
      <c r="H324" t="str">
        <f>"R630"</f>
        <v>R630</v>
      </c>
    </row>
    <row r="325" spans="1:8" x14ac:dyDescent="0.25">
      <c r="E325" t="str">
        <f>"10389646678"</f>
        <v>10389646678</v>
      </c>
      <c r="F325" t="str">
        <f>"Laptops"</f>
        <v>Laptops</v>
      </c>
      <c r="G325" s="5">
        <v>3045.96</v>
      </c>
      <c r="H325" t="str">
        <f>"Dell Latitude 5500"</f>
        <v>Dell Latitude 5500</v>
      </c>
    </row>
    <row r="326" spans="1:8" x14ac:dyDescent="0.25">
      <c r="A326" t="s">
        <v>96</v>
      </c>
      <c r="B326">
        <v>131936</v>
      </c>
      <c r="C326" s="5">
        <v>3675.07</v>
      </c>
      <c r="D326" s="1">
        <v>43977</v>
      </c>
      <c r="E326" t="str">
        <f>"10391562532"</f>
        <v>10391562532</v>
      </c>
      <c r="F326" t="str">
        <f>"Optiplex Memory Upgrade"</f>
        <v>Optiplex Memory Upgrade</v>
      </c>
      <c r="G326" s="5">
        <v>153.78</v>
      </c>
      <c r="H326" t="str">
        <f>"A9168727"</f>
        <v>A9168727</v>
      </c>
    </row>
    <row r="327" spans="1:8" x14ac:dyDescent="0.25">
      <c r="E327" t="str">
        <f>"10392212920"</f>
        <v>10392212920</v>
      </c>
      <c r="F327" t="str">
        <f>"Monitors"</f>
        <v>Monitors</v>
      </c>
      <c r="G327" s="5">
        <v>712.36</v>
      </c>
      <c r="H327" t="str">
        <f>"Monitor"</f>
        <v>Monitor</v>
      </c>
    </row>
    <row r="328" spans="1:8" x14ac:dyDescent="0.25">
      <c r="E328" t="str">
        <f>""</f>
        <v/>
      </c>
      <c r="F328" t="str">
        <f>""</f>
        <v/>
      </c>
      <c r="H328" t="str">
        <f>"Premier Discount"</f>
        <v>Premier Discount</v>
      </c>
    </row>
    <row r="329" spans="1:8" x14ac:dyDescent="0.25">
      <c r="E329" t="str">
        <f>"10392224578"</f>
        <v>10392224578</v>
      </c>
      <c r="F329" t="str">
        <f>"Tablets for IT &amp; PCT 1"</f>
        <v>Tablets for IT &amp; PCT 1</v>
      </c>
      <c r="G329" s="5">
        <v>1913.04</v>
      </c>
      <c r="H329" t="str">
        <f>"Latitude 5290"</f>
        <v>Latitude 5290</v>
      </c>
    </row>
    <row r="330" spans="1:8" x14ac:dyDescent="0.25">
      <c r="E330" t="str">
        <f>""</f>
        <v/>
      </c>
      <c r="F330" t="str">
        <f>""</f>
        <v/>
      </c>
      <c r="H330" t="str">
        <f>"Latitude 5290"</f>
        <v>Latitude 5290</v>
      </c>
    </row>
    <row r="331" spans="1:8" x14ac:dyDescent="0.25">
      <c r="E331" t="str">
        <f>"10392261444"</f>
        <v>10392261444</v>
      </c>
      <c r="F331" t="str">
        <f>"Thunderbolt Dock"</f>
        <v>Thunderbolt Dock</v>
      </c>
      <c r="G331" s="5">
        <v>256.77</v>
      </c>
      <c r="H331" t="str">
        <f>"Thunderbolt Dock"</f>
        <v>Thunderbolt Dock</v>
      </c>
    </row>
    <row r="332" spans="1:8" x14ac:dyDescent="0.25">
      <c r="E332" t="str">
        <f>""</f>
        <v/>
      </c>
      <c r="F332" t="str">
        <f>""</f>
        <v/>
      </c>
      <c r="H332" t="str">
        <f>"Premier Discount"</f>
        <v>Premier Discount</v>
      </c>
    </row>
    <row r="333" spans="1:8" x14ac:dyDescent="0.25">
      <c r="E333" t="str">
        <f>"10392981446"</f>
        <v>10392981446</v>
      </c>
      <c r="F333" t="str">
        <f>"inv# 10392981446"</f>
        <v>inv# 10392981446</v>
      </c>
      <c r="G333" s="5">
        <v>639.12</v>
      </c>
      <c r="H333" t="str">
        <f>"Dock"</f>
        <v>Dock</v>
      </c>
    </row>
    <row r="334" spans="1:8" x14ac:dyDescent="0.25">
      <c r="E334" t="str">
        <f>""</f>
        <v/>
      </c>
      <c r="F334" t="str">
        <f>""</f>
        <v/>
      </c>
      <c r="H334" t="str">
        <f>"Monitor"</f>
        <v>Monitor</v>
      </c>
    </row>
    <row r="335" spans="1:8" x14ac:dyDescent="0.25">
      <c r="A335" t="s">
        <v>97</v>
      </c>
      <c r="B335">
        <v>131815</v>
      </c>
      <c r="C335" s="5">
        <v>33924.28</v>
      </c>
      <c r="D335" s="1">
        <v>43962</v>
      </c>
      <c r="E335" t="str">
        <f>"20031123N"</f>
        <v>20031123N</v>
      </c>
      <c r="F335" t="str">
        <f>"CUST CODE:PKE5000/MARCH 2020"</f>
        <v>CUST CODE:PKE5000/MARCH 2020</v>
      </c>
      <c r="G335" s="5">
        <v>33924.28</v>
      </c>
      <c r="H335" t="str">
        <f>"CUST CODE:PKE5000/MARCH 2020"</f>
        <v>CUST CODE:PKE5000/MARCH 2020</v>
      </c>
    </row>
    <row r="336" spans="1:8" x14ac:dyDescent="0.25">
      <c r="E336" t="str">
        <f>""</f>
        <v/>
      </c>
      <c r="F336" t="str">
        <f>""</f>
        <v/>
      </c>
      <c r="H336" t="str">
        <f>"CUST CODE:PKE5000/MARCH 2020"</f>
        <v>CUST CODE:PKE5000/MARCH 2020</v>
      </c>
    </row>
    <row r="337" spans="1:8" x14ac:dyDescent="0.25">
      <c r="A337" t="s">
        <v>98</v>
      </c>
      <c r="B337">
        <v>131816</v>
      </c>
      <c r="C337" s="5">
        <v>258.64999999999998</v>
      </c>
      <c r="D337" s="1">
        <v>43962</v>
      </c>
      <c r="E337" t="str">
        <f>"15509"</f>
        <v>15509</v>
      </c>
      <c r="F337" t="str">
        <f>"#13523/PCT#4"</f>
        <v>#13523/PCT#4</v>
      </c>
      <c r="G337" s="5">
        <v>258.64999999999998</v>
      </c>
      <c r="H337" t="str">
        <f>"#13523/PCT#4"</f>
        <v>#13523/PCT#4</v>
      </c>
    </row>
    <row r="338" spans="1:8" x14ac:dyDescent="0.25">
      <c r="A338" t="s">
        <v>99</v>
      </c>
      <c r="B338">
        <v>131817</v>
      </c>
      <c r="C338" s="5">
        <v>252.85</v>
      </c>
      <c r="D338" s="1">
        <v>43962</v>
      </c>
      <c r="E338" t="str">
        <f>"1634"</f>
        <v>1634</v>
      </c>
      <c r="F338" t="str">
        <f>"INV 1634"</f>
        <v>INV 1634</v>
      </c>
      <c r="G338" s="5">
        <v>252.85</v>
      </c>
      <c r="H338" t="str">
        <f>"INV 1634 (K-9)"</f>
        <v>INV 1634 (K-9)</v>
      </c>
    </row>
    <row r="339" spans="1:8" x14ac:dyDescent="0.25">
      <c r="E339" t="str">
        <f>""</f>
        <v/>
      </c>
      <c r="F339" t="str">
        <f>""</f>
        <v/>
      </c>
      <c r="H339" t="str">
        <f>"INV 1634 (ESTRAY)"</f>
        <v>INV 1634 (ESTRAY)</v>
      </c>
    </row>
    <row r="340" spans="1:8" x14ac:dyDescent="0.25">
      <c r="A340" t="s">
        <v>100</v>
      </c>
      <c r="B340">
        <v>132017</v>
      </c>
      <c r="C340" s="5">
        <v>749.4</v>
      </c>
      <c r="D340" s="1">
        <v>43977</v>
      </c>
      <c r="E340" t="str">
        <f>"202005267006"</f>
        <v>202005267006</v>
      </c>
      <c r="F340" t="str">
        <f>"ACCT#405900029213 / 06012020"</f>
        <v>ACCT#405900029213 / 06012020</v>
      </c>
      <c r="G340" s="5">
        <v>374.7</v>
      </c>
      <c r="H340" t="str">
        <f>"ACCT#405900029213 / 06012020"</f>
        <v>ACCT#405900029213 / 06012020</v>
      </c>
    </row>
    <row r="341" spans="1:8" x14ac:dyDescent="0.25">
      <c r="E341" t="str">
        <f>"202005267007"</f>
        <v>202005267007</v>
      </c>
      <c r="F341" t="str">
        <f>"ACCT#405900029225 / 06012020"</f>
        <v>ACCT#405900029225 / 06012020</v>
      </c>
      <c r="G341" s="5">
        <v>187.35</v>
      </c>
      <c r="H341" t="str">
        <f>"ACCT#405900029225 / 06012020"</f>
        <v>ACCT#405900029225 / 06012020</v>
      </c>
    </row>
    <row r="342" spans="1:8" x14ac:dyDescent="0.25">
      <c r="E342" t="str">
        <f>"202005267008"</f>
        <v>202005267008</v>
      </c>
      <c r="F342" t="str">
        <f>"ACCT#406900028789 / 06012020"</f>
        <v>ACCT#406900028789 / 06012020</v>
      </c>
      <c r="G342" s="5">
        <v>187.35</v>
      </c>
      <c r="H342" t="str">
        <f>"ACCT#406900028789 / 06012020"</f>
        <v>ACCT#406900028789 / 06012020</v>
      </c>
    </row>
    <row r="343" spans="1:8" x14ac:dyDescent="0.25">
      <c r="A343" t="s">
        <v>101</v>
      </c>
      <c r="B343">
        <v>2555</v>
      </c>
      <c r="C343" s="5">
        <v>1333.77</v>
      </c>
      <c r="D343" s="1">
        <v>43963</v>
      </c>
      <c r="E343" t="str">
        <f>"29524C"</f>
        <v>29524C</v>
      </c>
      <c r="F343" t="str">
        <f>"INV 29524C"</f>
        <v>INV 29524C</v>
      </c>
      <c r="G343" s="5">
        <v>1333.77</v>
      </c>
      <c r="H343" t="str">
        <f>"INV 29524C"</f>
        <v>INV 29524C</v>
      </c>
    </row>
    <row r="344" spans="1:8" x14ac:dyDescent="0.25">
      <c r="A344" t="s">
        <v>102</v>
      </c>
      <c r="B344">
        <v>2589</v>
      </c>
      <c r="C344" s="5">
        <v>812.5</v>
      </c>
      <c r="D344" s="1">
        <v>43963</v>
      </c>
      <c r="E344" t="str">
        <f>"202004286623"</f>
        <v>202004286623</v>
      </c>
      <c r="F344" t="str">
        <f>"DCPC-20-001"</f>
        <v>DCPC-20-001</v>
      </c>
      <c r="G344" s="5">
        <v>300</v>
      </c>
      <c r="H344" t="str">
        <f>"DCPC-20-001"</f>
        <v>DCPC-20-001</v>
      </c>
    </row>
    <row r="345" spans="1:8" x14ac:dyDescent="0.25">
      <c r="E345" t="str">
        <f>"202005056687"</f>
        <v>202005056687</v>
      </c>
      <c r="F345" t="str">
        <f>"301242020A"</f>
        <v>301242020A</v>
      </c>
      <c r="G345" s="5">
        <v>250</v>
      </c>
      <c r="H345" t="str">
        <f>"301242020A"</f>
        <v>301242020A</v>
      </c>
    </row>
    <row r="346" spans="1:8" x14ac:dyDescent="0.25">
      <c r="E346" t="str">
        <f>"202005056688"</f>
        <v>202005056688</v>
      </c>
      <c r="F346" t="str">
        <f>"20-20130"</f>
        <v>20-20130</v>
      </c>
      <c r="G346" s="5">
        <v>75</v>
      </c>
      <c r="H346" t="str">
        <f>"20-20130"</f>
        <v>20-20130</v>
      </c>
    </row>
    <row r="347" spans="1:8" x14ac:dyDescent="0.25">
      <c r="E347" t="str">
        <f>"202005056689"</f>
        <v>202005056689</v>
      </c>
      <c r="F347" t="str">
        <f>"19-19445"</f>
        <v>19-19445</v>
      </c>
      <c r="G347" s="5">
        <v>187.5</v>
      </c>
      <c r="H347" t="str">
        <f>"19-19445"</f>
        <v>19-19445</v>
      </c>
    </row>
    <row r="348" spans="1:8" x14ac:dyDescent="0.25">
      <c r="A348" t="s">
        <v>102</v>
      </c>
      <c r="B348">
        <v>2656</v>
      </c>
      <c r="C348" s="5">
        <v>562.5</v>
      </c>
      <c r="D348" s="1">
        <v>43978</v>
      </c>
      <c r="E348" t="str">
        <f>"202005196930"</f>
        <v>202005196930</v>
      </c>
      <c r="F348" t="str">
        <f>"19-19597"</f>
        <v>19-19597</v>
      </c>
      <c r="G348" s="5">
        <v>175</v>
      </c>
      <c r="H348" t="str">
        <f>"19-19597"</f>
        <v>19-19597</v>
      </c>
    </row>
    <row r="349" spans="1:8" x14ac:dyDescent="0.25">
      <c r="E349" t="str">
        <f>"202005196931"</f>
        <v>202005196931</v>
      </c>
      <c r="F349" t="str">
        <f>"19-19940"</f>
        <v>19-19940</v>
      </c>
      <c r="G349" s="5">
        <v>175</v>
      </c>
      <c r="H349" t="str">
        <f>"19-19940"</f>
        <v>19-19940</v>
      </c>
    </row>
    <row r="350" spans="1:8" x14ac:dyDescent="0.25">
      <c r="E350" t="str">
        <f>"202005196932"</f>
        <v>202005196932</v>
      </c>
      <c r="F350" t="str">
        <f>"19-19963"</f>
        <v>19-19963</v>
      </c>
      <c r="G350" s="5">
        <v>100</v>
      </c>
      <c r="H350" t="str">
        <f>"19-19963"</f>
        <v>19-19963</v>
      </c>
    </row>
    <row r="351" spans="1:8" x14ac:dyDescent="0.25">
      <c r="E351" t="str">
        <f>"202005196933"</f>
        <v>202005196933</v>
      </c>
      <c r="F351" t="str">
        <f>"19-19739"</f>
        <v>19-19739</v>
      </c>
      <c r="G351" s="5">
        <v>112.5</v>
      </c>
      <c r="H351" t="str">
        <f>"19-19739"</f>
        <v>19-19739</v>
      </c>
    </row>
    <row r="352" spans="1:8" x14ac:dyDescent="0.25">
      <c r="A352" t="s">
        <v>103</v>
      </c>
      <c r="B352">
        <v>131818</v>
      </c>
      <c r="C352" s="5">
        <v>4400</v>
      </c>
      <c r="D352" s="1">
        <v>43962</v>
      </c>
      <c r="E352" t="str">
        <f>"009"</f>
        <v>009</v>
      </c>
      <c r="F352" t="str">
        <f>"20 LOADS ROAD BASE/PCT#3"</f>
        <v>20 LOADS ROAD BASE/PCT#3</v>
      </c>
      <c r="G352" s="5">
        <v>4400</v>
      </c>
      <c r="H352" t="str">
        <f>"20 LOADS ROAD BASE/PCT#3"</f>
        <v>20 LOADS ROAD BASE/PCT#3</v>
      </c>
    </row>
    <row r="353" spans="1:8" x14ac:dyDescent="0.25">
      <c r="A353" t="s">
        <v>103</v>
      </c>
      <c r="B353">
        <v>131937</v>
      </c>
      <c r="C353" s="5">
        <v>1320</v>
      </c>
      <c r="D353" s="1">
        <v>43977</v>
      </c>
      <c r="E353" t="str">
        <f>"010"</f>
        <v>010</v>
      </c>
      <c r="F353" t="str">
        <f>"6 LDS 1  COMMERCIAL BASE/PCT#3"</f>
        <v>6 LDS 1  COMMERCIAL BASE/PCT#3</v>
      </c>
      <c r="G353" s="5">
        <v>1320</v>
      </c>
      <c r="H353" t="str">
        <f>"6 LDS 1  COMMERCIAL BASE/PCT#3"</f>
        <v>6 LDS 1  COMMERCIAL BASE/PCT#3</v>
      </c>
    </row>
    <row r="354" spans="1:8" x14ac:dyDescent="0.25">
      <c r="A354" t="s">
        <v>104</v>
      </c>
      <c r="B354">
        <v>2566</v>
      </c>
      <c r="C354" s="5">
        <v>1268.25</v>
      </c>
      <c r="D354" s="1">
        <v>43963</v>
      </c>
      <c r="E354" t="str">
        <f>"6255163138"</f>
        <v>6255163138</v>
      </c>
      <c r="F354" t="str">
        <f>"INV 6255163138"</f>
        <v>INV 6255163138</v>
      </c>
      <c r="G354" s="5">
        <v>1268.25</v>
      </c>
      <c r="H354" t="str">
        <f>"INV 6255163138"</f>
        <v>INV 6255163138</v>
      </c>
    </row>
    <row r="355" spans="1:8" x14ac:dyDescent="0.25">
      <c r="A355" t="s">
        <v>104</v>
      </c>
      <c r="B355">
        <v>2637</v>
      </c>
      <c r="C355" s="5">
        <v>891.62</v>
      </c>
      <c r="D355" s="1">
        <v>43978</v>
      </c>
      <c r="E355" t="str">
        <f>"202005216996"</f>
        <v>202005216996</v>
      </c>
      <c r="F355" t="str">
        <f>"INV 6254818209"</f>
        <v>INV 6254818209</v>
      </c>
      <c r="G355" s="5">
        <v>891.62</v>
      </c>
      <c r="H355" t="str">
        <f>"INV 6254818209"</f>
        <v>INV 6254818209</v>
      </c>
    </row>
    <row r="356" spans="1:8" x14ac:dyDescent="0.25">
      <c r="E356" t="str">
        <f>""</f>
        <v/>
      </c>
      <c r="F356" t="str">
        <f>""</f>
        <v/>
      </c>
      <c r="H356" t="str">
        <f>"INV 6254736266"</f>
        <v>INV 6254736266</v>
      </c>
    </row>
    <row r="357" spans="1:8" x14ac:dyDescent="0.25">
      <c r="A357" t="s">
        <v>105</v>
      </c>
      <c r="B357">
        <v>131819</v>
      </c>
      <c r="C357" s="5">
        <v>200</v>
      </c>
      <c r="D357" s="1">
        <v>43962</v>
      </c>
      <c r="E357" t="str">
        <f>"205563001"</f>
        <v>205563001</v>
      </c>
      <c r="F357" t="str">
        <f>"#5563/BLUE MEMBERSHIP/K.MILES"</f>
        <v>#5563/BLUE MEMBERSHIP/K.MILES</v>
      </c>
      <c r="G357" s="5">
        <v>200</v>
      </c>
      <c r="H357" t="str">
        <f>"#5563/BLUE MEMBERSHIP/K.MILES"</f>
        <v>#5563/BLUE MEMBERSHIP/K.MILES</v>
      </c>
    </row>
    <row r="358" spans="1:8" x14ac:dyDescent="0.25">
      <c r="A358" t="s">
        <v>106</v>
      </c>
      <c r="B358">
        <v>2565</v>
      </c>
      <c r="C358" s="5">
        <v>2277</v>
      </c>
      <c r="D358" s="1">
        <v>43963</v>
      </c>
      <c r="E358" t="str">
        <f>"042420"</f>
        <v>042420</v>
      </c>
      <c r="F358" t="str">
        <f>"1 YR SUBSCRIPTION RENEWAL#3387"</f>
        <v>1 YR SUBSCRIPTION RENEWAL#3387</v>
      </c>
      <c r="G358" s="5">
        <v>41</v>
      </c>
      <c r="H358" t="str">
        <f>"1 YR SUBSCRIPTION RENEWAL#3387"</f>
        <v>1 YR SUBSCRIPTION RENEWAL#3387</v>
      </c>
    </row>
    <row r="359" spans="1:8" x14ac:dyDescent="0.25">
      <c r="E359" t="str">
        <f>"52421-22788"</f>
        <v>52421-22788</v>
      </c>
      <c r="F359" t="str">
        <f>"Replat Michael Hidrogo"</f>
        <v>Replat Michael Hidrogo</v>
      </c>
      <c r="G359" s="5">
        <v>76</v>
      </c>
      <c r="H359" t="str">
        <f>"Run Amount"</f>
        <v>Run Amount</v>
      </c>
    </row>
    <row r="360" spans="1:8" x14ac:dyDescent="0.25">
      <c r="E360" t="str">
        <f>"52421-23094 23096"</f>
        <v>52421-23094 23096</v>
      </c>
      <c r="F360" t="str">
        <f>"Annual R&amp;B Materials"</f>
        <v>Annual R&amp;B Materials</v>
      </c>
      <c r="G360" s="5">
        <v>2160</v>
      </c>
      <c r="H360" t="str">
        <f>"RFB 20BCP05A"</f>
        <v>RFB 20BCP05A</v>
      </c>
    </row>
    <row r="361" spans="1:8" x14ac:dyDescent="0.25">
      <c r="E361" t="str">
        <f>""</f>
        <v/>
      </c>
      <c r="F361" t="str">
        <f>""</f>
        <v/>
      </c>
      <c r="H361" t="str">
        <f>"RFB 20BCP05B"</f>
        <v>RFB 20BCP05B</v>
      </c>
    </row>
    <row r="362" spans="1:8" x14ac:dyDescent="0.25">
      <c r="E362" t="str">
        <f>""</f>
        <v/>
      </c>
      <c r="F362" t="str">
        <f>""</f>
        <v/>
      </c>
      <c r="H362" t="str">
        <f>"RFB 20BCP05C"</f>
        <v>RFB 20BCP05C</v>
      </c>
    </row>
    <row r="363" spans="1:8" x14ac:dyDescent="0.25">
      <c r="E363" t="str">
        <f>""</f>
        <v/>
      </c>
      <c r="F363" t="str">
        <f>""</f>
        <v/>
      </c>
      <c r="H363" t="str">
        <f>"RFB 20BCP05D"</f>
        <v>RFB 20BCP05D</v>
      </c>
    </row>
    <row r="364" spans="1:8" x14ac:dyDescent="0.25">
      <c r="E364" t="str">
        <f>""</f>
        <v/>
      </c>
      <c r="F364" t="str">
        <f>""</f>
        <v/>
      </c>
      <c r="H364" t="str">
        <f>"RFB 20BCP05E"</f>
        <v>RFB 20BCP05E</v>
      </c>
    </row>
    <row r="365" spans="1:8" x14ac:dyDescent="0.25">
      <c r="E365" t="str">
        <f>""</f>
        <v/>
      </c>
      <c r="F365" t="str">
        <f>""</f>
        <v/>
      </c>
      <c r="H365" t="str">
        <f>"RFB 20BCP05F"</f>
        <v>RFB 20BCP05F</v>
      </c>
    </row>
    <row r="366" spans="1:8" x14ac:dyDescent="0.25">
      <c r="E366" t="str">
        <f>""</f>
        <v/>
      </c>
      <c r="F366" t="str">
        <f>""</f>
        <v/>
      </c>
      <c r="H366" t="str">
        <f>"RFB 20BCP05G"</f>
        <v>RFB 20BCP05G</v>
      </c>
    </row>
    <row r="367" spans="1:8" x14ac:dyDescent="0.25">
      <c r="E367" t="str">
        <f>""</f>
        <v/>
      </c>
      <c r="F367" t="str">
        <f>""</f>
        <v/>
      </c>
      <c r="H367" t="str">
        <f>"RFB 20BCP05H"</f>
        <v>RFB 20BCP05H</v>
      </c>
    </row>
    <row r="368" spans="1:8" x14ac:dyDescent="0.25">
      <c r="E368" t="str">
        <f>""</f>
        <v/>
      </c>
      <c r="F368" t="str">
        <f>""</f>
        <v/>
      </c>
      <c r="H368" t="str">
        <f>"RFB 20BCP05I"</f>
        <v>RFB 20BCP05I</v>
      </c>
    </row>
    <row r="369" spans="1:8" x14ac:dyDescent="0.25">
      <c r="A369" t="s">
        <v>107</v>
      </c>
      <c r="B369">
        <v>131938</v>
      </c>
      <c r="C369" s="5">
        <v>120</v>
      </c>
      <c r="D369" s="1">
        <v>43977</v>
      </c>
      <c r="E369" t="str">
        <f>"31308"</f>
        <v>31308</v>
      </c>
      <c r="F369" t="str">
        <f>"ROUND UP/PCT#1"</f>
        <v>ROUND UP/PCT#1</v>
      </c>
      <c r="G369" s="5">
        <v>60</v>
      </c>
      <c r="H369" t="str">
        <f>"ROUND UP/PCT#1"</f>
        <v>ROUND UP/PCT#1</v>
      </c>
    </row>
    <row r="370" spans="1:8" x14ac:dyDescent="0.25">
      <c r="E370" t="str">
        <f>"31326"</f>
        <v>31326</v>
      </c>
      <c r="F370" t="str">
        <f>"ROUND UP/PCT#3"</f>
        <v>ROUND UP/PCT#3</v>
      </c>
      <c r="G370" s="5">
        <v>60</v>
      </c>
      <c r="H370" t="str">
        <f>"ROUND UP/PCT#3"</f>
        <v>ROUND UP/PCT#3</v>
      </c>
    </row>
    <row r="371" spans="1:8" x14ac:dyDescent="0.25">
      <c r="A371" t="s">
        <v>108</v>
      </c>
      <c r="B371">
        <v>131897</v>
      </c>
      <c r="C371" s="5">
        <v>1472.5</v>
      </c>
      <c r="D371" s="1">
        <v>43965</v>
      </c>
      <c r="E371" t="str">
        <f>"202005146850"</f>
        <v>202005146850</v>
      </c>
      <c r="F371" t="str">
        <f>"ACCT#007-0008410-002/04302020"</f>
        <v>ACCT#007-0008410-002/04302020</v>
      </c>
      <c r="G371" s="5">
        <v>227.32</v>
      </c>
      <c r="H371" t="str">
        <f>"ACCT#007-0008410-002/04302020"</f>
        <v>ACCT#007-0008410-002/04302020</v>
      </c>
    </row>
    <row r="372" spans="1:8" x14ac:dyDescent="0.25">
      <c r="E372" t="str">
        <f>"202005146851"</f>
        <v>202005146851</v>
      </c>
      <c r="F372" t="str">
        <f>"ACCT#007-0011501-000/04302020"</f>
        <v>ACCT#007-0011501-000/04302020</v>
      </c>
      <c r="G372" s="5">
        <v>493.36</v>
      </c>
      <c r="H372" t="str">
        <f>"ACCT#007-0011501-000/04302020"</f>
        <v>ACCT#007-0011501-000/04302020</v>
      </c>
    </row>
    <row r="373" spans="1:8" x14ac:dyDescent="0.25">
      <c r="E373" t="str">
        <f>"202005146852"</f>
        <v>202005146852</v>
      </c>
      <c r="F373" t="str">
        <f>"ACCT#007-0011510-000/04302020"</f>
        <v>ACCT#007-0011510-000/04302020</v>
      </c>
      <c r="G373" s="5">
        <v>240.58</v>
      </c>
      <c r="H373" t="str">
        <f>"ACCT#007-0011510-000/04302020"</f>
        <v>ACCT#007-0011510-000/04302020</v>
      </c>
    </row>
    <row r="374" spans="1:8" x14ac:dyDescent="0.25">
      <c r="E374" t="str">
        <f>"202005146853"</f>
        <v>202005146853</v>
      </c>
      <c r="F374" t="str">
        <f>"ACCT#007-0011530-000/04302020"</f>
        <v>ACCT#007-0011530-000/04302020</v>
      </c>
      <c r="G374" s="5">
        <v>98.12</v>
      </c>
      <c r="H374" t="str">
        <f>"ACCT#007-0011530-000/04302020"</f>
        <v>ACCT#007-0011530-000/04302020</v>
      </c>
    </row>
    <row r="375" spans="1:8" x14ac:dyDescent="0.25">
      <c r="E375" t="str">
        <f>"202005146854"</f>
        <v>202005146854</v>
      </c>
      <c r="F375" t="str">
        <f>"ACCT#007-0011534-001/04302020"</f>
        <v>ACCT#007-0011534-001/04302020</v>
      </c>
      <c r="G375" s="5">
        <v>169.3</v>
      </c>
      <c r="H375" t="str">
        <f>"ACCT#007-0011534-001/04302020"</f>
        <v>ACCT#007-0011534-001/04302020</v>
      </c>
    </row>
    <row r="376" spans="1:8" x14ac:dyDescent="0.25">
      <c r="E376" t="str">
        <f>"202005146855"</f>
        <v>202005146855</v>
      </c>
      <c r="F376" t="str">
        <f>"ACCT#007-0011535-000/04302020"</f>
        <v>ACCT#007-0011535-000/04302020</v>
      </c>
      <c r="G376" s="5">
        <v>112.62</v>
      </c>
      <c r="H376" t="str">
        <f>"ACCT#007-0011535-000/04302020"</f>
        <v>ACCT#007-0011535-000/04302020</v>
      </c>
    </row>
    <row r="377" spans="1:8" x14ac:dyDescent="0.25">
      <c r="E377" t="str">
        <f>"202005146856"</f>
        <v>202005146856</v>
      </c>
      <c r="F377" t="str">
        <f>"ACCT#007-0011544-001/04302020"</f>
        <v>ACCT#007-0011544-001/04302020</v>
      </c>
      <c r="G377" s="5">
        <v>131.19999999999999</v>
      </c>
      <c r="H377" t="str">
        <f>"ACCT#007-0011544-001/04302020"</f>
        <v>ACCT#007-0011544-001/04302020</v>
      </c>
    </row>
    <row r="378" spans="1:8" x14ac:dyDescent="0.25">
      <c r="A378" t="s">
        <v>109</v>
      </c>
      <c r="B378">
        <v>131820</v>
      </c>
      <c r="C378" s="5">
        <v>4292.97</v>
      </c>
      <c r="D378" s="1">
        <v>43962</v>
      </c>
      <c r="E378" t="str">
        <f>"145-29371-03"</f>
        <v>145-29371-03</v>
      </c>
      <c r="F378" t="str">
        <f>"inv# 145-29371-03"</f>
        <v>inv# 145-29371-03</v>
      </c>
      <c r="G378" s="5">
        <v>4292.97</v>
      </c>
      <c r="H378" t="str">
        <f>"Cat# 93688"</f>
        <v>Cat# 93688</v>
      </c>
    </row>
    <row r="379" spans="1:8" x14ac:dyDescent="0.25">
      <c r="E379" t="str">
        <f>""</f>
        <v/>
      </c>
      <c r="F379" t="str">
        <f>""</f>
        <v/>
      </c>
      <c r="H379" t="str">
        <f>"Cat#93704"</f>
        <v>Cat#93704</v>
      </c>
    </row>
    <row r="380" spans="1:8" x14ac:dyDescent="0.25">
      <c r="E380" t="str">
        <f>""</f>
        <v/>
      </c>
      <c r="F380" t="str">
        <f>""</f>
        <v/>
      </c>
      <c r="H380" t="str">
        <f>"Cat#93681"</f>
        <v>Cat#93681</v>
      </c>
    </row>
    <row r="381" spans="1:8" x14ac:dyDescent="0.25">
      <c r="E381" t="str">
        <f>""</f>
        <v/>
      </c>
      <c r="F381" t="str">
        <f>""</f>
        <v/>
      </c>
      <c r="H381" t="str">
        <f>"Cat#83699"</f>
        <v>Cat#83699</v>
      </c>
    </row>
    <row r="382" spans="1:8" x14ac:dyDescent="0.25">
      <c r="A382" t="s">
        <v>110</v>
      </c>
      <c r="B382">
        <v>131821</v>
      </c>
      <c r="C382" s="5">
        <v>9681.84</v>
      </c>
      <c r="D382" s="1">
        <v>43962</v>
      </c>
      <c r="E382" t="str">
        <f>"9402238077"</f>
        <v>9402238077</v>
      </c>
      <c r="F382" t="str">
        <f>"ACCT#912922/BOL#26526/PCT#1"</f>
        <v>ACCT#912922/BOL#26526/PCT#1</v>
      </c>
      <c r="G382" s="5">
        <v>4855.2</v>
      </c>
      <c r="H382" t="str">
        <f>"ACCT#912922/BOL#26526/PCT#1"</f>
        <v>ACCT#912922/BOL#26526/PCT#1</v>
      </c>
    </row>
    <row r="383" spans="1:8" x14ac:dyDescent="0.25">
      <c r="E383" t="str">
        <f>"9402241497"</f>
        <v>9402241497</v>
      </c>
      <c r="F383" t="str">
        <f>"BOL#26552 / PCT#1"</f>
        <v>BOL#26552 / PCT#1</v>
      </c>
      <c r="G383" s="5">
        <v>4826.6400000000003</v>
      </c>
      <c r="H383" t="str">
        <f>"BOL#26552 / PCT#1"</f>
        <v>BOL#26552 / PCT#1</v>
      </c>
    </row>
    <row r="384" spans="1:8" x14ac:dyDescent="0.25">
      <c r="A384" t="s">
        <v>111</v>
      </c>
      <c r="B384">
        <v>2638</v>
      </c>
      <c r="C384" s="5">
        <v>7925.28</v>
      </c>
      <c r="D384" s="1">
        <v>43978</v>
      </c>
      <c r="E384" t="str">
        <f>"202005186902"</f>
        <v>202005186902</v>
      </c>
      <c r="F384" t="str">
        <f>"GRANT REIMBURSEMENT"</f>
        <v>GRANT REIMBURSEMENT</v>
      </c>
      <c r="G384" s="5">
        <v>7925.28</v>
      </c>
      <c r="H384" t="str">
        <f>"GRANT REIMBURSEMENT"</f>
        <v>GRANT REIMBURSEMENT</v>
      </c>
    </row>
    <row r="385" spans="1:8" x14ac:dyDescent="0.25">
      <c r="A385" t="s">
        <v>112</v>
      </c>
      <c r="B385">
        <v>131939</v>
      </c>
      <c r="C385" s="5">
        <v>70</v>
      </c>
      <c r="D385" s="1">
        <v>43977</v>
      </c>
      <c r="E385" t="str">
        <f>"202005186908"</f>
        <v>202005186908</v>
      </c>
      <c r="F385" t="str">
        <f>"ANNUAL RENT BOX #12110"</f>
        <v>ANNUAL RENT BOX #12110</v>
      </c>
      <c r="G385" s="5">
        <v>70</v>
      </c>
      <c r="H385" t="str">
        <f>"ANNUAL RENT BOX #12110"</f>
        <v>ANNUAL RENT BOX #12110</v>
      </c>
    </row>
    <row r="386" spans="1:8" x14ac:dyDescent="0.25">
      <c r="A386" t="s">
        <v>113</v>
      </c>
      <c r="B386">
        <v>131822</v>
      </c>
      <c r="C386" s="5">
        <v>327.64999999999998</v>
      </c>
      <c r="D386" s="1">
        <v>43962</v>
      </c>
      <c r="E386" t="str">
        <f>"50224422"</f>
        <v>50224422</v>
      </c>
      <c r="F386" t="str">
        <f>"ACCT#80975-001/VALVE/PCT#3"</f>
        <v>ACCT#80975-001/VALVE/PCT#3</v>
      </c>
      <c r="G386" s="5">
        <v>327.64999999999998</v>
      </c>
      <c r="H386" t="str">
        <f>"ACCT#80975-001/VALVE/PCT#3"</f>
        <v>ACCT#80975-001/VALVE/PCT#3</v>
      </c>
    </row>
    <row r="387" spans="1:8" x14ac:dyDescent="0.25">
      <c r="A387" t="s">
        <v>113</v>
      </c>
      <c r="B387">
        <v>131940</v>
      </c>
      <c r="C387" s="5">
        <v>14.46</v>
      </c>
      <c r="D387" s="1">
        <v>43977</v>
      </c>
      <c r="E387" t="str">
        <f>"51558319"</f>
        <v>51558319</v>
      </c>
      <c r="F387" t="str">
        <f>"ACCT#80975-001/PCT#3"</f>
        <v>ACCT#80975-001/PCT#3</v>
      </c>
      <c r="G387" s="5">
        <v>14.46</v>
      </c>
      <c r="H387" t="str">
        <f>"ACCT#80975-001/PCT#3"</f>
        <v>ACCT#80975-001/PCT#3</v>
      </c>
    </row>
    <row r="388" spans="1:8" x14ac:dyDescent="0.25">
      <c r="A388" t="s">
        <v>114</v>
      </c>
      <c r="B388">
        <v>2633</v>
      </c>
      <c r="C388" s="5">
        <v>249.84</v>
      </c>
      <c r="D388" s="1">
        <v>43978</v>
      </c>
      <c r="E388" t="str">
        <f>"40937AP"</f>
        <v>40937AP</v>
      </c>
      <c r="F388" t="str">
        <f>"ACCT#3325/PCT#2"</f>
        <v>ACCT#3325/PCT#2</v>
      </c>
      <c r="G388" s="5">
        <v>249.84</v>
      </c>
      <c r="H388" t="str">
        <f>"ACCT#3325/PCT#2"</f>
        <v>ACCT#3325/PCT#2</v>
      </c>
    </row>
    <row r="389" spans="1:8" x14ac:dyDescent="0.25">
      <c r="A389" t="s">
        <v>115</v>
      </c>
      <c r="B389">
        <v>2568</v>
      </c>
      <c r="C389" s="5">
        <v>708.36</v>
      </c>
      <c r="D389" s="1">
        <v>43963</v>
      </c>
      <c r="E389" t="str">
        <f>"111591"</f>
        <v>111591</v>
      </c>
      <c r="F389" t="str">
        <f>"INV GC 111591"</f>
        <v>INV GC 111591</v>
      </c>
      <c r="G389" s="5">
        <v>530.22</v>
      </c>
      <c r="H389" t="str">
        <f>"INV GC 111591"</f>
        <v>INV GC 111591</v>
      </c>
    </row>
    <row r="390" spans="1:8" x14ac:dyDescent="0.25">
      <c r="E390" t="str">
        <f>"111617"</f>
        <v>111617</v>
      </c>
      <c r="F390" t="str">
        <f>"INV GC 111617"</f>
        <v>INV GC 111617</v>
      </c>
      <c r="G390" s="5">
        <v>178.14</v>
      </c>
      <c r="H390" t="str">
        <f>"INV GC 111617"</f>
        <v>INV GC 111617</v>
      </c>
    </row>
    <row r="391" spans="1:8" x14ac:dyDescent="0.25">
      <c r="A391" t="s">
        <v>115</v>
      </c>
      <c r="B391">
        <v>2639</v>
      </c>
      <c r="C391" s="5">
        <v>88.4</v>
      </c>
      <c r="D391" s="1">
        <v>43978</v>
      </c>
      <c r="E391" t="str">
        <f>"111717"</f>
        <v>111717</v>
      </c>
      <c r="F391" t="str">
        <f>"INV GC 111717"</f>
        <v>INV GC 111717</v>
      </c>
      <c r="G391" s="5">
        <v>88.4</v>
      </c>
      <c r="H391" t="str">
        <f>"INV GC 111717"</f>
        <v>INV GC 111717</v>
      </c>
    </row>
    <row r="392" spans="1:8" x14ac:dyDescent="0.25">
      <c r="A392" t="s">
        <v>116</v>
      </c>
      <c r="B392">
        <v>131823</v>
      </c>
      <c r="C392" s="5">
        <v>259.95999999999998</v>
      </c>
      <c r="D392" s="1">
        <v>43962</v>
      </c>
      <c r="E392" t="str">
        <f>"015538123"</f>
        <v>015538123</v>
      </c>
      <c r="F392" t="str">
        <f>"INV 015538123"</f>
        <v>INV 015538123</v>
      </c>
      <c r="G392" s="5">
        <v>12</v>
      </c>
      <c r="H392" t="str">
        <f>"INV 015538123"</f>
        <v>INV 015538123</v>
      </c>
    </row>
    <row r="393" spans="1:8" x14ac:dyDescent="0.25">
      <c r="E393" t="str">
        <f>"015557872"</f>
        <v>015557872</v>
      </c>
      <c r="F393" t="str">
        <f>"INV 015557872"</f>
        <v>INV 015557872</v>
      </c>
      <c r="G393" s="5">
        <v>12</v>
      </c>
      <c r="H393" t="str">
        <f>"INV 015557872"</f>
        <v>INV 015557872</v>
      </c>
    </row>
    <row r="394" spans="1:8" x14ac:dyDescent="0.25">
      <c r="E394" t="str">
        <f>"015567756"</f>
        <v>015567756</v>
      </c>
      <c r="F394" t="str">
        <f>"INV 015567756"</f>
        <v>INV 015567756</v>
      </c>
      <c r="G394" s="5">
        <v>36</v>
      </c>
      <c r="H394" t="str">
        <f>"INV 015567756"</f>
        <v>INV 015567756</v>
      </c>
    </row>
    <row r="395" spans="1:8" x14ac:dyDescent="0.25">
      <c r="E395" t="str">
        <f>"015569032"</f>
        <v>015569032</v>
      </c>
      <c r="F395" t="str">
        <f>"INV 015569032"</f>
        <v>INV 015569032</v>
      </c>
      <c r="G395" s="5">
        <v>99.98</v>
      </c>
      <c r="H395" t="str">
        <f>"INV 015569032"</f>
        <v>INV 015569032</v>
      </c>
    </row>
    <row r="396" spans="1:8" x14ac:dyDescent="0.25">
      <c r="E396" t="str">
        <f>"015569033"</f>
        <v>015569033</v>
      </c>
      <c r="F396" t="str">
        <f>"INV 015569033"</f>
        <v>INV 015569033</v>
      </c>
      <c r="G396" s="5">
        <v>99.98</v>
      </c>
      <c r="H396" t="str">
        <f>"INV 015569033"</f>
        <v>INV 015569033</v>
      </c>
    </row>
    <row r="397" spans="1:8" x14ac:dyDescent="0.25">
      <c r="A397" t="s">
        <v>116</v>
      </c>
      <c r="B397">
        <v>131941</v>
      </c>
      <c r="C397" s="5">
        <v>935.5</v>
      </c>
      <c r="D397" s="1">
        <v>43977</v>
      </c>
      <c r="E397" t="str">
        <f>"015173907 01517391"</f>
        <v>015173907 01517391</v>
      </c>
      <c r="F397" t="str">
        <f>"INV 015173907"</f>
        <v>INV 015173907</v>
      </c>
      <c r="G397" s="5">
        <v>389</v>
      </c>
      <c r="H397" t="str">
        <f>"INV 015173907"</f>
        <v>INV 015173907</v>
      </c>
    </row>
    <row r="398" spans="1:8" x14ac:dyDescent="0.25">
      <c r="E398" t="str">
        <f>""</f>
        <v/>
      </c>
      <c r="F398" t="str">
        <f>""</f>
        <v/>
      </c>
      <c r="H398" t="str">
        <f>"INV 015173915"</f>
        <v>INV 015173915</v>
      </c>
    </row>
    <row r="399" spans="1:8" x14ac:dyDescent="0.25">
      <c r="E399" t="str">
        <f>""</f>
        <v/>
      </c>
      <c r="F399" t="str">
        <f>""</f>
        <v/>
      </c>
      <c r="H399" t="str">
        <f>"INV 015236983"</f>
        <v>INV 015236983</v>
      </c>
    </row>
    <row r="400" spans="1:8" x14ac:dyDescent="0.25">
      <c r="E400" t="str">
        <f>"015410352 01556889"</f>
        <v>015410352 01556889</v>
      </c>
      <c r="F400" t="str">
        <f>"INV 015410352"</f>
        <v>INV 015410352</v>
      </c>
      <c r="G400" s="5">
        <v>278</v>
      </c>
      <c r="H400" t="str">
        <f>"INV 015410352"</f>
        <v>INV 015410352</v>
      </c>
    </row>
    <row r="401" spans="1:8" x14ac:dyDescent="0.25">
      <c r="E401" t="str">
        <f>""</f>
        <v/>
      </c>
      <c r="F401" t="str">
        <f>""</f>
        <v/>
      </c>
      <c r="H401" t="str">
        <f>"INV 015568894"</f>
        <v>INV 015568894</v>
      </c>
    </row>
    <row r="402" spans="1:8" x14ac:dyDescent="0.25">
      <c r="E402" t="str">
        <f>"015410378 01566022"</f>
        <v>015410378 01566022</v>
      </c>
      <c r="F402" t="str">
        <f>"INV 015410378/015660225"</f>
        <v>INV 015410378/015660225</v>
      </c>
      <c r="G402" s="5">
        <v>268.5</v>
      </c>
      <c r="H402" t="str">
        <f>"INV 015410378"</f>
        <v>INV 015410378</v>
      </c>
    </row>
    <row r="403" spans="1:8" x14ac:dyDescent="0.25">
      <c r="E403" t="str">
        <f>""</f>
        <v/>
      </c>
      <c r="F403" t="str">
        <f>""</f>
        <v/>
      </c>
      <c r="H403" t="str">
        <f>"INV 015660225"</f>
        <v>INV 015660225</v>
      </c>
    </row>
    <row r="404" spans="1:8" x14ac:dyDescent="0.25">
      <c r="A404" t="s">
        <v>117</v>
      </c>
      <c r="B404">
        <v>2583</v>
      </c>
      <c r="C404" s="5">
        <v>191.34</v>
      </c>
      <c r="D404" s="1">
        <v>43963</v>
      </c>
      <c r="E404" t="str">
        <f>"N64421"</f>
        <v>N64421</v>
      </c>
      <c r="F404" t="str">
        <f>"INV N64421"</f>
        <v>INV N64421</v>
      </c>
      <c r="G404" s="5">
        <v>191.34</v>
      </c>
      <c r="H404" t="str">
        <f>"INV N64421"</f>
        <v>INV N64421</v>
      </c>
    </row>
    <row r="405" spans="1:8" x14ac:dyDescent="0.25">
      <c r="A405" t="s">
        <v>118</v>
      </c>
      <c r="B405">
        <v>131824</v>
      </c>
      <c r="C405" s="5">
        <v>850</v>
      </c>
      <c r="D405" s="1">
        <v>43962</v>
      </c>
      <c r="E405" t="str">
        <f>"1103"</f>
        <v>1103</v>
      </c>
      <c r="F405" t="str">
        <f>"TRANSPORT - E. LINDSEY"</f>
        <v>TRANSPORT - E. LINDSEY</v>
      </c>
      <c r="G405" s="5">
        <v>425</v>
      </c>
      <c r="H405" t="str">
        <f>"TRANSPORT - E. LINDSEY"</f>
        <v>TRANSPORT - E. LINDSEY</v>
      </c>
    </row>
    <row r="406" spans="1:8" x14ac:dyDescent="0.25">
      <c r="E406" t="str">
        <f>"1129"</f>
        <v>1129</v>
      </c>
      <c r="F406" t="str">
        <f>"TRANSPORT-L. GOMEZ"</f>
        <v>TRANSPORT-L. GOMEZ</v>
      </c>
      <c r="G406" s="5">
        <v>425</v>
      </c>
      <c r="H406" t="str">
        <f>"TRANSPORT-L. GOMEZ"</f>
        <v>TRANSPORT-L. GOMEZ</v>
      </c>
    </row>
    <row r="407" spans="1:8" x14ac:dyDescent="0.25">
      <c r="A407" t="s">
        <v>118</v>
      </c>
      <c r="B407">
        <v>131942</v>
      </c>
      <c r="C407" s="5">
        <v>425</v>
      </c>
      <c r="D407" s="1">
        <v>43977</v>
      </c>
      <c r="E407" t="str">
        <f>"1104"</f>
        <v>1104</v>
      </c>
      <c r="F407" t="str">
        <f>"TRANSPORT - G. ONSERIO"</f>
        <v>TRANSPORT - G. ONSERIO</v>
      </c>
      <c r="G407" s="5">
        <v>425</v>
      </c>
      <c r="H407" t="str">
        <f>"TRANSPORT - G. ONSERIO"</f>
        <v>TRANSPORT - G. ONSERIO</v>
      </c>
    </row>
    <row r="408" spans="1:8" x14ac:dyDescent="0.25">
      <c r="A408" t="s">
        <v>119</v>
      </c>
      <c r="B408">
        <v>131943</v>
      </c>
      <c r="C408" s="5">
        <v>8298.75</v>
      </c>
      <c r="D408" s="1">
        <v>43977</v>
      </c>
      <c r="E408" t="str">
        <f>"57687951"</f>
        <v>57687951</v>
      </c>
      <c r="F408" t="str">
        <f>"CCHD SOC Licenses"</f>
        <v>CCHD SOC Licenses</v>
      </c>
      <c r="G408" s="5">
        <v>8298.75</v>
      </c>
      <c r="H408" t="str">
        <f>"FY 20/21"</f>
        <v>FY 20/21</v>
      </c>
    </row>
    <row r="409" spans="1:8" x14ac:dyDescent="0.25">
      <c r="E409" t="str">
        <f>""</f>
        <v/>
      </c>
      <c r="F409" t="str">
        <f>""</f>
        <v/>
      </c>
      <c r="H409" t="str">
        <f>"Current Year"</f>
        <v>Current Year</v>
      </c>
    </row>
    <row r="410" spans="1:8" x14ac:dyDescent="0.25">
      <c r="A410" t="s">
        <v>120</v>
      </c>
      <c r="B410">
        <v>131944</v>
      </c>
      <c r="C410" s="5">
        <v>595</v>
      </c>
      <c r="D410" s="1">
        <v>43977</v>
      </c>
      <c r="E410" t="str">
        <f>"2042134"</f>
        <v>2042134</v>
      </c>
      <c r="F410" t="str">
        <f>"MEMBER ID:300142134"</f>
        <v>MEMBER ID:300142134</v>
      </c>
      <c r="G410" s="5">
        <v>595</v>
      </c>
      <c r="H410" t="str">
        <f>"MEMBER ID:300142134"</f>
        <v>MEMBER ID:300142134</v>
      </c>
    </row>
    <row r="411" spans="1:8" x14ac:dyDescent="0.25">
      <c r="A411" t="s">
        <v>121</v>
      </c>
      <c r="B411">
        <v>131825</v>
      </c>
      <c r="C411" s="5">
        <v>316.89999999999998</v>
      </c>
      <c r="D411" s="1">
        <v>43962</v>
      </c>
      <c r="E411" t="str">
        <f>"9513958117"</f>
        <v>9513958117</v>
      </c>
      <c r="F411" t="str">
        <f>"INV 9513958117"</f>
        <v>INV 9513958117</v>
      </c>
      <c r="G411" s="5">
        <v>316.89999999999998</v>
      </c>
      <c r="H411" t="str">
        <f>"INV 9513958117"</f>
        <v>INV 9513958117</v>
      </c>
    </row>
    <row r="412" spans="1:8" x14ac:dyDescent="0.25">
      <c r="A412" t="s">
        <v>122</v>
      </c>
      <c r="B412">
        <v>2569</v>
      </c>
      <c r="C412" s="5">
        <v>54.11</v>
      </c>
      <c r="D412" s="1">
        <v>43963</v>
      </c>
      <c r="E412" t="str">
        <f>"0760373"</f>
        <v>0760373</v>
      </c>
      <c r="F412" t="str">
        <f>"INV 0760373"</f>
        <v>INV 0760373</v>
      </c>
      <c r="G412" s="5">
        <v>54.11</v>
      </c>
      <c r="H412" t="str">
        <f>"INV 0760373"</f>
        <v>INV 0760373</v>
      </c>
    </row>
    <row r="413" spans="1:8" x14ac:dyDescent="0.25">
      <c r="A413" t="s">
        <v>122</v>
      </c>
      <c r="B413">
        <v>2640</v>
      </c>
      <c r="C413" s="5">
        <v>1769.31</v>
      </c>
      <c r="D413" s="1">
        <v>43978</v>
      </c>
      <c r="E413" t="str">
        <f>"0755142"</f>
        <v>0755142</v>
      </c>
      <c r="F413" t="str">
        <f>"INV 0755142"</f>
        <v>INV 0755142</v>
      </c>
      <c r="G413" s="5">
        <v>1200.5</v>
      </c>
      <c r="H413" t="str">
        <f>"INV 0755142"</f>
        <v>INV 0755142</v>
      </c>
    </row>
    <row r="414" spans="1:8" x14ac:dyDescent="0.25">
      <c r="E414" t="str">
        <f>""</f>
        <v/>
      </c>
      <c r="F414" t="str">
        <f>""</f>
        <v/>
      </c>
      <c r="H414" t="str">
        <f>"TRADE CREDIT"</f>
        <v>TRADE CREDIT</v>
      </c>
    </row>
    <row r="415" spans="1:8" x14ac:dyDescent="0.25">
      <c r="E415" t="str">
        <f>"0761395"</f>
        <v>0761395</v>
      </c>
      <c r="F415" t="str">
        <f>"INV 0761395"</f>
        <v>INV 0761395</v>
      </c>
      <c r="G415" s="5">
        <v>265</v>
      </c>
      <c r="H415" t="str">
        <f>"INV 0761395"</f>
        <v>INV 0761395</v>
      </c>
    </row>
    <row r="416" spans="1:8" x14ac:dyDescent="0.25">
      <c r="E416" t="str">
        <f>"0766207"</f>
        <v>0766207</v>
      </c>
      <c r="F416" t="str">
        <f>"INV 0766207"</f>
        <v>INV 0766207</v>
      </c>
      <c r="G416" s="5">
        <v>303.81</v>
      </c>
      <c r="H416" t="str">
        <f>"INV 0766207"</f>
        <v>INV 0766207</v>
      </c>
    </row>
    <row r="417" spans="1:8" x14ac:dyDescent="0.25">
      <c r="A417" t="s">
        <v>123</v>
      </c>
      <c r="B417">
        <v>2581</v>
      </c>
      <c r="C417" s="5">
        <v>3632.99</v>
      </c>
      <c r="D417" s="1">
        <v>43963</v>
      </c>
      <c r="E417" t="str">
        <f>"1752567"</f>
        <v>1752567</v>
      </c>
      <c r="F417" t="str">
        <f>"inv# 1752567"</f>
        <v>inv# 1752567</v>
      </c>
      <c r="G417" s="5">
        <v>828.34</v>
      </c>
      <c r="H417" t="str">
        <f>"inv# 1752567"</f>
        <v>inv# 1752567</v>
      </c>
    </row>
    <row r="418" spans="1:8" x14ac:dyDescent="0.25">
      <c r="E418" t="str">
        <f>"1854683"</f>
        <v>1854683</v>
      </c>
      <c r="F418" t="str">
        <f>"INV 1854683"</f>
        <v>INV 1854683</v>
      </c>
      <c r="G418" s="5">
        <v>1739</v>
      </c>
      <c r="H418" t="str">
        <f>"INV 1854683"</f>
        <v>INV 1854683</v>
      </c>
    </row>
    <row r="419" spans="1:8" x14ac:dyDescent="0.25">
      <c r="E419" t="str">
        <f>"1858327  1834517"</f>
        <v>1858327  1834517</v>
      </c>
      <c r="F419" t="str">
        <f>"INV 1858327"</f>
        <v>INV 1858327</v>
      </c>
      <c r="G419" s="5">
        <v>1065.6500000000001</v>
      </c>
      <c r="H419" t="str">
        <f>"INV 1858327"</f>
        <v>INV 1858327</v>
      </c>
    </row>
    <row r="420" spans="1:8" x14ac:dyDescent="0.25">
      <c r="E420" t="str">
        <f>""</f>
        <v/>
      </c>
      <c r="F420" t="str">
        <f>""</f>
        <v/>
      </c>
      <c r="H420" t="str">
        <f>"INV 1834517"</f>
        <v>INV 1834517</v>
      </c>
    </row>
    <row r="421" spans="1:8" x14ac:dyDescent="0.25">
      <c r="A421" t="s">
        <v>124</v>
      </c>
      <c r="B421">
        <v>2579</v>
      </c>
      <c r="C421" s="5">
        <v>186.75</v>
      </c>
      <c r="D421" s="1">
        <v>43963</v>
      </c>
      <c r="E421" t="str">
        <f>"980807"</f>
        <v>980807</v>
      </c>
      <c r="F421" t="str">
        <f>"ORD#769364/OIL COLLECTION CHRG"</f>
        <v>ORD#769364/OIL COLLECTION CHRG</v>
      </c>
      <c r="G421" s="5">
        <v>186.75</v>
      </c>
      <c r="H421" t="str">
        <f>"ORD#769364/OIL COLLECTION CHRG"</f>
        <v>ORD#769364/OIL COLLECTION CHRG</v>
      </c>
    </row>
    <row r="422" spans="1:8" x14ac:dyDescent="0.25">
      <c r="A422" t="s">
        <v>125</v>
      </c>
      <c r="B422">
        <v>2651</v>
      </c>
      <c r="C422" s="5">
        <v>36393.51</v>
      </c>
      <c r="D422" s="1">
        <v>43978</v>
      </c>
      <c r="E422" t="str">
        <f>"10037468"</f>
        <v>10037468</v>
      </c>
      <c r="F422" t="str">
        <f>"PROJ:035837.001"</f>
        <v>PROJ:035837.001</v>
      </c>
      <c r="G422" s="5">
        <v>35420.51</v>
      </c>
      <c r="H422" t="str">
        <f>"PROJ:035837.001"</f>
        <v>PROJ:035837.001</v>
      </c>
    </row>
    <row r="423" spans="1:8" x14ac:dyDescent="0.25">
      <c r="E423" t="str">
        <f>"10037474"</f>
        <v>10037474</v>
      </c>
      <c r="F423" t="str">
        <f>"PROJ:032285.008"</f>
        <v>PROJ:032285.008</v>
      </c>
      <c r="G423" s="5">
        <v>588</v>
      </c>
      <c r="H423" t="str">
        <f>"PROJ:032285.008"</f>
        <v>PROJ:032285.008</v>
      </c>
    </row>
    <row r="424" spans="1:8" x14ac:dyDescent="0.25">
      <c r="E424" t="str">
        <f>"10037475"</f>
        <v>10037475</v>
      </c>
      <c r="F424" t="str">
        <f>"PROJ#033387.008/PCT#4"</f>
        <v>PROJ#033387.008/PCT#4</v>
      </c>
      <c r="G424" s="5">
        <v>385</v>
      </c>
      <c r="H424" t="str">
        <f>"PROJ#033387.008/PCT#4"</f>
        <v>PROJ#033387.008/PCT#4</v>
      </c>
    </row>
    <row r="425" spans="1:8" x14ac:dyDescent="0.25">
      <c r="A425" t="s">
        <v>126</v>
      </c>
      <c r="B425">
        <v>131826</v>
      </c>
      <c r="C425" s="5">
        <v>150</v>
      </c>
      <c r="D425" s="1">
        <v>43962</v>
      </c>
      <c r="E425" t="str">
        <f>"13205"</f>
        <v>13205</v>
      </c>
      <c r="F425" t="str">
        <f>"SERVICE"</f>
        <v>SERVICE</v>
      </c>
      <c r="G425" s="5">
        <v>150</v>
      </c>
      <c r="H425" t="str">
        <f>"SERVICE"</f>
        <v>SERVICE</v>
      </c>
    </row>
    <row r="426" spans="1:8" x14ac:dyDescent="0.25">
      <c r="A426" t="s">
        <v>127</v>
      </c>
      <c r="B426">
        <v>131945</v>
      </c>
      <c r="C426" s="5">
        <v>449.94</v>
      </c>
      <c r="D426" s="1">
        <v>43977</v>
      </c>
      <c r="E426" t="str">
        <f>"180474-C"</f>
        <v>180474-C</v>
      </c>
      <c r="F426" t="str">
        <f>"CUST#180474-C/PCT#3"</f>
        <v>CUST#180474-C/PCT#3</v>
      </c>
      <c r="G426" s="5">
        <v>256.04000000000002</v>
      </c>
      <c r="H426" t="str">
        <f>"CUST#180474-C/PCT#3"</f>
        <v>CUST#180474-C/PCT#3</v>
      </c>
    </row>
    <row r="427" spans="1:8" x14ac:dyDescent="0.25">
      <c r="E427" t="str">
        <f>"569190-01"</f>
        <v>569190-01</v>
      </c>
      <c r="F427" t="str">
        <f>"CUST#180474-C"</f>
        <v>CUST#180474-C</v>
      </c>
      <c r="G427" s="5">
        <v>193.9</v>
      </c>
      <c r="H427" t="str">
        <f>"CUST#180474-C"</f>
        <v>CUST#180474-C</v>
      </c>
    </row>
    <row r="428" spans="1:8" x14ac:dyDescent="0.25">
      <c r="A428" t="s">
        <v>128</v>
      </c>
      <c r="B428">
        <v>131827</v>
      </c>
      <c r="C428" s="5">
        <v>606.96</v>
      </c>
      <c r="D428" s="1">
        <v>43962</v>
      </c>
      <c r="E428" t="str">
        <f>"0006584851-IN"</f>
        <v>0006584851-IN</v>
      </c>
      <c r="F428" t="str">
        <f>"INV 0006584851-IN"</f>
        <v>INV 0006584851-IN</v>
      </c>
      <c r="G428" s="5">
        <v>606.96</v>
      </c>
      <c r="H428" t="str">
        <f>"INV 0006584851-IN"</f>
        <v>INV 0006584851-IN</v>
      </c>
    </row>
    <row r="429" spans="1:8" x14ac:dyDescent="0.25">
      <c r="A429" t="s">
        <v>129</v>
      </c>
      <c r="B429">
        <v>131946</v>
      </c>
      <c r="C429" s="5">
        <v>150</v>
      </c>
      <c r="D429" s="1">
        <v>43977</v>
      </c>
      <c r="E429" t="s">
        <v>130</v>
      </c>
      <c r="F429" t="str">
        <f>"RESTITUTION - MICHAEL FELTS"</f>
        <v>RESTITUTION - MICHAEL FELTS</v>
      </c>
      <c r="G429" s="5">
        <v>150</v>
      </c>
      <c r="H429" t="str">
        <f>"RESTITUTION - MICHAEL FELTS"</f>
        <v>RESTITUTION - MICHAEL FELTS</v>
      </c>
    </row>
    <row r="430" spans="1:8" x14ac:dyDescent="0.25">
      <c r="A430" t="s">
        <v>131</v>
      </c>
      <c r="B430">
        <v>2642</v>
      </c>
      <c r="C430" s="5">
        <v>650</v>
      </c>
      <c r="D430" s="1">
        <v>43978</v>
      </c>
      <c r="E430" t="str">
        <f>"202005196943"</f>
        <v>202005196943</v>
      </c>
      <c r="F430" t="str">
        <f>"BASCOM L HODGES JR"</f>
        <v>BASCOM L HODGES JR</v>
      </c>
      <c r="G430" s="5">
        <v>650</v>
      </c>
      <c r="H430" t="str">
        <f>""</f>
        <v/>
      </c>
    </row>
    <row r="431" spans="1:8" x14ac:dyDescent="0.25">
      <c r="A431" t="s">
        <v>132</v>
      </c>
      <c r="B431">
        <v>131828</v>
      </c>
      <c r="C431" s="5">
        <v>472.5</v>
      </c>
      <c r="D431" s="1">
        <v>43962</v>
      </c>
      <c r="E431" t="str">
        <f>"202005056680"</f>
        <v>202005056680</v>
      </c>
      <c r="F431" t="str">
        <f>"20-20054"</f>
        <v>20-20054</v>
      </c>
      <c r="G431" s="5">
        <v>75</v>
      </c>
      <c r="H431" t="str">
        <f>"20-20054"</f>
        <v>20-20054</v>
      </c>
    </row>
    <row r="432" spans="1:8" x14ac:dyDescent="0.25">
      <c r="E432" t="str">
        <f>"202005056681"</f>
        <v>202005056681</v>
      </c>
      <c r="F432" t="str">
        <f>"19-19954"</f>
        <v>19-19954</v>
      </c>
      <c r="G432" s="5">
        <v>185</v>
      </c>
      <c r="H432" t="str">
        <f>"19-19954"</f>
        <v>19-19954</v>
      </c>
    </row>
    <row r="433" spans="1:8" x14ac:dyDescent="0.25">
      <c r="E433" t="str">
        <f>"202005056682"</f>
        <v>202005056682</v>
      </c>
      <c r="F433" t="str">
        <f>"19-19718"</f>
        <v>19-19718</v>
      </c>
      <c r="G433" s="5">
        <v>212.5</v>
      </c>
      <c r="H433" t="str">
        <f>"19-19718"</f>
        <v>19-19718</v>
      </c>
    </row>
    <row r="434" spans="1:8" x14ac:dyDescent="0.25">
      <c r="A434" t="s">
        <v>132</v>
      </c>
      <c r="B434">
        <v>131947</v>
      </c>
      <c r="C434" s="5">
        <v>112.5</v>
      </c>
      <c r="D434" s="1">
        <v>43977</v>
      </c>
      <c r="E434" t="str">
        <f>"202005196923"</f>
        <v>202005196923</v>
      </c>
      <c r="F434" t="str">
        <f>"19-19718"</f>
        <v>19-19718</v>
      </c>
      <c r="G434" s="5">
        <v>112.5</v>
      </c>
      <c r="H434" t="str">
        <f>"19-19718"</f>
        <v>19-19718</v>
      </c>
    </row>
    <row r="435" spans="1:8" x14ac:dyDescent="0.25">
      <c r="A435" t="s">
        <v>133</v>
      </c>
      <c r="B435">
        <v>2570</v>
      </c>
      <c r="C435" s="5">
        <v>3976.44</v>
      </c>
      <c r="D435" s="1">
        <v>43963</v>
      </c>
      <c r="E435" t="str">
        <f>"PIMA0329308"</f>
        <v>PIMA0329308</v>
      </c>
      <c r="F435" t="str">
        <f>"CUST#0129200/PCT#4"</f>
        <v>CUST#0129200/PCT#4</v>
      </c>
      <c r="G435" s="5">
        <v>1216.78</v>
      </c>
      <c r="H435" t="str">
        <f>"CUST#0129200/PCT#4"</f>
        <v>CUST#0129200/PCT#4</v>
      </c>
    </row>
    <row r="436" spans="1:8" x14ac:dyDescent="0.25">
      <c r="E436" t="str">
        <f>"PIMA0329309"</f>
        <v>PIMA0329309</v>
      </c>
      <c r="F436" t="str">
        <f>"CUST#0129200/PCT#4"</f>
        <v>CUST#0129200/PCT#4</v>
      </c>
      <c r="G436" s="5">
        <v>485.94</v>
      </c>
      <c r="H436" t="str">
        <f>"CUST#0129200/PCT#4"</f>
        <v>CUST#0129200/PCT#4</v>
      </c>
    </row>
    <row r="437" spans="1:8" x14ac:dyDescent="0.25">
      <c r="E437" t="str">
        <f>"PIMA0329592"</f>
        <v>PIMA0329592</v>
      </c>
      <c r="F437" t="str">
        <f>"CUST#0129150/PCT#3"</f>
        <v>CUST#0129150/PCT#3</v>
      </c>
      <c r="G437" s="5">
        <v>280.86</v>
      </c>
      <c r="H437" t="str">
        <f>"CUST#0129150/PCT#3"</f>
        <v>CUST#0129150/PCT#3</v>
      </c>
    </row>
    <row r="438" spans="1:8" x14ac:dyDescent="0.25">
      <c r="E438" t="str">
        <f>"PIMA0329690"</f>
        <v>PIMA0329690</v>
      </c>
      <c r="F438" t="str">
        <f>"CUST#0129150/PCT#3"</f>
        <v>CUST#0129150/PCT#3</v>
      </c>
      <c r="G438" s="5">
        <v>202.85</v>
      </c>
      <c r="H438" t="str">
        <f>"CUST#0129150/PCT#3"</f>
        <v>CUST#0129150/PCT#3</v>
      </c>
    </row>
    <row r="439" spans="1:8" x14ac:dyDescent="0.25">
      <c r="E439" t="str">
        <f>"WIMA0132708"</f>
        <v>WIMA0132708</v>
      </c>
      <c r="F439" t="str">
        <f>"CUST#0129200/PCT#4"</f>
        <v>CUST#0129200/PCT#4</v>
      </c>
      <c r="G439" s="5">
        <v>1790.01</v>
      </c>
      <c r="H439" t="str">
        <f>"CUST#0129200/PCT#4"</f>
        <v>CUST#0129200/PCT#4</v>
      </c>
    </row>
    <row r="440" spans="1:8" x14ac:dyDescent="0.25">
      <c r="A440" t="s">
        <v>133</v>
      </c>
      <c r="B440">
        <v>2641</v>
      </c>
      <c r="C440" s="5">
        <v>303.29000000000002</v>
      </c>
      <c r="D440" s="1">
        <v>43978</v>
      </c>
      <c r="E440" t="str">
        <f>"PIM60023519"</f>
        <v>PIM60023519</v>
      </c>
      <c r="F440" t="str">
        <f>"CUST#0129200/PCT#4"</f>
        <v>CUST#0129200/PCT#4</v>
      </c>
      <c r="G440" s="5">
        <v>38.369999999999997</v>
      </c>
      <c r="H440" t="str">
        <f>"CUST#0129200/PCT#4"</f>
        <v>CUST#0129200/PCT#4</v>
      </c>
    </row>
    <row r="441" spans="1:8" x14ac:dyDescent="0.25">
      <c r="E441" t="str">
        <f>"PIM60023615"</f>
        <v>PIM60023615</v>
      </c>
      <c r="F441" t="str">
        <f>"CUST#0129200/PCT#4"</f>
        <v>CUST#0129200/PCT#4</v>
      </c>
      <c r="G441" s="5">
        <v>264.92</v>
      </c>
      <c r="H441" t="str">
        <f>"CUST#0129200/PCT#4"</f>
        <v>CUST#0129200/PCT#4</v>
      </c>
    </row>
    <row r="442" spans="1:8" x14ac:dyDescent="0.25">
      <c r="A442" t="s">
        <v>134</v>
      </c>
      <c r="B442">
        <v>131829</v>
      </c>
      <c r="C442" s="5">
        <v>90</v>
      </c>
      <c r="D442" s="1">
        <v>43962</v>
      </c>
      <c r="E442" t="str">
        <f>"0551513352"</f>
        <v>0551513352</v>
      </c>
      <c r="F442" t="str">
        <f>"CUST#212645-0002/PCT#1"</f>
        <v>CUST#212645-0002/PCT#1</v>
      </c>
      <c r="G442" s="5">
        <v>-145.88999999999999</v>
      </c>
      <c r="H442" t="str">
        <f>"CUST#212645-0002/PCT#1"</f>
        <v>CUST#212645-0002/PCT#1</v>
      </c>
    </row>
    <row r="443" spans="1:8" x14ac:dyDescent="0.25">
      <c r="E443" t="str">
        <f>"0551513352"</f>
        <v>0551513352</v>
      </c>
      <c r="F443" t="str">
        <f>"CUST#212645-002/PCT#1"</f>
        <v>CUST#212645-002/PCT#1</v>
      </c>
      <c r="G443" s="5">
        <v>145.88999999999999</v>
      </c>
      <c r="H443" t="str">
        <f>"CUST#212645-002/PCT#1"</f>
        <v>CUST#212645-002/PCT#1</v>
      </c>
    </row>
    <row r="444" spans="1:8" x14ac:dyDescent="0.25">
      <c r="E444" t="str">
        <f>"0551525800"</f>
        <v>0551525800</v>
      </c>
      <c r="F444" t="str">
        <f>"CUST#212645/601 COOL WATER"</f>
        <v>CUST#212645/601 COOL WATER</v>
      </c>
      <c r="G444" s="5">
        <v>90</v>
      </c>
      <c r="H444" t="str">
        <f>"CUST#212645/601 COOL WATER"</f>
        <v>CUST#212645/601 COOL WATER</v>
      </c>
    </row>
    <row r="445" spans="1:8" x14ac:dyDescent="0.25">
      <c r="A445" t="s">
        <v>135</v>
      </c>
      <c r="B445">
        <v>131830</v>
      </c>
      <c r="C445" s="5">
        <v>297.5</v>
      </c>
      <c r="D445" s="1">
        <v>43962</v>
      </c>
      <c r="E445" t="str">
        <f>"SL2020-04_00357"</f>
        <v>SL2020-04_00357</v>
      </c>
      <c r="F445" t="str">
        <f>"SHELTERLUV SOFTWARE"</f>
        <v>SHELTERLUV SOFTWARE</v>
      </c>
      <c r="G445" s="5">
        <v>297.5</v>
      </c>
      <c r="H445" t="str">
        <f>"SHELTERLUV SOFTWARE"</f>
        <v>SHELTERLUV SOFTWARE</v>
      </c>
    </row>
    <row r="446" spans="1:8" x14ac:dyDescent="0.25">
      <c r="A446" t="s">
        <v>136</v>
      </c>
      <c r="B446">
        <v>131948</v>
      </c>
      <c r="C446" s="5">
        <v>2234.8000000000002</v>
      </c>
      <c r="D446" s="1">
        <v>43977</v>
      </c>
      <c r="E446" t="str">
        <f>"0262663-IN"</f>
        <v>0262663-IN</v>
      </c>
      <c r="F446" t="str">
        <f>"INV 0262663-IN"</f>
        <v>INV 0262663-IN</v>
      </c>
      <c r="G446" s="5">
        <v>2234.8000000000002</v>
      </c>
      <c r="H446" t="str">
        <f>"INV 0262663-IN"</f>
        <v>INV 0262663-IN</v>
      </c>
    </row>
    <row r="447" spans="1:8" x14ac:dyDescent="0.25">
      <c r="A447" t="s">
        <v>137</v>
      </c>
      <c r="B447">
        <v>2546</v>
      </c>
      <c r="C447" s="5">
        <v>150</v>
      </c>
      <c r="D447" s="1">
        <v>43963</v>
      </c>
      <c r="E447" t="str">
        <f>"203521"</f>
        <v>203521</v>
      </c>
      <c r="F447" t="str">
        <f>"CYL REPAIR/PCT#3"</f>
        <v>CYL REPAIR/PCT#3</v>
      </c>
      <c r="G447" s="5">
        <v>150</v>
      </c>
      <c r="H447" t="str">
        <f>"CYL REPAIR/PCT#3"</f>
        <v>CYL REPAIR/PCT#3</v>
      </c>
    </row>
    <row r="448" spans="1:8" x14ac:dyDescent="0.25">
      <c r="A448" t="s">
        <v>138</v>
      </c>
      <c r="B448">
        <v>2661</v>
      </c>
      <c r="C448" s="5">
        <v>51936</v>
      </c>
      <c r="D448" s="1">
        <v>43981</v>
      </c>
      <c r="E448" t="str">
        <f>"8168"</f>
        <v>8168</v>
      </c>
      <c r="F448" t="str">
        <f>"INDUSTRIAL LAMINATES CORPORATI"</f>
        <v>INDUSTRIAL LAMINATES CORPORATI</v>
      </c>
      <c r="G448" s="5">
        <v>51936</v>
      </c>
      <c r="H448" t="str">
        <f>"INVOICE # 2"</f>
        <v>INVOICE # 2</v>
      </c>
    </row>
    <row r="449" spans="1:8" x14ac:dyDescent="0.25">
      <c r="A449" t="s">
        <v>139</v>
      </c>
      <c r="B449">
        <v>2647</v>
      </c>
      <c r="C449" s="5">
        <v>2430</v>
      </c>
      <c r="D449" s="1">
        <v>43978</v>
      </c>
      <c r="E449" t="str">
        <f>"69742"</f>
        <v>69742</v>
      </c>
      <c r="F449" t="str">
        <f>"PROF SVCS - JUNE 2020"</f>
        <v>PROF SVCS - JUNE 2020</v>
      </c>
      <c r="G449" s="5">
        <v>2430</v>
      </c>
      <c r="H449" t="str">
        <f>"PROF SVCS - JUNE 2020"</f>
        <v>PROF SVCS - JUNE 2020</v>
      </c>
    </row>
    <row r="450" spans="1:8" x14ac:dyDescent="0.25">
      <c r="E450" t="str">
        <f>""</f>
        <v/>
      </c>
      <c r="F450" t="str">
        <f>""</f>
        <v/>
      </c>
      <c r="H450" t="str">
        <f>"PROF SVCS - JUNE 2020"</f>
        <v>PROF SVCS - JUNE 2020</v>
      </c>
    </row>
    <row r="451" spans="1:8" x14ac:dyDescent="0.25">
      <c r="A451" t="s">
        <v>140</v>
      </c>
      <c r="B451">
        <v>131949</v>
      </c>
      <c r="C451" s="5">
        <v>1065.06</v>
      </c>
      <c r="D451" s="1">
        <v>43977</v>
      </c>
      <c r="E451" t="str">
        <f>"202088 202429 2024"</f>
        <v>202088 202429 2024</v>
      </c>
      <c r="F451" t="str">
        <f>"INV 202088"</f>
        <v>INV 202088</v>
      </c>
      <c r="G451" s="5">
        <v>1065.06</v>
      </c>
      <c r="H451" t="str">
        <f>"INV 202088"</f>
        <v>INV 202088</v>
      </c>
    </row>
    <row r="452" spans="1:8" x14ac:dyDescent="0.25">
      <c r="E452" t="str">
        <f>""</f>
        <v/>
      </c>
      <c r="F452" t="str">
        <f>""</f>
        <v/>
      </c>
      <c r="H452" t="str">
        <f>"INV 202429"</f>
        <v>INV 202429</v>
      </c>
    </row>
    <row r="453" spans="1:8" x14ac:dyDescent="0.25">
      <c r="E453" t="str">
        <f>""</f>
        <v/>
      </c>
      <c r="F453" t="str">
        <f>""</f>
        <v/>
      </c>
      <c r="H453" t="str">
        <f>"INV 202441"</f>
        <v>INV 202441</v>
      </c>
    </row>
    <row r="454" spans="1:8" x14ac:dyDescent="0.25">
      <c r="A454" t="s">
        <v>141</v>
      </c>
      <c r="B454">
        <v>131831</v>
      </c>
      <c r="C454" s="5">
        <v>79.03</v>
      </c>
      <c r="D454" s="1">
        <v>43962</v>
      </c>
      <c r="E454" t="str">
        <f>"CPMK508"</f>
        <v>CPMK508</v>
      </c>
      <c r="F454" t="str">
        <f>"CUST ID:AX773/COUNTY CLERK"</f>
        <v>CUST ID:AX773/COUNTY CLERK</v>
      </c>
      <c r="G454" s="5">
        <v>79.03</v>
      </c>
      <c r="H454" t="str">
        <f>"CUST ID:AX773/COUNTY CLERK"</f>
        <v>CUST ID:AX773/COUNTY CLERK</v>
      </c>
    </row>
    <row r="455" spans="1:8" x14ac:dyDescent="0.25">
      <c r="A455" t="s">
        <v>142</v>
      </c>
      <c r="B455">
        <v>131950</v>
      </c>
      <c r="C455" s="5">
        <v>0.09</v>
      </c>
      <c r="D455" s="1">
        <v>43977</v>
      </c>
      <c r="E455" t="s">
        <v>143</v>
      </c>
      <c r="F455" t="str">
        <f>"OVERPAYMENT OF COURT FEES"</f>
        <v>OVERPAYMENT OF COURT FEES</v>
      </c>
      <c r="G455" s="5">
        <v>0.09</v>
      </c>
      <c r="H455" t="str">
        <f>"OVERPAYMENT OF COURT FEES"</f>
        <v>OVERPAYMENT OF COURT FEES</v>
      </c>
    </row>
    <row r="456" spans="1:8" x14ac:dyDescent="0.25">
      <c r="A456" t="s">
        <v>144</v>
      </c>
      <c r="B456">
        <v>2560</v>
      </c>
      <c r="C456" s="5">
        <v>1879.57</v>
      </c>
      <c r="D456" s="1">
        <v>43963</v>
      </c>
      <c r="E456" t="str">
        <f>"202005066733"</f>
        <v>202005066733</v>
      </c>
      <c r="F456" t="str">
        <f>"REIMBURSE MEDICAL SUPPLIES"</f>
        <v>REIMBURSE MEDICAL SUPPLIES</v>
      </c>
      <c r="G456" s="5">
        <v>1879.57</v>
      </c>
      <c r="H456" t="str">
        <f>"REIMBURSE MEDICAL SUPPLIES"</f>
        <v>REIMBURSE MEDICAL SUPPLIES</v>
      </c>
    </row>
    <row r="457" spans="1:8" x14ac:dyDescent="0.25">
      <c r="E457" t="str">
        <f>""</f>
        <v/>
      </c>
      <c r="F457" t="str">
        <f>""</f>
        <v/>
      </c>
      <c r="H457" t="str">
        <f>"REIMBURSE MEDICAL SUPPLIES"</f>
        <v>REIMBURSE MEDICAL SUPPLIES</v>
      </c>
    </row>
    <row r="458" spans="1:8" x14ac:dyDescent="0.25">
      <c r="A458" t="s">
        <v>145</v>
      </c>
      <c r="B458">
        <v>2586</v>
      </c>
      <c r="C458" s="5">
        <v>600</v>
      </c>
      <c r="D458" s="1">
        <v>43963</v>
      </c>
      <c r="E458" t="str">
        <f>"12612"</f>
        <v>12612</v>
      </c>
      <c r="F458" t="str">
        <f>"AD LITEM FEE"</f>
        <v>AD LITEM FEE</v>
      </c>
      <c r="G458" s="5">
        <v>150</v>
      </c>
      <c r="H458" t="str">
        <f>"AD LITEM FEE"</f>
        <v>AD LITEM FEE</v>
      </c>
    </row>
    <row r="459" spans="1:8" x14ac:dyDescent="0.25">
      <c r="E459" t="str">
        <f>"13144"</f>
        <v>13144</v>
      </c>
      <c r="F459" t="str">
        <f>"AD LITEM FEE"</f>
        <v>AD LITEM FEE</v>
      </c>
      <c r="G459" s="5">
        <v>150</v>
      </c>
      <c r="H459" t="str">
        <f>"AD LITEM FEE"</f>
        <v>AD LITEM FEE</v>
      </c>
    </row>
    <row r="460" spans="1:8" x14ac:dyDescent="0.25">
      <c r="E460" t="str">
        <f>"13180"</f>
        <v>13180</v>
      </c>
      <c r="F460" t="str">
        <f>"AD LITEM FEE"</f>
        <v>AD LITEM FEE</v>
      </c>
      <c r="G460" s="5">
        <v>150</v>
      </c>
      <c r="H460" t="str">
        <f>"AD LITEM FEE"</f>
        <v>AD LITEM FEE</v>
      </c>
    </row>
    <row r="461" spans="1:8" x14ac:dyDescent="0.25">
      <c r="E461" t="str">
        <f>"13191"</f>
        <v>13191</v>
      </c>
      <c r="F461" t="str">
        <f>"AD LITEM FEE"</f>
        <v>AD LITEM FEE</v>
      </c>
      <c r="G461" s="5">
        <v>150</v>
      </c>
      <c r="H461" t="str">
        <f>"AD LITEM FEE"</f>
        <v>AD LITEM FEE</v>
      </c>
    </row>
    <row r="462" spans="1:8" x14ac:dyDescent="0.25">
      <c r="A462" t="s">
        <v>146</v>
      </c>
      <c r="B462">
        <v>131832</v>
      </c>
      <c r="C462" s="5">
        <v>3199.95</v>
      </c>
      <c r="D462" s="1">
        <v>43962</v>
      </c>
      <c r="E462" t="str">
        <f>"1228"</f>
        <v>1228</v>
      </c>
      <c r="F462" t="str">
        <f>"Install Lights on RAM"</f>
        <v>Install Lights on RAM</v>
      </c>
      <c r="G462" s="5">
        <v>1350</v>
      </c>
      <c r="H462" t="str">
        <f>"Install Lights on RAM"</f>
        <v>Install Lights on RAM</v>
      </c>
    </row>
    <row r="463" spans="1:8" x14ac:dyDescent="0.25">
      <c r="E463" t="str">
        <f>""</f>
        <v/>
      </c>
      <c r="F463" t="str">
        <f>""</f>
        <v/>
      </c>
      <c r="H463" t="str">
        <f>"shop supplies"</f>
        <v>shop supplies</v>
      </c>
    </row>
    <row r="464" spans="1:8" x14ac:dyDescent="0.25">
      <c r="E464" t="str">
        <f>"1229"</f>
        <v>1229</v>
      </c>
      <c r="F464" t="str">
        <f>"Lights on 2019 Ram"</f>
        <v>Lights on 2019 Ram</v>
      </c>
      <c r="G464" s="5">
        <v>1350</v>
      </c>
      <c r="H464" t="str">
        <f>"Lights on 2019 Ram"</f>
        <v>Lights on 2019 Ram</v>
      </c>
    </row>
    <row r="465" spans="1:8" x14ac:dyDescent="0.25">
      <c r="E465" t="str">
        <f>""</f>
        <v/>
      </c>
      <c r="F465" t="str">
        <f>""</f>
        <v/>
      </c>
      <c r="H465" t="str">
        <f>"Shop Supplies"</f>
        <v>Shop Supplies</v>
      </c>
    </row>
    <row r="466" spans="1:8" x14ac:dyDescent="0.25">
      <c r="E466" t="str">
        <f>"1235"</f>
        <v>1235</v>
      </c>
      <c r="F466" t="str">
        <f>"INV 1235 / UNIT 9379"</f>
        <v>INV 1235 / UNIT 9379</v>
      </c>
      <c r="G466" s="5">
        <v>249.95</v>
      </c>
      <c r="H466" t="str">
        <f>"INV 1235"</f>
        <v>INV 1235</v>
      </c>
    </row>
    <row r="467" spans="1:8" x14ac:dyDescent="0.25">
      <c r="E467" t="str">
        <f>"1237"</f>
        <v>1237</v>
      </c>
      <c r="F467" t="str">
        <f>"AIR COMPRESSOR INSTALL"</f>
        <v>AIR COMPRESSOR INSTALL</v>
      </c>
      <c r="G467" s="5">
        <v>250</v>
      </c>
      <c r="H467" t="str">
        <f>"AIR COMPRESSOR INSTALL"</f>
        <v>AIR COMPRESSOR INSTALL</v>
      </c>
    </row>
    <row r="468" spans="1:8" x14ac:dyDescent="0.25">
      <c r="A468" t="s">
        <v>146</v>
      </c>
      <c r="B468">
        <v>131951</v>
      </c>
      <c r="C468" s="5">
        <v>2025</v>
      </c>
      <c r="D468" s="1">
        <v>43977</v>
      </c>
      <c r="E468" t="str">
        <f>"1241"</f>
        <v>1241</v>
      </c>
      <c r="F468" t="str">
        <f>"INV 1241 / UNIT 1665"</f>
        <v>INV 1241 / UNIT 1665</v>
      </c>
      <c r="G468" s="5">
        <v>625</v>
      </c>
      <c r="H468" t="str">
        <f>"INV 1241 / UNIT 1665"</f>
        <v>INV 1241 / UNIT 1665</v>
      </c>
    </row>
    <row r="469" spans="1:8" x14ac:dyDescent="0.25">
      <c r="E469" t="str">
        <f>"1245"</f>
        <v>1245</v>
      </c>
      <c r="F469" t="str">
        <f>"lights on Van"</f>
        <v>lights on Van</v>
      </c>
      <c r="G469" s="5">
        <v>1400</v>
      </c>
      <c r="H469" t="str">
        <f>"installation"</f>
        <v>installation</v>
      </c>
    </row>
    <row r="470" spans="1:8" x14ac:dyDescent="0.25">
      <c r="E470" t="str">
        <f>""</f>
        <v/>
      </c>
      <c r="F470" t="str">
        <f>""</f>
        <v/>
      </c>
      <c r="H470" t="str">
        <f>"shop supplies"</f>
        <v>shop supplies</v>
      </c>
    </row>
    <row r="471" spans="1:8" x14ac:dyDescent="0.25">
      <c r="A471" t="s">
        <v>147</v>
      </c>
      <c r="B471">
        <v>131833</v>
      </c>
      <c r="C471" s="5">
        <v>1351.36</v>
      </c>
      <c r="D471" s="1">
        <v>43962</v>
      </c>
      <c r="E471" t="str">
        <f>"P0606123"</f>
        <v>P0606123</v>
      </c>
      <c r="F471" t="str">
        <f>"ACCT#8850283308/PCT#3"</f>
        <v>ACCT#8850283308/PCT#3</v>
      </c>
      <c r="G471" s="5">
        <v>1351.36</v>
      </c>
      <c r="H471" t="str">
        <f>"ACCT#8850283308/PCT#3"</f>
        <v>ACCT#8850283308/PCT#3</v>
      </c>
    </row>
    <row r="472" spans="1:8" x14ac:dyDescent="0.25">
      <c r="A472" t="s">
        <v>148</v>
      </c>
      <c r="B472">
        <v>131834</v>
      </c>
      <c r="C472" s="5">
        <v>375</v>
      </c>
      <c r="D472" s="1">
        <v>43962</v>
      </c>
      <c r="E472" t="str">
        <f>"202005056675"</f>
        <v>202005056675</v>
      </c>
      <c r="F472" t="str">
        <f>"19-19741"</f>
        <v>19-19741</v>
      </c>
      <c r="G472" s="5">
        <v>150</v>
      </c>
      <c r="H472" t="str">
        <f>"19-19741"</f>
        <v>19-19741</v>
      </c>
    </row>
    <row r="473" spans="1:8" x14ac:dyDescent="0.25">
      <c r="E473" t="str">
        <f>"202005056676"</f>
        <v>202005056676</v>
      </c>
      <c r="F473" t="str">
        <f>"19-19862"</f>
        <v>19-19862</v>
      </c>
      <c r="G473" s="5">
        <v>225</v>
      </c>
      <c r="H473" t="str">
        <f>"19-19862"</f>
        <v>19-19862</v>
      </c>
    </row>
    <row r="474" spans="1:8" x14ac:dyDescent="0.25">
      <c r="A474" t="s">
        <v>149</v>
      </c>
      <c r="B474">
        <v>131835</v>
      </c>
      <c r="C474" s="5">
        <v>3200</v>
      </c>
      <c r="D474" s="1">
        <v>43962</v>
      </c>
      <c r="E474" t="str">
        <f>"202005066718"</f>
        <v>202005066718</v>
      </c>
      <c r="F474" t="str">
        <f>"REFUND FOR PERMITS"</f>
        <v>REFUND FOR PERMITS</v>
      </c>
      <c r="G474" s="5">
        <v>3200</v>
      </c>
      <c r="H474" t="str">
        <f>"REFUND FOR PERMITS"</f>
        <v>REFUND FOR PERMITS</v>
      </c>
    </row>
    <row r="475" spans="1:8" x14ac:dyDescent="0.25">
      <c r="A475" t="s">
        <v>150</v>
      </c>
      <c r="B475">
        <v>2539</v>
      </c>
      <c r="C475" s="5">
        <v>400</v>
      </c>
      <c r="D475" s="1">
        <v>43963</v>
      </c>
      <c r="E475" t="str">
        <f>"202005056645"</f>
        <v>202005056645</v>
      </c>
      <c r="F475" t="str">
        <f>"MOWING MAINTENANCE"</f>
        <v>MOWING MAINTENANCE</v>
      </c>
      <c r="G475" s="5">
        <v>400</v>
      </c>
      <c r="H475" t="str">
        <f>"MOWING MAINTENANCE"</f>
        <v>MOWING MAINTENANCE</v>
      </c>
    </row>
    <row r="476" spans="1:8" x14ac:dyDescent="0.25">
      <c r="A476" t="s">
        <v>151</v>
      </c>
      <c r="B476">
        <v>2580</v>
      </c>
      <c r="C476" s="5">
        <v>1000</v>
      </c>
      <c r="D476" s="1">
        <v>43963</v>
      </c>
      <c r="E476" t="str">
        <f>"202004286624"</f>
        <v>202004286624</v>
      </c>
      <c r="F476" t="str">
        <f>"16843  16844"</f>
        <v>16843  16844</v>
      </c>
      <c r="G476" s="5">
        <v>600</v>
      </c>
      <c r="H476" t="str">
        <f>"16843  16844"</f>
        <v>16843  16844</v>
      </c>
    </row>
    <row r="477" spans="1:8" x14ac:dyDescent="0.25">
      <c r="E477" t="str">
        <f>"202004286625"</f>
        <v>202004286625</v>
      </c>
      <c r="F477" t="str">
        <f>"16898"</f>
        <v>16898</v>
      </c>
      <c r="G477" s="5">
        <v>400</v>
      </c>
      <c r="H477" t="str">
        <f>"16898"</f>
        <v>16898</v>
      </c>
    </row>
    <row r="478" spans="1:8" x14ac:dyDescent="0.25">
      <c r="A478" t="s">
        <v>152</v>
      </c>
      <c r="B478">
        <v>131952</v>
      </c>
      <c r="C478" s="5">
        <v>109.3</v>
      </c>
      <c r="D478" s="1">
        <v>43977</v>
      </c>
      <c r="E478" t="str">
        <f>"202005196936"</f>
        <v>202005196936</v>
      </c>
      <c r="F478" t="str">
        <f>"REIMBURSEMENT-OFFICE SUPPLIES"</f>
        <v>REIMBURSEMENT-OFFICE SUPPLIES</v>
      </c>
      <c r="G478" s="5">
        <v>109.3</v>
      </c>
      <c r="H478" t="str">
        <f>"REIMBURSEMENT-OFFICE SUPPLIES"</f>
        <v>REIMBURSEMENT-OFFICE SUPPLIES</v>
      </c>
    </row>
    <row r="479" spans="1:8" x14ac:dyDescent="0.25">
      <c r="A479" t="s">
        <v>153</v>
      </c>
      <c r="B479">
        <v>131953</v>
      </c>
      <c r="C479" s="5">
        <v>24.21</v>
      </c>
      <c r="D479" s="1">
        <v>43977</v>
      </c>
      <c r="E479" t="str">
        <f>"1520-0000165305"</f>
        <v>1520-0000165305</v>
      </c>
      <c r="F479" t="str">
        <f>"INV 1520-00000165305"</f>
        <v>INV 1520-00000165305</v>
      </c>
      <c r="G479" s="5">
        <v>24.21</v>
      </c>
      <c r="H479" t="str">
        <f>"INV 1520-00000165305"</f>
        <v>INV 1520-00000165305</v>
      </c>
    </row>
    <row r="480" spans="1:8" x14ac:dyDescent="0.25">
      <c r="E480" t="str">
        <f>""</f>
        <v/>
      </c>
      <c r="F480" t="str">
        <f>""</f>
        <v/>
      </c>
      <c r="H480" t="str">
        <f>"INV 1520-00000165334"</f>
        <v>INV 1520-00000165334</v>
      </c>
    </row>
    <row r="481" spans="1:8" x14ac:dyDescent="0.25">
      <c r="A481" t="s">
        <v>154</v>
      </c>
      <c r="B481">
        <v>131954</v>
      </c>
      <c r="C481" s="5">
        <v>435</v>
      </c>
      <c r="D481" s="1">
        <v>43977</v>
      </c>
      <c r="E481" t="str">
        <f>"924841"</f>
        <v>924841</v>
      </c>
      <c r="F481" t="str">
        <f>"TRASH P/U/PCT#1"</f>
        <v>TRASH P/U/PCT#1</v>
      </c>
      <c r="G481" s="5">
        <v>435</v>
      </c>
      <c r="H481" t="str">
        <f>"TRASH P/U/PCT#1"</f>
        <v>TRASH P/U/PCT#1</v>
      </c>
    </row>
    <row r="482" spans="1:8" x14ac:dyDescent="0.25">
      <c r="A482" t="s">
        <v>155</v>
      </c>
      <c r="B482">
        <v>2571</v>
      </c>
      <c r="C482" s="5">
        <v>2717</v>
      </c>
      <c r="D482" s="1">
        <v>43963</v>
      </c>
      <c r="E482" t="str">
        <f>"312"</f>
        <v>312</v>
      </c>
      <c r="F482" t="str">
        <f>"TOWER RENT"</f>
        <v>TOWER RENT</v>
      </c>
      <c r="G482" s="5">
        <v>2717</v>
      </c>
      <c r="H482" t="str">
        <f>"TOWER RENT"</f>
        <v>TOWER RENT</v>
      </c>
    </row>
    <row r="483" spans="1:8" x14ac:dyDescent="0.25">
      <c r="A483" t="s">
        <v>156</v>
      </c>
      <c r="B483">
        <v>131836</v>
      </c>
      <c r="C483" s="5">
        <v>210</v>
      </c>
      <c r="D483" s="1">
        <v>43962</v>
      </c>
      <c r="E483" t="str">
        <f>"2890"</f>
        <v>2890</v>
      </c>
      <c r="F483" t="str">
        <f>"PORTABLE TOILET/HANDICAP"</f>
        <v>PORTABLE TOILET/HANDICAP</v>
      </c>
      <c r="G483" s="5">
        <v>210</v>
      </c>
      <c r="H483" t="str">
        <f>"PORTABLE TOILET/HANDICAP"</f>
        <v>PORTABLE TOILET/HANDICAP</v>
      </c>
    </row>
    <row r="484" spans="1:8" x14ac:dyDescent="0.25">
      <c r="A484" t="s">
        <v>157</v>
      </c>
      <c r="B484">
        <v>131837</v>
      </c>
      <c r="C484" s="5">
        <v>1803.96</v>
      </c>
      <c r="D484" s="1">
        <v>43962</v>
      </c>
      <c r="E484" t="str">
        <f>"W097486"</f>
        <v>W097486</v>
      </c>
      <c r="F484" t="str">
        <f>"ACCT#BASCO1/PCT#1"</f>
        <v>ACCT#BASCO1/PCT#1</v>
      </c>
      <c r="G484" s="5">
        <v>1803.96</v>
      </c>
      <c r="H484" t="str">
        <f>"ACCT#BASCO1/PCT#1"</f>
        <v>ACCT#BASCO1/PCT#1</v>
      </c>
    </row>
    <row r="485" spans="1:8" x14ac:dyDescent="0.25">
      <c r="A485" t="s">
        <v>158</v>
      </c>
      <c r="B485">
        <v>2617</v>
      </c>
      <c r="C485" s="5">
        <v>7715</v>
      </c>
      <c r="D485" s="1">
        <v>43978</v>
      </c>
      <c r="E485" t="str">
        <f>"275444"</f>
        <v>275444</v>
      </c>
      <c r="F485" t="str">
        <f>"ANN MONITORING SVC-05/20-04/21"</f>
        <v>ANN MONITORING SVC-05/20-04/21</v>
      </c>
      <c r="G485" s="5">
        <v>420</v>
      </c>
      <c r="H485" t="str">
        <f>"ANN MONITORING SVC-05/20-04/21"</f>
        <v>ANN MONITORING SVC-05/20-04/21</v>
      </c>
    </row>
    <row r="486" spans="1:8" x14ac:dyDescent="0.25">
      <c r="E486" t="str">
        <f>"275631"</f>
        <v>275631</v>
      </c>
      <c r="F486" t="str">
        <f>"ORD#18727780/COURTHOUSE"</f>
        <v>ORD#18727780/COURTHOUSE</v>
      </c>
      <c r="G486" s="5">
        <v>630</v>
      </c>
      <c r="H486" t="str">
        <f>"ORD#18727780/ANNUAL INSPECT"</f>
        <v>ORD#18727780/ANNUAL INSPECT</v>
      </c>
    </row>
    <row r="487" spans="1:8" x14ac:dyDescent="0.25">
      <c r="E487" t="str">
        <f>"275635"</f>
        <v>275635</v>
      </c>
      <c r="F487" t="str">
        <f>"ORD#18727783/TADS BLDG"</f>
        <v>ORD#18727783/TADS BLDG</v>
      </c>
      <c r="G487" s="5">
        <v>1600</v>
      </c>
      <c r="H487" t="str">
        <f>"ORD#18727783/TADS BLDG"</f>
        <v>ORD#18727783/TADS BLDG</v>
      </c>
    </row>
    <row r="488" spans="1:8" x14ac:dyDescent="0.25">
      <c r="E488" t="str">
        <f>"275636"</f>
        <v>275636</v>
      </c>
      <c r="F488" t="str">
        <f>"ORD#18727782/COURTHOUSE ANNEX"</f>
        <v>ORD#18727782/COURTHOUSE ANNEX</v>
      </c>
      <c r="G488" s="5">
        <v>2215</v>
      </c>
      <c r="H488" t="str">
        <f>"ORD#18727782/ANNUAL INSPECT"</f>
        <v>ORD#18727782/ANNUAL INSPECT</v>
      </c>
    </row>
    <row r="489" spans="1:8" x14ac:dyDescent="0.25">
      <c r="E489" t="str">
        <f>"275725"</f>
        <v>275725</v>
      </c>
      <c r="F489" t="str">
        <f>"ANNUAL INSPECT-911 CALL CENTER"</f>
        <v>ANNUAL INSPECT-911 CALL CENTER</v>
      </c>
      <c r="G489" s="5">
        <v>1410</v>
      </c>
      <c r="H489" t="str">
        <f>"ANNUAL INSPECT-911 CALL CENTER"</f>
        <v>ANNUAL INSPECT-911 CALL CENTER</v>
      </c>
    </row>
    <row r="490" spans="1:8" x14ac:dyDescent="0.25">
      <c r="E490" t="str">
        <f>"275766"</f>
        <v>275766</v>
      </c>
      <c r="F490" t="str">
        <f>"ORD#275766/LABOR/MATERIAL"</f>
        <v>ORD#275766/LABOR/MATERIAL</v>
      </c>
      <c r="G490" s="5">
        <v>720</v>
      </c>
      <c r="H490" t="str">
        <f>"ORD#275766/LABOR/MATERIAL"</f>
        <v>ORD#275766/LABOR/MATERIAL</v>
      </c>
    </row>
    <row r="491" spans="1:8" x14ac:dyDescent="0.25">
      <c r="E491" t="str">
        <f>"275767"</f>
        <v>275767</v>
      </c>
      <c r="F491" t="str">
        <f>"ORD#18797873/LABOR/MATERIAL"</f>
        <v>ORD#18797873/LABOR/MATERIAL</v>
      </c>
      <c r="G491" s="5">
        <v>720</v>
      </c>
      <c r="H491" t="str">
        <f>"ORD#18797873/LABOR/MATERIAL"</f>
        <v>ORD#18797873/LABOR/MATERIAL</v>
      </c>
    </row>
    <row r="492" spans="1:8" x14ac:dyDescent="0.25">
      <c r="A492" t="s">
        <v>159</v>
      </c>
      <c r="B492">
        <v>131955</v>
      </c>
      <c r="C492" s="5">
        <v>42.53</v>
      </c>
      <c r="D492" s="1">
        <v>43977</v>
      </c>
      <c r="E492" t="str">
        <f>"FOCS163326"</f>
        <v>FOCS163326</v>
      </c>
      <c r="F492" t="str">
        <f>"INV FOCS163326 /UNIT 6502"</f>
        <v>INV FOCS163326 /UNIT 6502</v>
      </c>
      <c r="G492" s="5">
        <v>42.53</v>
      </c>
      <c r="H492" t="str">
        <f>"INV FOCS163326"</f>
        <v>INV FOCS163326</v>
      </c>
    </row>
    <row r="493" spans="1:8" x14ac:dyDescent="0.25">
      <c r="A493" t="s">
        <v>160</v>
      </c>
      <c r="B493">
        <v>131838</v>
      </c>
      <c r="C493" s="5">
        <v>1352.84</v>
      </c>
      <c r="D493" s="1">
        <v>43962</v>
      </c>
      <c r="E493" t="str">
        <f>"202005056631"</f>
        <v>202005056631</v>
      </c>
      <c r="F493" t="str">
        <f>"ACCT#1800/PCT#4"</f>
        <v>ACCT#1800/PCT#4</v>
      </c>
      <c r="G493" s="5">
        <v>96.22</v>
      </c>
      <c r="H493" t="str">
        <f>"ACCT#1800/PCT#4"</f>
        <v>ACCT#1800/PCT#4</v>
      </c>
    </row>
    <row r="494" spans="1:8" x14ac:dyDescent="0.25">
      <c r="E494" t="str">
        <f>"202005056636"</f>
        <v>202005056636</v>
      </c>
      <c r="F494" t="str">
        <f>"ACCT#1750/PCT#3"</f>
        <v>ACCT#1750/PCT#3</v>
      </c>
      <c r="G494" s="5">
        <v>135.56</v>
      </c>
      <c r="H494" t="str">
        <f>"ACCT#1750/PCT#3"</f>
        <v>ACCT#1750/PCT#3</v>
      </c>
    </row>
    <row r="495" spans="1:8" x14ac:dyDescent="0.25">
      <c r="E495" t="str">
        <f>"202005056638"</f>
        <v>202005056638</v>
      </c>
      <c r="F495" t="str">
        <f>"ACCT#1645/WILDFIRE MITIGATION"</f>
        <v>ACCT#1645/WILDFIRE MITIGATION</v>
      </c>
      <c r="G495" s="5">
        <v>1073.01</v>
      </c>
      <c r="H495" t="str">
        <f>"ACCT#1645/WILDFIRE MITIGATION"</f>
        <v>ACCT#1645/WILDFIRE MITIGATION</v>
      </c>
    </row>
    <row r="496" spans="1:8" x14ac:dyDescent="0.25">
      <c r="E496" t="str">
        <f>"379-105244"</f>
        <v>379-105244</v>
      </c>
      <c r="F496" t="str">
        <f>"ACCT#1650/PCT#1"</f>
        <v>ACCT#1650/PCT#1</v>
      </c>
      <c r="G496" s="5">
        <v>26.65</v>
      </c>
      <c r="H496" t="str">
        <f>"ACCT#1650/PCT#1"</f>
        <v>ACCT#1650/PCT#1</v>
      </c>
    </row>
    <row r="497" spans="1:8" x14ac:dyDescent="0.25">
      <c r="E497" t="str">
        <f>"379-106200"</f>
        <v>379-106200</v>
      </c>
      <c r="F497" t="str">
        <f>"ACCT#1650/GENERAL SVCS"</f>
        <v>ACCT#1650/GENERAL SVCS</v>
      </c>
      <c r="G497" s="5">
        <v>21.4</v>
      </c>
      <c r="H497" t="str">
        <f>"ACCT#1650/GENERAL SVCS"</f>
        <v>ACCT#1650/GENERAL SVCS</v>
      </c>
    </row>
    <row r="498" spans="1:8" x14ac:dyDescent="0.25">
      <c r="A498" t="s">
        <v>161</v>
      </c>
      <c r="B498">
        <v>2537</v>
      </c>
      <c r="C498" s="5">
        <v>1267.25</v>
      </c>
      <c r="D498" s="1">
        <v>43963</v>
      </c>
      <c r="E498" t="str">
        <f>"04224136 04297031"</f>
        <v>04224136 04297031</v>
      </c>
      <c r="F498" t="str">
        <f>"INV 04224136"</f>
        <v>INV 04224136</v>
      </c>
      <c r="G498" s="5">
        <v>1267.25</v>
      </c>
      <c r="H498" t="str">
        <f>"INV 04224136"</f>
        <v>INV 04224136</v>
      </c>
    </row>
    <row r="499" spans="1:8" x14ac:dyDescent="0.25">
      <c r="E499" t="str">
        <f>""</f>
        <v/>
      </c>
      <c r="F499" t="str">
        <f>""</f>
        <v/>
      </c>
      <c r="H499" t="str">
        <f>"INV 04297031"</f>
        <v>INV 04297031</v>
      </c>
    </row>
    <row r="500" spans="1:8" x14ac:dyDescent="0.25">
      <c r="A500" t="s">
        <v>161</v>
      </c>
      <c r="B500">
        <v>2606</v>
      </c>
      <c r="C500" s="5">
        <v>1495.84</v>
      </c>
      <c r="D500" s="1">
        <v>43978</v>
      </c>
      <c r="E500" t="str">
        <f>"05061334  05134805"</f>
        <v>05061334  05134805</v>
      </c>
      <c r="F500" t="str">
        <f>"INV 05061334"</f>
        <v>INV 05061334</v>
      </c>
      <c r="G500" s="5">
        <v>1495.84</v>
      </c>
      <c r="H500" t="str">
        <f>"INV 05061334"</f>
        <v>INV 05061334</v>
      </c>
    </row>
    <row r="501" spans="1:8" x14ac:dyDescent="0.25">
      <c r="E501" t="str">
        <f>""</f>
        <v/>
      </c>
      <c r="F501" t="str">
        <f>""</f>
        <v/>
      </c>
      <c r="H501" t="str">
        <f>"INV 05134805"</f>
        <v>INV 05134805</v>
      </c>
    </row>
    <row r="502" spans="1:8" x14ac:dyDescent="0.25">
      <c r="A502" t="s">
        <v>162</v>
      </c>
      <c r="B502">
        <v>131839</v>
      </c>
      <c r="C502" s="5">
        <v>5000</v>
      </c>
      <c r="D502" s="1">
        <v>43962</v>
      </c>
      <c r="E502" t="str">
        <f>"3925"</f>
        <v>3925</v>
      </c>
      <c r="F502" t="str">
        <f>"RECORDKEEPING 01/01-02/21"</f>
        <v>RECORDKEEPING 01/01-02/21</v>
      </c>
      <c r="G502" s="5">
        <v>5000</v>
      </c>
      <c r="H502" t="str">
        <f>"RECORDKEEPING 01/01-02/21"</f>
        <v>RECORDKEEPING 01/01-02/21</v>
      </c>
    </row>
    <row r="503" spans="1:8" x14ac:dyDescent="0.25">
      <c r="A503" t="s">
        <v>163</v>
      </c>
      <c r="B503">
        <v>2561</v>
      </c>
      <c r="C503" s="5">
        <v>150</v>
      </c>
      <c r="D503" s="1">
        <v>43963</v>
      </c>
      <c r="E503" t="str">
        <f>"202005056637"</f>
        <v>202005056637</v>
      </c>
      <c r="F503" t="str">
        <f>"CLEANING SERVICE"</f>
        <v>CLEANING SERVICE</v>
      </c>
      <c r="G503" s="5">
        <v>150</v>
      </c>
      <c r="H503" t="str">
        <f>"CLEANING SERVICE"</f>
        <v>CLEANING SERVICE</v>
      </c>
    </row>
    <row r="504" spans="1:8" x14ac:dyDescent="0.25">
      <c r="A504" t="s">
        <v>163</v>
      </c>
      <c r="B504">
        <v>2631</v>
      </c>
      <c r="C504" s="5">
        <v>150</v>
      </c>
      <c r="D504" s="1">
        <v>43978</v>
      </c>
      <c r="E504" t="str">
        <f>"202005146896"</f>
        <v>202005146896</v>
      </c>
      <c r="F504" t="str">
        <f>"CLEANING SVC"</f>
        <v>CLEANING SVC</v>
      </c>
      <c r="G504" s="5">
        <v>150</v>
      </c>
      <c r="H504" t="str">
        <f>"CLEANING SVC"</f>
        <v>CLEANING SVC</v>
      </c>
    </row>
    <row r="505" spans="1:8" x14ac:dyDescent="0.25">
      <c r="A505" t="s">
        <v>164</v>
      </c>
      <c r="B505">
        <v>131898</v>
      </c>
      <c r="C505" s="5">
        <v>75.459999999999994</v>
      </c>
      <c r="D505" s="1">
        <v>43965</v>
      </c>
      <c r="E505" t="str">
        <f>"202005146843"</f>
        <v>202005146843</v>
      </c>
      <c r="F505" t="str">
        <f>"ACCT#1-09-00072-02 1/04242020"</f>
        <v>ACCT#1-09-00072-02 1/04242020</v>
      </c>
      <c r="G505" s="5">
        <v>75.459999999999994</v>
      </c>
      <c r="H505" t="str">
        <f>"ACCT#1-09-00072-02 1/04242020"</f>
        <v>ACCT#1-09-00072-02 1/04242020</v>
      </c>
    </row>
    <row r="506" spans="1:8" x14ac:dyDescent="0.25">
      <c r="A506" t="s">
        <v>165</v>
      </c>
      <c r="B506">
        <v>131840</v>
      </c>
      <c r="C506" s="5">
        <v>471.9</v>
      </c>
      <c r="D506" s="1">
        <v>43962</v>
      </c>
      <c r="E506" t="str">
        <f>"1361725-20200430"</f>
        <v>1361725-20200430</v>
      </c>
      <c r="F506" t="str">
        <f>"BILL ID:1361725/INDIGENT HEALT"</f>
        <v>BILL ID:1361725/INDIGENT HEALT</v>
      </c>
      <c r="G506" s="5">
        <v>150</v>
      </c>
      <c r="H506" t="str">
        <f>"BILL ID:1361725/INDIGENT HEALT"</f>
        <v>BILL ID:1361725/INDIGENT HEALT</v>
      </c>
    </row>
    <row r="507" spans="1:8" x14ac:dyDescent="0.25">
      <c r="E507" t="str">
        <f>"1420944-20200430"</f>
        <v>1420944-20200430</v>
      </c>
      <c r="F507" t="str">
        <f>"BILL ID:1420944/SHERIFF'S OFF"</f>
        <v>BILL ID:1420944/SHERIFF'S OFF</v>
      </c>
      <c r="G507" s="5">
        <v>321.89999999999998</v>
      </c>
      <c r="H507" t="str">
        <f>"BILL ID:1420944/SHERIFF'S OFF"</f>
        <v>BILL ID:1420944/SHERIFF'S OFF</v>
      </c>
    </row>
    <row r="508" spans="1:8" x14ac:dyDescent="0.25">
      <c r="A508" t="s">
        <v>165</v>
      </c>
      <c r="B508">
        <v>131956</v>
      </c>
      <c r="C508" s="5">
        <v>868.1</v>
      </c>
      <c r="D508" s="1">
        <v>43977</v>
      </c>
      <c r="E508" t="str">
        <f>"1394645-20200430"</f>
        <v>1394645-20200430</v>
      </c>
      <c r="F508" t="str">
        <f>"BILL ID:1394645/COUNTY CLERK"</f>
        <v>BILL ID:1394645/COUNTY CLERK</v>
      </c>
      <c r="G508" s="5">
        <v>-21.5</v>
      </c>
      <c r="H508" t="str">
        <f>"BILL ID:1394645/COUNTY CLERK"</f>
        <v>BILL ID:1394645/COUNTY CLERK</v>
      </c>
    </row>
    <row r="509" spans="1:8" x14ac:dyDescent="0.25">
      <c r="E509" t="str">
        <f>"1211621-20200430"</f>
        <v>1211621-20200430</v>
      </c>
      <c r="F509" t="str">
        <f>"BILL ID:1211621/HEALTH SVCS"</f>
        <v>BILL ID:1211621/HEALTH SVCS</v>
      </c>
      <c r="G509" s="5">
        <v>839.6</v>
      </c>
      <c r="H509" t="str">
        <f>"BILL ID:1211621/HEALTH SVCS"</f>
        <v>BILL ID:1211621/HEALTH SVCS</v>
      </c>
    </row>
    <row r="510" spans="1:8" x14ac:dyDescent="0.25">
      <c r="E510" t="str">
        <f>"1489870-20200430"</f>
        <v>1489870-20200430</v>
      </c>
      <c r="F510" t="str">
        <f>"BILL ID:1489870/DISTRICT CLERK"</f>
        <v>BILL ID:1489870/DISTRICT CLERK</v>
      </c>
      <c r="G510" s="5">
        <v>50</v>
      </c>
      <c r="H510" t="str">
        <f>"BILL ID:1489870/DISTRICT CLERK"</f>
        <v>BILL ID:1489870/DISTRICT CLERK</v>
      </c>
    </row>
    <row r="511" spans="1:8" x14ac:dyDescent="0.25">
      <c r="A511" t="s">
        <v>166</v>
      </c>
      <c r="B511">
        <v>131841</v>
      </c>
      <c r="C511" s="5">
        <v>831.28</v>
      </c>
      <c r="D511" s="1">
        <v>43962</v>
      </c>
      <c r="E511" t="str">
        <f>"1804011"</f>
        <v>1804011</v>
      </c>
      <c r="F511" t="str">
        <f>"ACCT#15717/601 COOL WATER"</f>
        <v>ACCT#15717/601 COOL WATER</v>
      </c>
      <c r="G511" s="5">
        <v>718.57</v>
      </c>
      <c r="H511" t="str">
        <f>"ACCT#15717/601 COOL WATER"</f>
        <v>ACCT#15717/601 COOL WATER</v>
      </c>
    </row>
    <row r="512" spans="1:8" x14ac:dyDescent="0.25">
      <c r="E512" t="str">
        <f>"1806242"</f>
        <v>1806242</v>
      </c>
      <c r="F512" t="str">
        <f>"ACCT#15717/PCT#2"</f>
        <v>ACCT#15717/PCT#2</v>
      </c>
      <c r="G512" s="5">
        <v>112.71</v>
      </c>
      <c r="H512" t="str">
        <f>"ACCT#15717/PCT#2"</f>
        <v>ACCT#15717/PCT#2</v>
      </c>
    </row>
    <row r="513" spans="1:8" x14ac:dyDescent="0.25">
      <c r="A513" t="s">
        <v>166</v>
      </c>
      <c r="B513">
        <v>131957</v>
      </c>
      <c r="C513" s="5">
        <v>155.81</v>
      </c>
      <c r="D513" s="1">
        <v>43977</v>
      </c>
      <c r="E513" t="str">
        <f>"1818452"</f>
        <v>1818452</v>
      </c>
      <c r="F513" t="str">
        <f>"ACCT#15717/PCT#4"</f>
        <v>ACCT#15717/PCT#4</v>
      </c>
      <c r="G513" s="5">
        <v>155.81</v>
      </c>
      <c r="H513" t="str">
        <f>"ACCT#15717/PCT#4"</f>
        <v>ACCT#15717/PCT#4</v>
      </c>
    </row>
    <row r="514" spans="1:8" x14ac:dyDescent="0.25">
      <c r="A514" t="s">
        <v>167</v>
      </c>
      <c r="B514">
        <v>2551</v>
      </c>
      <c r="C514" s="5">
        <v>3837.8</v>
      </c>
      <c r="D514" s="1">
        <v>43963</v>
      </c>
      <c r="E514" t="str">
        <f>"202005056692"</f>
        <v>202005056692</v>
      </c>
      <c r="F514" t="str">
        <f>"15934"</f>
        <v>15934</v>
      </c>
      <c r="G514" s="5">
        <v>3837.8</v>
      </c>
      <c r="H514" t="str">
        <f>"15934"</f>
        <v>15934</v>
      </c>
    </row>
    <row r="515" spans="1:8" x14ac:dyDescent="0.25">
      <c r="A515" t="s">
        <v>168</v>
      </c>
      <c r="B515">
        <v>2574</v>
      </c>
      <c r="C515" s="5">
        <v>7.5</v>
      </c>
      <c r="D515" s="1">
        <v>43963</v>
      </c>
      <c r="E515" t="str">
        <f>"202004286627"</f>
        <v>202004286627</v>
      </c>
      <c r="F515" t="str">
        <f>"TITLE-2019 ECONOLINE/PCT#1"</f>
        <v>TITLE-2019 ECONOLINE/PCT#1</v>
      </c>
      <c r="G515" s="5">
        <v>7.5</v>
      </c>
      <c r="H515" t="str">
        <f>"TITLE-2019 ECONOLINE/PCT#1"</f>
        <v>TITLE-2019 ECONOLINE/PCT#1</v>
      </c>
    </row>
    <row r="516" spans="1:8" x14ac:dyDescent="0.25">
      <c r="A516" t="s">
        <v>168</v>
      </c>
      <c r="B516">
        <v>2646</v>
      </c>
      <c r="C516" s="5">
        <v>119</v>
      </c>
      <c r="D516" s="1">
        <v>43978</v>
      </c>
      <c r="E516" t="str">
        <f>"202005196919"</f>
        <v>202005196919</v>
      </c>
      <c r="F516" t="str">
        <f>"VEHICLE REGISTRATION-DEV SVCS"</f>
        <v>VEHICLE REGISTRATION-DEV SVCS</v>
      </c>
      <c r="G516" s="5">
        <v>7.5</v>
      </c>
      <c r="H516" t="str">
        <f>"VEHICLE REGISTRATION-DEV SVCS"</f>
        <v>VEHICLE REGISTRATION-DEV SVCS</v>
      </c>
    </row>
    <row r="517" spans="1:8" x14ac:dyDescent="0.25">
      <c r="E517" t="str">
        <f>"202005196960"</f>
        <v>202005196960</v>
      </c>
      <c r="F517" t="str">
        <f>"VEHICLE REGISTRATIONS/SHERIFF"</f>
        <v>VEHICLE REGISTRATIONS/SHERIFF</v>
      </c>
      <c r="G517" s="5">
        <v>67.5</v>
      </c>
      <c r="H517" t="str">
        <f>"VEHICLE REGISTRATIONS/SHERIFF"</f>
        <v>VEHICLE REGISTRATIONS/SHERIFF</v>
      </c>
    </row>
    <row r="518" spans="1:8" x14ac:dyDescent="0.25">
      <c r="E518" t="str">
        <f>"202005216992"</f>
        <v>202005216992</v>
      </c>
      <c r="F518" t="str">
        <f>"TITLE TRANSFERS/PCT#2"</f>
        <v>TITLE TRANSFERS/PCT#2</v>
      </c>
      <c r="G518" s="5">
        <v>44</v>
      </c>
      <c r="H518" t="str">
        <f>"TITLE TRANSFERS/PCT#2"</f>
        <v>TITLE TRANSFERS/PCT#2</v>
      </c>
    </row>
    <row r="519" spans="1:8" x14ac:dyDescent="0.25">
      <c r="A519" t="s">
        <v>169</v>
      </c>
      <c r="B519">
        <v>131842</v>
      </c>
      <c r="C519" s="5">
        <v>1596.24</v>
      </c>
      <c r="D519" s="1">
        <v>43962</v>
      </c>
      <c r="E519" t="str">
        <f>"SVC0716510"</f>
        <v>SVC0716510</v>
      </c>
      <c r="F519" t="str">
        <f>"INV SVC0716510"</f>
        <v>INV SVC0716510</v>
      </c>
      <c r="G519" s="5">
        <v>1596.24</v>
      </c>
      <c r="H519" t="str">
        <f>"INV SVC0716510"</f>
        <v>INV SVC0716510</v>
      </c>
    </row>
    <row r="520" spans="1:8" x14ac:dyDescent="0.25">
      <c r="A520" t="s">
        <v>170</v>
      </c>
      <c r="B520">
        <v>2552</v>
      </c>
      <c r="C520" s="5">
        <v>18922.689999999999</v>
      </c>
      <c r="D520" s="1">
        <v>43963</v>
      </c>
      <c r="E520" t="str">
        <f>"202004286621"</f>
        <v>202004286621</v>
      </c>
      <c r="F520" t="str">
        <f>"GRANT REIMBURSEMENT"</f>
        <v>GRANT REIMBURSEMENT</v>
      </c>
      <c r="G520" s="5">
        <v>18922.689999999999</v>
      </c>
      <c r="H520" t="str">
        <f>"GRANT REIMBURSEMENT"</f>
        <v>GRANT REIMBURSEMENT</v>
      </c>
    </row>
    <row r="521" spans="1:8" x14ac:dyDescent="0.25">
      <c r="A521" t="s">
        <v>170</v>
      </c>
      <c r="B521">
        <v>2624</v>
      </c>
      <c r="C521" s="5">
        <v>18948.72</v>
      </c>
      <c r="D521" s="1">
        <v>43978</v>
      </c>
      <c r="E521" t="str">
        <f>"202005186917"</f>
        <v>202005186917</v>
      </c>
      <c r="F521" t="str">
        <f>"GRANT REIMBURSEMENT"</f>
        <v>GRANT REIMBURSEMENT</v>
      </c>
      <c r="G521" s="5">
        <v>18948.72</v>
      </c>
      <c r="H521" t="str">
        <f>"GRANT REIMBURSEMENT"</f>
        <v>GRANT REIMBURSEMENT</v>
      </c>
    </row>
    <row r="522" spans="1:8" x14ac:dyDescent="0.25">
      <c r="A522" t="s">
        <v>171</v>
      </c>
      <c r="B522">
        <v>2550</v>
      </c>
      <c r="C522" s="5">
        <v>295</v>
      </c>
      <c r="D522" s="1">
        <v>43963</v>
      </c>
      <c r="E522" t="str">
        <f>"LS-2016FORD-BCSO"</f>
        <v>LS-2016FORD-BCSO</v>
      </c>
      <c r="F522" t="str">
        <f>"INV LS-2016FORD-BCSO"</f>
        <v>INV LS-2016FORD-BCSO</v>
      </c>
      <c r="G522" s="5">
        <v>295</v>
      </c>
      <c r="H522" t="str">
        <f>"INV LS-2016FORD-BCSO"</f>
        <v>INV LS-2016FORD-BCSO</v>
      </c>
    </row>
    <row r="523" spans="1:8" x14ac:dyDescent="0.25">
      <c r="A523" t="s">
        <v>172</v>
      </c>
      <c r="B523">
        <v>2558</v>
      </c>
      <c r="C523" s="5">
        <v>715</v>
      </c>
      <c r="D523" s="1">
        <v>43963</v>
      </c>
      <c r="E523" t="str">
        <f>"202005056632"</f>
        <v>202005056632</v>
      </c>
      <c r="F523" t="str">
        <f>"TRASH REMOVAL/PCT#4"</f>
        <v>TRASH REMOVAL/PCT#4</v>
      </c>
      <c r="G523" s="5">
        <v>240.5</v>
      </c>
      <c r="H523" t="str">
        <f>"TRASH REMOVAL/PCT#4"</f>
        <v>TRASH REMOVAL/PCT#4</v>
      </c>
    </row>
    <row r="524" spans="1:8" x14ac:dyDescent="0.25">
      <c r="E524" t="str">
        <f>"202005056633"</f>
        <v>202005056633</v>
      </c>
      <c r="F524" t="str">
        <f>"TRASH REMOVAL/PCT#4"</f>
        <v>TRASH REMOVAL/PCT#4</v>
      </c>
      <c r="G524" s="5">
        <v>474.5</v>
      </c>
      <c r="H524" t="str">
        <f>"TRASH REMOVAL/PCT#4"</f>
        <v>TRASH REMOVAL/PCT#4</v>
      </c>
    </row>
    <row r="525" spans="1:8" x14ac:dyDescent="0.25">
      <c r="A525" t="s">
        <v>172</v>
      </c>
      <c r="B525">
        <v>2628</v>
      </c>
      <c r="C525" s="5">
        <v>708.5</v>
      </c>
      <c r="D525" s="1">
        <v>43978</v>
      </c>
      <c r="E525" t="str">
        <f>"202005186909"</f>
        <v>202005186909</v>
      </c>
      <c r="F525" t="str">
        <f>"TRASH REMOVAL 05/11-05/22/P4"</f>
        <v>TRASH REMOVAL 05/11-05/22/P4</v>
      </c>
      <c r="G525" s="5">
        <v>708.5</v>
      </c>
      <c r="H525" t="str">
        <f>"TRASH REMOVAL 05/11-05/22/P4"</f>
        <v>TRASH REMOVAL 05/11-05/22/P4</v>
      </c>
    </row>
    <row r="526" spans="1:8" x14ac:dyDescent="0.25">
      <c r="A526" t="s">
        <v>173</v>
      </c>
      <c r="B526">
        <v>2578</v>
      </c>
      <c r="C526" s="5">
        <v>30</v>
      </c>
      <c r="D526" s="1">
        <v>43963</v>
      </c>
      <c r="E526" t="str">
        <f>"10-0091443"</f>
        <v>10-0091443</v>
      </c>
      <c r="F526" t="str">
        <f>"INV 10-0091443 /UNIT 5564"</f>
        <v>INV 10-0091443 /UNIT 5564</v>
      </c>
      <c r="G526" s="5">
        <v>30</v>
      </c>
      <c r="H526" t="str">
        <f>"INV 10-0091443"</f>
        <v>INV 10-0091443</v>
      </c>
    </row>
    <row r="527" spans="1:8" x14ac:dyDescent="0.25">
      <c r="A527" t="s">
        <v>174</v>
      </c>
      <c r="B527">
        <v>131843</v>
      </c>
      <c r="C527" s="5">
        <v>213.57</v>
      </c>
      <c r="D527" s="1">
        <v>43962</v>
      </c>
      <c r="E527" t="str">
        <f>"901514 908171 9105"</f>
        <v>901514 908171 9105</v>
      </c>
      <c r="F527" t="str">
        <f>"ACCT# 8692"</f>
        <v>ACCT# 8692</v>
      </c>
      <c r="G527" s="5">
        <v>213.57</v>
      </c>
      <c r="H527" t="str">
        <f>"INV# 910784"</f>
        <v>INV# 910784</v>
      </c>
    </row>
    <row r="528" spans="1:8" x14ac:dyDescent="0.25">
      <c r="E528" t="str">
        <f>""</f>
        <v/>
      </c>
      <c r="F528" t="str">
        <f>""</f>
        <v/>
      </c>
      <c r="H528" t="str">
        <f>"INV# 901514"</f>
        <v>INV# 901514</v>
      </c>
    </row>
    <row r="529" spans="1:8" x14ac:dyDescent="0.25">
      <c r="E529" t="str">
        <f>""</f>
        <v/>
      </c>
      <c r="F529" t="str">
        <f>""</f>
        <v/>
      </c>
      <c r="H529" t="str">
        <f>"iNV# 908171"</f>
        <v>iNV# 908171</v>
      </c>
    </row>
    <row r="530" spans="1:8" x14ac:dyDescent="0.25">
      <c r="E530" t="str">
        <f>""</f>
        <v/>
      </c>
      <c r="F530" t="str">
        <f>""</f>
        <v/>
      </c>
      <c r="H530" t="str">
        <f>"iNV# 910568"</f>
        <v>iNV# 910568</v>
      </c>
    </row>
    <row r="531" spans="1:8" x14ac:dyDescent="0.25">
      <c r="E531" t="str">
        <f>""</f>
        <v/>
      </c>
      <c r="F531" t="str">
        <f>""</f>
        <v/>
      </c>
      <c r="H531" t="str">
        <f>"INV# 908394"</f>
        <v>INV# 908394</v>
      </c>
    </row>
    <row r="532" spans="1:8" x14ac:dyDescent="0.25">
      <c r="A532" t="s">
        <v>175</v>
      </c>
      <c r="B532">
        <v>2547</v>
      </c>
      <c r="C532" s="5">
        <v>247.35</v>
      </c>
      <c r="D532" s="1">
        <v>43963</v>
      </c>
      <c r="E532" t="str">
        <f>"202005056698"</f>
        <v>202005056698</v>
      </c>
      <c r="F532" t="str">
        <f>"COUNTY COURT 030320"</f>
        <v>COUNTY COURT 030320</v>
      </c>
      <c r="G532" s="5">
        <v>247.35</v>
      </c>
      <c r="H532" t="str">
        <f>"COUNTY COURT 030320"</f>
        <v>COUNTY COURT 030320</v>
      </c>
    </row>
    <row r="533" spans="1:8" x14ac:dyDescent="0.25">
      <c r="A533" t="s">
        <v>175</v>
      </c>
      <c r="B533">
        <v>2619</v>
      </c>
      <c r="C533" s="5">
        <v>200</v>
      </c>
      <c r="D533" s="1">
        <v>43978</v>
      </c>
      <c r="E533" t="str">
        <f>"202005146885"</f>
        <v>202005146885</v>
      </c>
      <c r="F533" t="str">
        <f>"COUNTY COURT 050720"</f>
        <v>COUNTY COURT 050720</v>
      </c>
      <c r="G533" s="5">
        <v>200</v>
      </c>
      <c r="H533" t="str">
        <f>"COUNTY COURT 050720"</f>
        <v>COUNTY COURT 050720</v>
      </c>
    </row>
    <row r="534" spans="1:8" x14ac:dyDescent="0.25">
      <c r="A534" t="s">
        <v>176</v>
      </c>
      <c r="B534">
        <v>131958</v>
      </c>
      <c r="C534" s="5">
        <v>33.270000000000003</v>
      </c>
      <c r="D534" s="1">
        <v>43977</v>
      </c>
      <c r="E534" t="str">
        <f>"202005196951"</f>
        <v>202005196951</v>
      </c>
      <c r="F534" t="str">
        <f>"INDIGENT HEALTH"</f>
        <v>INDIGENT HEALTH</v>
      </c>
      <c r="G534" s="5">
        <v>33.270000000000003</v>
      </c>
      <c r="H534" t="str">
        <f>"INDIGENT HEALTH"</f>
        <v>INDIGENT HEALTH</v>
      </c>
    </row>
    <row r="535" spans="1:8" x14ac:dyDescent="0.25">
      <c r="A535" t="s">
        <v>177</v>
      </c>
      <c r="B535">
        <v>2549</v>
      </c>
      <c r="C535" s="5">
        <v>937.5</v>
      </c>
      <c r="D535" s="1">
        <v>43963</v>
      </c>
      <c r="E535" t="str">
        <f>"202005056669"</f>
        <v>202005056669</v>
      </c>
      <c r="F535" t="str">
        <f>"19-19954"</f>
        <v>19-19954</v>
      </c>
      <c r="G535" s="5">
        <v>300</v>
      </c>
      <c r="H535" t="str">
        <f>"19-19954"</f>
        <v>19-19954</v>
      </c>
    </row>
    <row r="536" spans="1:8" x14ac:dyDescent="0.25">
      <c r="E536" t="str">
        <f>"202005056670"</f>
        <v>202005056670</v>
      </c>
      <c r="F536" t="str">
        <f>"20-20056"</f>
        <v>20-20056</v>
      </c>
      <c r="G536" s="5">
        <v>637.5</v>
      </c>
      <c r="H536" t="str">
        <f>"20-20056"</f>
        <v>20-20056</v>
      </c>
    </row>
    <row r="537" spans="1:8" x14ac:dyDescent="0.25">
      <c r="A537" t="s">
        <v>177</v>
      </c>
      <c r="B537">
        <v>2621</v>
      </c>
      <c r="C537" s="5">
        <v>2237.5</v>
      </c>
      <c r="D537" s="1">
        <v>43978</v>
      </c>
      <c r="E537" t="str">
        <f>"202005196926"</f>
        <v>202005196926</v>
      </c>
      <c r="F537" t="str">
        <f>"20-20207"</f>
        <v>20-20207</v>
      </c>
      <c r="G537" s="5">
        <v>1693.75</v>
      </c>
      <c r="H537" t="str">
        <f>"20-20207"</f>
        <v>20-20207</v>
      </c>
    </row>
    <row r="538" spans="1:8" x14ac:dyDescent="0.25">
      <c r="E538" t="str">
        <f>"202005196927"</f>
        <v>202005196927</v>
      </c>
      <c r="F538" t="str">
        <f>"17-18443"</f>
        <v>17-18443</v>
      </c>
      <c r="G538" s="5">
        <v>543.75</v>
      </c>
      <c r="H538" t="str">
        <f>"17-18443"</f>
        <v>17-18443</v>
      </c>
    </row>
    <row r="539" spans="1:8" x14ac:dyDescent="0.25">
      <c r="A539" t="s">
        <v>178</v>
      </c>
      <c r="B539">
        <v>131959</v>
      </c>
      <c r="C539" s="5">
        <v>282.10000000000002</v>
      </c>
      <c r="D539" s="1">
        <v>43977</v>
      </c>
      <c r="E539" t="str">
        <f>"21615821"</f>
        <v>21615821</v>
      </c>
      <c r="F539" t="str">
        <f>"ACCT#41472/PCT#1"</f>
        <v>ACCT#41472/PCT#1</v>
      </c>
      <c r="G539" s="5">
        <v>26.73</v>
      </c>
      <c r="H539" t="str">
        <f>"ACCT#41472/PCT#1"</f>
        <v>ACCT#41472/PCT#1</v>
      </c>
    </row>
    <row r="540" spans="1:8" x14ac:dyDescent="0.25">
      <c r="E540" t="str">
        <f>"21615899"</f>
        <v>21615899</v>
      </c>
      <c r="F540" t="str">
        <f>"ACCT#45057/PCT#4"</f>
        <v>ACCT#45057/PCT#4</v>
      </c>
      <c r="G540" s="5">
        <v>48.73</v>
      </c>
      <c r="H540" t="str">
        <f>"ACCT#45057/PCT#4"</f>
        <v>ACCT#45057/PCT#4</v>
      </c>
    </row>
    <row r="541" spans="1:8" x14ac:dyDescent="0.25">
      <c r="E541" t="str">
        <f>"21615954"</f>
        <v>21615954</v>
      </c>
      <c r="F541" t="str">
        <f>"INV 21615954"</f>
        <v>INV 21615954</v>
      </c>
      <c r="G541" s="5">
        <v>56.64</v>
      </c>
      <c r="H541" t="str">
        <f>"INV 21615954"</f>
        <v>INV 21615954</v>
      </c>
    </row>
    <row r="542" spans="1:8" x14ac:dyDescent="0.25">
      <c r="E542" t="str">
        <f>"21623436"</f>
        <v>21623436</v>
      </c>
      <c r="F542" t="str">
        <f>"ACCT#S9549/PCT#1"</f>
        <v>ACCT#S9549/PCT#1</v>
      </c>
      <c r="G542" s="5">
        <v>150</v>
      </c>
      <c r="H542" t="str">
        <f>"ACCT#S9549/PCT#1"</f>
        <v>ACCT#S9549/PCT#1</v>
      </c>
    </row>
    <row r="543" spans="1:8" x14ac:dyDescent="0.25">
      <c r="A543" t="s">
        <v>179</v>
      </c>
      <c r="B543">
        <v>131904</v>
      </c>
      <c r="C543" s="5">
        <v>2400</v>
      </c>
      <c r="D543" s="1">
        <v>43972</v>
      </c>
      <c r="E543" t="str">
        <f>"202005216991"</f>
        <v>202005216991</v>
      </c>
      <c r="F543" t="str">
        <f>"CAUSE#17031 / PSCH EVAL"</f>
        <v>CAUSE#17031 / PSCH EVAL</v>
      </c>
      <c r="G543" s="5">
        <v>2400</v>
      </c>
      <c r="H543" t="str">
        <f>"MAUREEN S BURROWS MD MPH"</f>
        <v>MAUREEN S BURROWS MD MPH</v>
      </c>
    </row>
    <row r="544" spans="1:8" x14ac:dyDescent="0.25">
      <c r="A544" t="s">
        <v>180</v>
      </c>
      <c r="B544">
        <v>131844</v>
      </c>
      <c r="C544" s="5">
        <v>11674.32</v>
      </c>
      <c r="D544" s="1">
        <v>43962</v>
      </c>
      <c r="E544" t="s">
        <v>181</v>
      </c>
      <c r="F544" t="str">
        <f>"SERVICE-$193  ABST FEE-$1"</f>
        <v>SERVICE-$193  ABST FEE-$1</v>
      </c>
      <c r="G544" s="5">
        <v>194</v>
      </c>
      <c r="H544" t="str">
        <f>"SERVICE-$193  ABST FEE-$1"</f>
        <v>SERVICE-$193  ABST FEE-$1</v>
      </c>
    </row>
    <row r="545" spans="1:8" x14ac:dyDescent="0.25">
      <c r="E545" t="str">
        <f>"12612"</f>
        <v>12612</v>
      </c>
      <c r="F545" t="str">
        <f t="shared" ref="F545:F556" si="9">"ABST FEE"</f>
        <v>ABST FEE</v>
      </c>
      <c r="G545" s="5">
        <v>225</v>
      </c>
      <c r="H545" t="str">
        <f t="shared" ref="H545:H556" si="10">"ABST FEE"</f>
        <v>ABST FEE</v>
      </c>
    </row>
    <row r="546" spans="1:8" x14ac:dyDescent="0.25">
      <c r="E546" t="str">
        <f>"12752"</f>
        <v>12752</v>
      </c>
      <c r="F546" t="str">
        <f t="shared" si="9"/>
        <v>ABST FEE</v>
      </c>
      <c r="G546" s="5">
        <v>225</v>
      </c>
      <c r="H546" t="str">
        <f t="shared" si="10"/>
        <v>ABST FEE</v>
      </c>
    </row>
    <row r="547" spans="1:8" x14ac:dyDescent="0.25">
      <c r="E547" t="str">
        <f>"13110"</f>
        <v>13110</v>
      </c>
      <c r="F547" t="str">
        <f t="shared" si="9"/>
        <v>ABST FEE</v>
      </c>
      <c r="G547" s="5">
        <v>225</v>
      </c>
      <c r="H547" t="str">
        <f t="shared" si="10"/>
        <v>ABST FEE</v>
      </c>
    </row>
    <row r="548" spans="1:8" x14ac:dyDescent="0.25">
      <c r="E548" t="str">
        <f>"13144"</f>
        <v>13144</v>
      </c>
      <c r="F548" t="str">
        <f t="shared" si="9"/>
        <v>ABST FEE</v>
      </c>
      <c r="G548" s="5">
        <v>225</v>
      </c>
      <c r="H548" t="str">
        <f t="shared" si="10"/>
        <v>ABST FEE</v>
      </c>
    </row>
    <row r="549" spans="1:8" x14ac:dyDescent="0.25">
      <c r="E549" t="str">
        <f>"13146"</f>
        <v>13146</v>
      </c>
      <c r="F549" t="str">
        <f t="shared" si="9"/>
        <v>ABST FEE</v>
      </c>
      <c r="G549" s="5">
        <v>225</v>
      </c>
      <c r="H549" t="str">
        <f t="shared" si="10"/>
        <v>ABST FEE</v>
      </c>
    </row>
    <row r="550" spans="1:8" x14ac:dyDescent="0.25">
      <c r="E550" t="str">
        <f>"13180"</f>
        <v>13180</v>
      </c>
      <c r="F550" t="str">
        <f t="shared" si="9"/>
        <v>ABST FEE</v>
      </c>
      <c r="G550" s="5">
        <v>225</v>
      </c>
      <c r="H550" t="str">
        <f t="shared" si="10"/>
        <v>ABST FEE</v>
      </c>
    </row>
    <row r="551" spans="1:8" x14ac:dyDescent="0.25">
      <c r="E551" t="str">
        <f>"13184"</f>
        <v>13184</v>
      </c>
      <c r="F551" t="str">
        <f t="shared" si="9"/>
        <v>ABST FEE</v>
      </c>
      <c r="G551" s="5">
        <v>225</v>
      </c>
      <c r="H551" t="str">
        <f t="shared" si="10"/>
        <v>ABST FEE</v>
      </c>
    </row>
    <row r="552" spans="1:8" x14ac:dyDescent="0.25">
      <c r="E552" t="str">
        <f>"13191"</f>
        <v>13191</v>
      </c>
      <c r="F552" t="str">
        <f t="shared" si="9"/>
        <v>ABST FEE</v>
      </c>
      <c r="G552" s="5">
        <v>225</v>
      </c>
      <c r="H552" t="str">
        <f t="shared" si="10"/>
        <v>ABST FEE</v>
      </c>
    </row>
    <row r="553" spans="1:8" x14ac:dyDescent="0.25">
      <c r="E553" t="str">
        <f>"13205"</f>
        <v>13205</v>
      </c>
      <c r="F553" t="str">
        <f t="shared" si="9"/>
        <v>ABST FEE</v>
      </c>
      <c r="G553" s="5">
        <v>225</v>
      </c>
      <c r="H553" t="str">
        <f t="shared" si="10"/>
        <v>ABST FEE</v>
      </c>
    </row>
    <row r="554" spans="1:8" x14ac:dyDescent="0.25">
      <c r="E554" t="str">
        <f>"13229"</f>
        <v>13229</v>
      </c>
      <c r="F554" t="str">
        <f t="shared" si="9"/>
        <v>ABST FEE</v>
      </c>
      <c r="G554" s="5">
        <v>225</v>
      </c>
      <c r="H554" t="str">
        <f t="shared" si="10"/>
        <v>ABST FEE</v>
      </c>
    </row>
    <row r="555" spans="1:8" x14ac:dyDescent="0.25">
      <c r="E555" t="str">
        <f>"13402"</f>
        <v>13402</v>
      </c>
      <c r="F555" t="str">
        <f t="shared" si="9"/>
        <v>ABST FEE</v>
      </c>
      <c r="G555" s="5">
        <v>83</v>
      </c>
      <c r="H555" t="str">
        <f t="shared" si="10"/>
        <v>ABST FEE</v>
      </c>
    </row>
    <row r="556" spans="1:8" x14ac:dyDescent="0.25">
      <c r="E556" t="str">
        <f>"13414"</f>
        <v>13414</v>
      </c>
      <c r="F556" t="str">
        <f t="shared" si="9"/>
        <v>ABST FEE</v>
      </c>
      <c r="G556" s="5">
        <v>59</v>
      </c>
      <c r="H556" t="str">
        <f t="shared" si="10"/>
        <v>ABST FEE</v>
      </c>
    </row>
    <row r="557" spans="1:8" x14ac:dyDescent="0.25">
      <c r="E557" t="str">
        <f>"202005056647"</f>
        <v>202005056647</v>
      </c>
      <c r="F557" t="str">
        <f>"ATTORNEY FEES-APRIL 2020"</f>
        <v>ATTORNEY FEES-APRIL 2020</v>
      </c>
      <c r="G557" s="5">
        <v>9088.32</v>
      </c>
      <c r="H557" t="str">
        <f>"ATTORNEY FEES-APRIL 2020"</f>
        <v>ATTORNEY FEES-APRIL 2020</v>
      </c>
    </row>
    <row r="558" spans="1:8" x14ac:dyDescent="0.25">
      <c r="A558" t="s">
        <v>182</v>
      </c>
      <c r="B558">
        <v>131845</v>
      </c>
      <c r="C558" s="5">
        <v>310.36</v>
      </c>
      <c r="D558" s="1">
        <v>43962</v>
      </c>
      <c r="E558" t="str">
        <f>"02691577"</f>
        <v>02691577</v>
      </c>
      <c r="F558" t="str">
        <f>"INV 02691577"</f>
        <v>INV 02691577</v>
      </c>
      <c r="G558" s="5">
        <v>310.36</v>
      </c>
      <c r="H558" t="str">
        <f>"INV 02691577"</f>
        <v>INV 02691577</v>
      </c>
    </row>
    <row r="559" spans="1:8" x14ac:dyDescent="0.25">
      <c r="E559" t="str">
        <f>""</f>
        <v/>
      </c>
      <c r="F559" t="str">
        <f>""</f>
        <v/>
      </c>
      <c r="H559" t="str">
        <f>"02692829"</f>
        <v>02692829</v>
      </c>
    </row>
    <row r="560" spans="1:8" x14ac:dyDescent="0.25">
      <c r="A560" t="s">
        <v>183</v>
      </c>
      <c r="B560">
        <v>131960</v>
      </c>
      <c r="C560" s="5">
        <v>1487.1</v>
      </c>
      <c r="D560" s="1">
        <v>43977</v>
      </c>
      <c r="E560" t="str">
        <f>"202005196952"</f>
        <v>202005196952</v>
      </c>
      <c r="F560" t="str">
        <f>"INDIGENT HEALTH"</f>
        <v>INDIGENT HEALTH</v>
      </c>
      <c r="G560" s="5">
        <v>1487.1</v>
      </c>
      <c r="H560" t="str">
        <f>"INDIGENT HEALTH"</f>
        <v>INDIGENT HEALTH</v>
      </c>
    </row>
    <row r="561" spans="1:8" x14ac:dyDescent="0.25">
      <c r="E561" t="str">
        <f>""</f>
        <v/>
      </c>
      <c r="F561" t="str">
        <f>""</f>
        <v/>
      </c>
      <c r="H561" t="str">
        <f>"INDIGENT HEALTH"</f>
        <v>INDIGENT HEALTH</v>
      </c>
    </row>
    <row r="562" spans="1:8" x14ac:dyDescent="0.25">
      <c r="A562" t="s">
        <v>184</v>
      </c>
      <c r="B562">
        <v>2572</v>
      </c>
      <c r="C562" s="5">
        <v>100</v>
      </c>
      <c r="D562" s="1">
        <v>43963</v>
      </c>
      <c r="E562" t="str">
        <f>"20-018"</f>
        <v>20-018</v>
      </c>
      <c r="F562" t="str">
        <f>"423-2871"</f>
        <v>423-2871</v>
      </c>
      <c r="G562" s="5">
        <v>100</v>
      </c>
      <c r="H562" t="str">
        <f>"423-2871"</f>
        <v>423-2871</v>
      </c>
    </row>
    <row r="563" spans="1:8" x14ac:dyDescent="0.25">
      <c r="A563" t="s">
        <v>185</v>
      </c>
      <c r="B563">
        <v>2541</v>
      </c>
      <c r="C563" s="5">
        <v>2737</v>
      </c>
      <c r="D563" s="1">
        <v>43963</v>
      </c>
      <c r="E563" t="str">
        <f>"21959"</f>
        <v>21959</v>
      </c>
      <c r="F563" t="str">
        <f>"FREIGHT SALES/PCT#2"</f>
        <v>FREIGHT SALES/PCT#2</v>
      </c>
      <c r="G563" s="5">
        <v>1893.6</v>
      </c>
      <c r="H563" t="str">
        <f>"FREIGHT SALES/PCT#2"</f>
        <v>FREIGHT SALES/PCT#2</v>
      </c>
    </row>
    <row r="564" spans="1:8" x14ac:dyDescent="0.25">
      <c r="E564" t="str">
        <f>"22012"</f>
        <v>22012</v>
      </c>
      <c r="F564" t="str">
        <f>"FREIGHT SALES/PCT#2"</f>
        <v>FREIGHT SALES/PCT#2</v>
      </c>
      <c r="G564" s="5">
        <v>843.4</v>
      </c>
      <c r="H564" t="str">
        <f>"FREIGHT SALES/PCT#2"</f>
        <v>FREIGHT SALES/PCT#2</v>
      </c>
    </row>
    <row r="565" spans="1:8" x14ac:dyDescent="0.25">
      <c r="A565" t="s">
        <v>185</v>
      </c>
      <c r="B565">
        <v>2609</v>
      </c>
      <c r="C565" s="5">
        <v>2588.9499999999998</v>
      </c>
      <c r="D565" s="1">
        <v>43978</v>
      </c>
      <c r="E565" t="str">
        <f>"202005146895"</f>
        <v>202005146895</v>
      </c>
      <c r="F565" t="str">
        <f>"FREIGHT SALES/PCT#2"</f>
        <v>FREIGHT SALES/PCT#2</v>
      </c>
      <c r="G565" s="5">
        <v>588.04999999999995</v>
      </c>
      <c r="H565" t="str">
        <f>"FREIGHT SALES/PCT#2"</f>
        <v>FREIGHT SALES/PCT#2</v>
      </c>
    </row>
    <row r="566" spans="1:8" x14ac:dyDescent="0.25">
      <c r="E566" t="str">
        <f>"22054"</f>
        <v>22054</v>
      </c>
      <c r="F566" t="str">
        <f>"FREIGHT SALES/PCT#2"</f>
        <v>FREIGHT SALES/PCT#2</v>
      </c>
      <c r="G566" s="5">
        <v>1041.8499999999999</v>
      </c>
      <c r="H566" t="str">
        <f>"FREIGHT SALES/PCT#2"</f>
        <v>FREIGHT SALES/PCT#2</v>
      </c>
    </row>
    <row r="567" spans="1:8" x14ac:dyDescent="0.25">
      <c r="E567" t="str">
        <f>"22132"</f>
        <v>22132</v>
      </c>
      <c r="F567" t="str">
        <f>"FREIGHT SALES/PCT#2"</f>
        <v>FREIGHT SALES/PCT#2</v>
      </c>
      <c r="G567" s="5">
        <v>959.05</v>
      </c>
      <c r="H567" t="str">
        <f>"FREIGHT SALES/PCT#2"</f>
        <v>FREIGHT SALES/PCT#2</v>
      </c>
    </row>
    <row r="568" spans="1:8" x14ac:dyDescent="0.25">
      <c r="A568" t="s">
        <v>186</v>
      </c>
      <c r="B568">
        <v>131846</v>
      </c>
      <c r="C568" s="5">
        <v>18200</v>
      </c>
      <c r="D568" s="1">
        <v>43962</v>
      </c>
      <c r="E568" t="str">
        <f>"202005066728"</f>
        <v>202005066728</v>
      </c>
      <c r="F568" t="str">
        <f>"HCP (TOAD) SURVEY/JAN-APR 2020"</f>
        <v>HCP (TOAD) SURVEY/JAN-APR 2020</v>
      </c>
      <c r="G568" s="5">
        <v>18200</v>
      </c>
      <c r="H568" t="str">
        <f>"HCP (TOAD) SURVEY/JAN-APR 2020"</f>
        <v>HCP (TOAD) SURVEY/JAN-APR 2020</v>
      </c>
    </row>
    <row r="569" spans="1:8" x14ac:dyDescent="0.25">
      <c r="A569" t="s">
        <v>187</v>
      </c>
      <c r="B569">
        <v>131961</v>
      </c>
      <c r="C569" s="5">
        <v>20769.310000000001</v>
      </c>
      <c r="D569" s="1">
        <v>43977</v>
      </c>
      <c r="E569" t="str">
        <f>"8230270491"</f>
        <v>8230270491</v>
      </c>
      <c r="F569" t="str">
        <f>"ACCT#10362152777"</f>
        <v>ACCT#10362152777</v>
      </c>
      <c r="G569" s="5">
        <v>20769.310000000001</v>
      </c>
      <c r="H569" t="str">
        <f>"ACCT#10362152777"</f>
        <v>ACCT#10362152777</v>
      </c>
    </row>
    <row r="570" spans="1:8" x14ac:dyDescent="0.25">
      <c r="A570" t="s">
        <v>188</v>
      </c>
      <c r="B570">
        <v>131962</v>
      </c>
      <c r="C570" s="5">
        <v>3918.98</v>
      </c>
      <c r="D570" s="1">
        <v>43977</v>
      </c>
      <c r="E570" t="str">
        <f>"202005196953"</f>
        <v>202005196953</v>
      </c>
      <c r="F570" t="str">
        <f>"INDIGENT HEALTH"</f>
        <v>INDIGENT HEALTH</v>
      </c>
      <c r="G570" s="5">
        <v>3918.98</v>
      </c>
      <c r="H570" t="str">
        <f>"INDIGENT HEALTH"</f>
        <v>INDIGENT HEALTH</v>
      </c>
    </row>
    <row r="571" spans="1:8" x14ac:dyDescent="0.25">
      <c r="E571" t="str">
        <f>""</f>
        <v/>
      </c>
      <c r="F571" t="str">
        <f>""</f>
        <v/>
      </c>
      <c r="H571" t="str">
        <f>"INDIGENT HEALTH"</f>
        <v>INDIGENT HEALTH</v>
      </c>
    </row>
    <row r="572" spans="1:8" x14ac:dyDescent="0.25">
      <c r="A572" t="s">
        <v>189</v>
      </c>
      <c r="B572">
        <v>131963</v>
      </c>
      <c r="C572" s="5">
        <v>902.95</v>
      </c>
      <c r="D572" s="1">
        <v>43977</v>
      </c>
      <c r="E572" t="str">
        <f>"86849818"</f>
        <v>86849818</v>
      </c>
      <c r="F572" t="str">
        <f>"AGREEMENT#9241424/ACCT#1503441"</f>
        <v>AGREEMENT#9241424/ACCT#1503441</v>
      </c>
      <c r="G572" s="5">
        <v>902.95</v>
      </c>
      <c r="H572" t="str">
        <f>"AGREEMENT#9241424/ACCT#1503441"</f>
        <v>AGREEMENT#9241424/ACCT#1503441</v>
      </c>
    </row>
    <row r="573" spans="1:8" x14ac:dyDescent="0.25">
      <c r="A573" t="s">
        <v>190</v>
      </c>
      <c r="B573">
        <v>131964</v>
      </c>
      <c r="C573" s="5">
        <v>170</v>
      </c>
      <c r="D573" s="1">
        <v>43977</v>
      </c>
      <c r="E573" t="str">
        <f>"5-18-20-2"</f>
        <v>5-18-20-2</v>
      </c>
      <c r="F573" t="str">
        <f>"JOB 5-18-20-2"</f>
        <v>JOB 5-18-20-2</v>
      </c>
      <c r="G573" s="5">
        <v>170</v>
      </c>
      <c r="H573" t="str">
        <f>"JOB 5-18-20-2"</f>
        <v>JOB 5-18-20-2</v>
      </c>
    </row>
    <row r="574" spans="1:8" x14ac:dyDescent="0.25">
      <c r="A574" t="s">
        <v>191</v>
      </c>
      <c r="B574">
        <v>2534</v>
      </c>
      <c r="C574" s="5">
        <v>21491.5</v>
      </c>
      <c r="D574" s="1">
        <v>43963</v>
      </c>
      <c r="E574" t="str">
        <f>"IN0840150"</f>
        <v>IN0840150</v>
      </c>
      <c r="F574" t="str">
        <f>"INV IN0840150"</f>
        <v>INV IN0840150</v>
      </c>
      <c r="G574" s="5">
        <v>7218.36</v>
      </c>
      <c r="H574" t="str">
        <f>"INV IN0840150"</f>
        <v>INV IN0840150</v>
      </c>
    </row>
    <row r="575" spans="1:8" x14ac:dyDescent="0.25">
      <c r="E575" t="str">
        <f>"IN0840312"</f>
        <v>IN0840312</v>
      </c>
      <c r="F575" t="str">
        <f>"INV IN0840312"</f>
        <v>INV IN0840312</v>
      </c>
      <c r="G575" s="5">
        <v>8196.16</v>
      </c>
      <c r="H575" t="str">
        <f>"INV IN0840312"</f>
        <v>INV IN0840312</v>
      </c>
    </row>
    <row r="576" spans="1:8" x14ac:dyDescent="0.25">
      <c r="E576" t="str">
        <f>"IN0840663 IN084056"</f>
        <v>IN0840663 IN084056</v>
      </c>
      <c r="F576" t="str">
        <f>"INV IN0840663"</f>
        <v>INV IN0840663</v>
      </c>
      <c r="G576" s="5">
        <v>6076.98</v>
      </c>
      <c r="H576" t="str">
        <f>"INV IN0840663"</f>
        <v>INV IN0840663</v>
      </c>
    </row>
    <row r="577" spans="1:8" x14ac:dyDescent="0.25">
      <c r="E577" t="str">
        <f>""</f>
        <v/>
      </c>
      <c r="F577" t="str">
        <f>""</f>
        <v/>
      </c>
      <c r="H577" t="str">
        <f>"INV IN0840566"</f>
        <v>INV IN0840566</v>
      </c>
    </row>
    <row r="578" spans="1:8" x14ac:dyDescent="0.25">
      <c r="A578" t="s">
        <v>191</v>
      </c>
      <c r="B578">
        <v>2602</v>
      </c>
      <c r="C578" s="5">
        <v>1286.74</v>
      </c>
      <c r="D578" s="1">
        <v>43978</v>
      </c>
      <c r="E578" t="str">
        <f>"IN0841128"</f>
        <v>IN0841128</v>
      </c>
      <c r="F578" t="str">
        <f>"INV IN0841128"</f>
        <v>INV IN0841128</v>
      </c>
      <c r="G578" s="5">
        <v>1286.74</v>
      </c>
      <c r="H578" t="str">
        <f>"INV IN0841128"</f>
        <v>INV IN0841128</v>
      </c>
    </row>
    <row r="579" spans="1:8" x14ac:dyDescent="0.25">
      <c r="A579" t="s">
        <v>192</v>
      </c>
      <c r="B579">
        <v>2562</v>
      </c>
      <c r="C579" s="5">
        <v>143.5</v>
      </c>
      <c r="D579" s="1">
        <v>43963</v>
      </c>
      <c r="E579" t="str">
        <f>"47867"</f>
        <v>47867</v>
      </c>
      <c r="F579" t="str">
        <f>"INV 47867"</f>
        <v>INV 47867</v>
      </c>
      <c r="G579" s="5">
        <v>143.5</v>
      </c>
      <c r="H579" t="str">
        <f>"INV 47867"</f>
        <v>INV 47867</v>
      </c>
    </row>
    <row r="580" spans="1:8" x14ac:dyDescent="0.25">
      <c r="A580" t="s">
        <v>193</v>
      </c>
      <c r="B580">
        <v>131848</v>
      </c>
      <c r="C580" s="5">
        <v>75</v>
      </c>
      <c r="D580" s="1">
        <v>43962</v>
      </c>
      <c r="E580" t="str">
        <f>"12752"</f>
        <v>12752</v>
      </c>
      <c r="F580" t="str">
        <f>"SERVICE"</f>
        <v>SERVICE</v>
      </c>
      <c r="G580" s="5">
        <v>75</v>
      </c>
      <c r="H580" t="str">
        <f>"SERVICE"</f>
        <v>SERVICE</v>
      </c>
    </row>
    <row r="581" spans="1:8" x14ac:dyDescent="0.25">
      <c r="A581" t="s">
        <v>194</v>
      </c>
      <c r="B581">
        <v>2584</v>
      </c>
      <c r="C581" s="5">
        <v>499.09</v>
      </c>
      <c r="D581" s="1">
        <v>43963</v>
      </c>
      <c r="E581" t="str">
        <f>"202005066724"</f>
        <v>202005066724</v>
      </c>
      <c r="F581" t="str">
        <f>"CUST#1772018/PCT#1"</f>
        <v>CUST#1772018/PCT#1</v>
      </c>
      <c r="G581" s="5">
        <v>354.29</v>
      </c>
      <c r="H581" t="str">
        <f>"CUST#1772018/PCT#1"</f>
        <v>CUST#1772018/PCT#1</v>
      </c>
    </row>
    <row r="582" spans="1:8" x14ac:dyDescent="0.25">
      <c r="E582" t="str">
        <f>"202005066742"</f>
        <v>202005066742</v>
      </c>
      <c r="F582" t="str">
        <f>"CUST #99088 / PCT#4"</f>
        <v>CUST #99088 / PCT#4</v>
      </c>
      <c r="G582" s="5">
        <v>144.80000000000001</v>
      </c>
      <c r="H582" t="str">
        <f>"CUST #99088 / PCT#4"</f>
        <v>CUST #99088 / PCT#4</v>
      </c>
    </row>
    <row r="583" spans="1:8" x14ac:dyDescent="0.25">
      <c r="A583" t="s">
        <v>195</v>
      </c>
      <c r="B583">
        <v>131849</v>
      </c>
      <c r="C583" s="5">
        <v>816.48</v>
      </c>
      <c r="D583" s="1">
        <v>43962</v>
      </c>
      <c r="E583" t="str">
        <f>"1934866  122012426"</f>
        <v>1934866  122012426</v>
      </c>
      <c r="F583" t="str">
        <f>"INV 1934866"</f>
        <v>INV 1934866</v>
      </c>
      <c r="G583" s="5">
        <v>816.48</v>
      </c>
      <c r="H583" t="str">
        <f>"INV 1934866"</f>
        <v>INV 1934866</v>
      </c>
    </row>
    <row r="584" spans="1:8" x14ac:dyDescent="0.25">
      <c r="E584" t="str">
        <f>""</f>
        <v/>
      </c>
      <c r="F584" t="str">
        <f>""</f>
        <v/>
      </c>
      <c r="H584" t="str">
        <f>"INV 122012426"</f>
        <v>INV 122012426</v>
      </c>
    </row>
    <row r="585" spans="1:8" x14ac:dyDescent="0.25">
      <c r="A585" t="s">
        <v>195</v>
      </c>
      <c r="B585">
        <v>131965</v>
      </c>
      <c r="C585" s="5">
        <v>933.12</v>
      </c>
      <c r="D585" s="1">
        <v>43977</v>
      </c>
      <c r="E585" t="str">
        <f>"40188213  1950165"</f>
        <v>40188213  1950165</v>
      </c>
      <c r="F585" t="str">
        <f>"INV 40188213"</f>
        <v>INV 40188213</v>
      </c>
      <c r="G585" s="5">
        <v>933.12</v>
      </c>
      <c r="H585" t="str">
        <f>"INV 40188213"</f>
        <v>INV 40188213</v>
      </c>
    </row>
    <row r="586" spans="1:8" x14ac:dyDescent="0.25">
      <c r="E586" t="str">
        <f>""</f>
        <v/>
      </c>
      <c r="F586" t="str">
        <f>""</f>
        <v/>
      </c>
      <c r="H586" t="str">
        <f>"INV 1950165"</f>
        <v>INV 1950165</v>
      </c>
    </row>
    <row r="587" spans="1:8" x14ac:dyDescent="0.25">
      <c r="A587" t="s">
        <v>196</v>
      </c>
      <c r="B587">
        <v>131850</v>
      </c>
      <c r="C587" s="5">
        <v>449.67</v>
      </c>
      <c r="D587" s="1">
        <v>43962</v>
      </c>
      <c r="E587" t="str">
        <f>"14716965"</f>
        <v>14716965</v>
      </c>
      <c r="F587" t="str">
        <f>"bill# 14716965"</f>
        <v>bill# 14716965</v>
      </c>
      <c r="G587" s="5">
        <v>449.67</v>
      </c>
      <c r="H587" t="str">
        <f>"Ord# 480616054001"</f>
        <v>Ord# 480616054001</v>
      </c>
    </row>
    <row r="588" spans="1:8" x14ac:dyDescent="0.25">
      <c r="E588" t="str">
        <f>""</f>
        <v/>
      </c>
      <c r="F588" t="str">
        <f>""</f>
        <v/>
      </c>
      <c r="H588" t="str">
        <f>"Ord# 478244548001"</f>
        <v>Ord# 478244548001</v>
      </c>
    </row>
    <row r="589" spans="1:8" x14ac:dyDescent="0.25">
      <c r="E589" t="str">
        <f>""</f>
        <v/>
      </c>
      <c r="F589" t="str">
        <f>""</f>
        <v/>
      </c>
      <c r="H589" t="str">
        <f>"Ord# 478244995001"</f>
        <v>Ord# 478244995001</v>
      </c>
    </row>
    <row r="590" spans="1:8" x14ac:dyDescent="0.25">
      <c r="E590" t="str">
        <f>""</f>
        <v/>
      </c>
      <c r="F590" t="str">
        <f>""</f>
        <v/>
      </c>
      <c r="H590" t="str">
        <f>"Ord# 480646605001"</f>
        <v>Ord# 480646605001</v>
      </c>
    </row>
    <row r="591" spans="1:8" x14ac:dyDescent="0.25">
      <c r="E591" t="str">
        <f>""</f>
        <v/>
      </c>
      <c r="F591" t="str">
        <f>""</f>
        <v/>
      </c>
      <c r="H591" t="str">
        <f>"Ord# 480646960099"</f>
        <v>Ord# 480646960099</v>
      </c>
    </row>
    <row r="592" spans="1:8" x14ac:dyDescent="0.25">
      <c r="A592" t="s">
        <v>196</v>
      </c>
      <c r="B592">
        <v>131966</v>
      </c>
      <c r="C592" s="5">
        <v>446.58</v>
      </c>
      <c r="D592" s="1">
        <v>43977</v>
      </c>
      <c r="E592" t="str">
        <f>"14841298"</f>
        <v>14841298</v>
      </c>
      <c r="F592" t="str">
        <f>"bill# 14841298"</f>
        <v>bill# 14841298</v>
      </c>
      <c r="G592" s="5">
        <v>446.58</v>
      </c>
      <c r="H592" t="str">
        <f>"ord# 489355721001"</f>
        <v>ord# 489355721001</v>
      </c>
    </row>
    <row r="593" spans="1:8" x14ac:dyDescent="0.25">
      <c r="E593" t="str">
        <f>""</f>
        <v/>
      </c>
      <c r="F593" t="str">
        <f>""</f>
        <v/>
      </c>
      <c r="H593" t="str">
        <f>"ord# 489356140001"</f>
        <v>ord# 489356140001</v>
      </c>
    </row>
    <row r="594" spans="1:8" x14ac:dyDescent="0.25">
      <c r="E594" t="str">
        <f>""</f>
        <v/>
      </c>
      <c r="F594" t="str">
        <f>""</f>
        <v/>
      </c>
      <c r="H594" t="str">
        <f>"ord# 491509106001"</f>
        <v>ord# 491509106001</v>
      </c>
    </row>
    <row r="595" spans="1:8" x14ac:dyDescent="0.25">
      <c r="E595" t="str">
        <f>""</f>
        <v/>
      </c>
      <c r="F595" t="str">
        <f>""</f>
        <v/>
      </c>
      <c r="H595" t="str">
        <f>"ord# 491509106002"</f>
        <v>ord# 491509106002</v>
      </c>
    </row>
    <row r="596" spans="1:8" x14ac:dyDescent="0.25">
      <c r="E596" t="str">
        <f>""</f>
        <v/>
      </c>
      <c r="F596" t="str">
        <f>""</f>
        <v/>
      </c>
      <c r="H596" t="str">
        <f>"ord# 489158776001"</f>
        <v>ord# 489158776001</v>
      </c>
    </row>
    <row r="597" spans="1:8" x14ac:dyDescent="0.25">
      <c r="E597" t="str">
        <f>""</f>
        <v/>
      </c>
      <c r="F597" t="str">
        <f>""</f>
        <v/>
      </c>
      <c r="H597" t="str">
        <f>"ord# 489160219001"</f>
        <v>ord# 489160219001</v>
      </c>
    </row>
    <row r="598" spans="1:8" x14ac:dyDescent="0.25">
      <c r="E598" t="str">
        <f>""</f>
        <v/>
      </c>
      <c r="F598" t="str">
        <f>""</f>
        <v/>
      </c>
      <c r="H598" t="str">
        <f>"ord# 489160220001"</f>
        <v>ord# 489160220001</v>
      </c>
    </row>
    <row r="599" spans="1:8" x14ac:dyDescent="0.25">
      <c r="E599" t="str">
        <f>""</f>
        <v/>
      </c>
      <c r="F599" t="str">
        <f>""</f>
        <v/>
      </c>
      <c r="H599" t="str">
        <f>"ord# 489160221001"</f>
        <v>ord# 489160221001</v>
      </c>
    </row>
    <row r="600" spans="1:8" x14ac:dyDescent="0.25">
      <c r="E600" t="str">
        <f>""</f>
        <v/>
      </c>
      <c r="F600" t="str">
        <f>""</f>
        <v/>
      </c>
      <c r="H600" t="str">
        <f>"ord# 491374600001"</f>
        <v>ord# 491374600001</v>
      </c>
    </row>
    <row r="601" spans="1:8" x14ac:dyDescent="0.25">
      <c r="E601" t="str">
        <f>""</f>
        <v/>
      </c>
      <c r="F601" t="str">
        <f>""</f>
        <v/>
      </c>
      <c r="H601" t="str">
        <f>"ord# 491379335001"</f>
        <v>ord# 491379335001</v>
      </c>
    </row>
    <row r="602" spans="1:8" x14ac:dyDescent="0.25">
      <c r="A602" t="s">
        <v>197</v>
      </c>
      <c r="B602">
        <v>131851</v>
      </c>
      <c r="C602" s="5">
        <v>70</v>
      </c>
      <c r="D602" s="1">
        <v>43962</v>
      </c>
      <c r="E602" t="str">
        <f>"287 183"</f>
        <v>287 183</v>
      </c>
      <c r="F602" t="str">
        <f>"DRUG SCREENING"</f>
        <v>DRUG SCREENING</v>
      </c>
      <c r="G602" s="5">
        <v>70</v>
      </c>
      <c r="H602" t="str">
        <f>"DRUG SCREENING"</f>
        <v>DRUG SCREENING</v>
      </c>
    </row>
    <row r="603" spans="1:8" x14ac:dyDescent="0.25">
      <c r="A603" t="s">
        <v>198</v>
      </c>
      <c r="B603">
        <v>131852</v>
      </c>
      <c r="C603" s="5">
        <v>288</v>
      </c>
      <c r="D603" s="1">
        <v>43962</v>
      </c>
      <c r="E603" t="str">
        <f>"1139"</f>
        <v>1139</v>
      </c>
      <c r="F603" t="str">
        <f>"589 COOL WATER-DRAIN CLEANING"</f>
        <v>589 COOL WATER-DRAIN CLEANING</v>
      </c>
      <c r="G603" s="5">
        <v>288</v>
      </c>
      <c r="H603" t="str">
        <f>"589 COOL WATER-DRAIN CLEANING"</f>
        <v>589 COOL WATER-DRAIN CLEANING</v>
      </c>
    </row>
    <row r="604" spans="1:8" x14ac:dyDescent="0.25">
      <c r="A604" t="s">
        <v>199</v>
      </c>
      <c r="B604">
        <v>131853</v>
      </c>
      <c r="C604" s="5">
        <v>1034.45</v>
      </c>
      <c r="D604" s="1">
        <v>43962</v>
      </c>
      <c r="E604" t="str">
        <f>"202005066723"</f>
        <v>202005066723</v>
      </c>
      <c r="F604" t="str">
        <f>"ACCT#0200140783"</f>
        <v>ACCT#0200140783</v>
      </c>
      <c r="G604" s="5">
        <v>1034.45</v>
      </c>
      <c r="H604" t="str">
        <f>"ACCT#0200140783"</f>
        <v>ACCT#0200140783</v>
      </c>
    </row>
    <row r="605" spans="1:8" x14ac:dyDescent="0.25">
      <c r="E605" t="str">
        <f>""</f>
        <v/>
      </c>
      <c r="F605" t="str">
        <f>""</f>
        <v/>
      </c>
      <c r="H605" t="str">
        <f>"ACCT#0200140783"</f>
        <v>ACCT#0200140783</v>
      </c>
    </row>
    <row r="606" spans="1:8" x14ac:dyDescent="0.25">
      <c r="A606" t="s">
        <v>200</v>
      </c>
      <c r="B606">
        <v>131967</v>
      </c>
      <c r="C606" s="5">
        <v>11151.38</v>
      </c>
      <c r="D606" s="1">
        <v>43977</v>
      </c>
      <c r="E606" t="str">
        <f>"IVC00052577"</f>
        <v>IVC00052577</v>
      </c>
      <c r="F606" t="str">
        <f>"ATTNY FEES JAN-MARCH 2020"</f>
        <v>ATTNY FEES JAN-MARCH 2020</v>
      </c>
      <c r="G606" s="5">
        <v>11151.38</v>
      </c>
      <c r="H606" t="str">
        <f>"ATTNY FEES JAN-MARCH 2020"</f>
        <v>ATTNY FEES JAN-MARCH 2020</v>
      </c>
    </row>
    <row r="607" spans="1:8" x14ac:dyDescent="0.25">
      <c r="A607" t="s">
        <v>201</v>
      </c>
      <c r="B607">
        <v>131854</v>
      </c>
      <c r="C607" s="5">
        <v>125</v>
      </c>
      <c r="D607" s="1">
        <v>43962</v>
      </c>
      <c r="E607" t="str">
        <f>"202005056646"</f>
        <v>202005056646</v>
      </c>
      <c r="F607" t="str">
        <f>"REIMBURSE TBLS FEES"</f>
        <v>REIMBURSE TBLS FEES</v>
      </c>
      <c r="G607" s="5">
        <v>125</v>
      </c>
      <c r="H607" t="str">
        <f>"REIMBURSE TBLS FEES"</f>
        <v>REIMBURSE TBLS FEES</v>
      </c>
    </row>
    <row r="608" spans="1:8" x14ac:dyDescent="0.25">
      <c r="A608" t="s">
        <v>202</v>
      </c>
      <c r="B608">
        <v>2573</v>
      </c>
      <c r="C608" s="5">
        <v>1020</v>
      </c>
      <c r="D608" s="1">
        <v>43963</v>
      </c>
      <c r="E608" t="str">
        <f>"202005056671"</f>
        <v>202005056671</v>
      </c>
      <c r="F608" t="str">
        <f>"40109202"</f>
        <v>40109202</v>
      </c>
      <c r="G608" s="5">
        <v>250</v>
      </c>
      <c r="H608" t="str">
        <f>"40109202"</f>
        <v>40109202</v>
      </c>
    </row>
    <row r="609" spans="1:8" x14ac:dyDescent="0.25">
      <c r="E609" t="str">
        <f>"202005056672"</f>
        <v>202005056672</v>
      </c>
      <c r="F609" t="str">
        <f>"43260-1"</f>
        <v>43260-1</v>
      </c>
      <c r="G609" s="5">
        <v>150</v>
      </c>
      <c r="H609" t="str">
        <f>"43260-1"</f>
        <v>43260-1</v>
      </c>
    </row>
    <row r="610" spans="1:8" x14ac:dyDescent="0.25">
      <c r="E610" t="str">
        <f>"202005056673"</f>
        <v>202005056673</v>
      </c>
      <c r="F610" t="str">
        <f>"19-19463"</f>
        <v>19-19463</v>
      </c>
      <c r="G610" s="5">
        <v>175</v>
      </c>
      <c r="H610" t="str">
        <f>"19-19463"</f>
        <v>19-19463</v>
      </c>
    </row>
    <row r="611" spans="1:8" x14ac:dyDescent="0.25">
      <c r="E611" t="str">
        <f>"202005056674"</f>
        <v>202005056674</v>
      </c>
      <c r="F611" t="str">
        <f>"19-19638"</f>
        <v>19-19638</v>
      </c>
      <c r="G611" s="5">
        <v>445</v>
      </c>
      <c r="H611" t="str">
        <f>"19-19638"</f>
        <v>19-19638</v>
      </c>
    </row>
    <row r="612" spans="1:8" x14ac:dyDescent="0.25">
      <c r="A612" t="s">
        <v>202</v>
      </c>
      <c r="B612">
        <v>2644</v>
      </c>
      <c r="C612" s="5">
        <v>560</v>
      </c>
      <c r="D612" s="1">
        <v>43978</v>
      </c>
      <c r="E612" t="str">
        <f>"202005196934"</f>
        <v>202005196934</v>
      </c>
      <c r="F612" t="str">
        <f>"1919948"</f>
        <v>1919948</v>
      </c>
      <c r="G612" s="5">
        <v>317.5</v>
      </c>
      <c r="H612" t="str">
        <f>"1919948"</f>
        <v>1919948</v>
      </c>
    </row>
    <row r="613" spans="1:8" x14ac:dyDescent="0.25">
      <c r="E613" t="str">
        <f>"202005196935"</f>
        <v>202005196935</v>
      </c>
      <c r="F613" t="str">
        <f>"1919740"</f>
        <v>1919740</v>
      </c>
      <c r="G613" s="5">
        <v>242.5</v>
      </c>
      <c r="H613" t="str">
        <f>"1919740"</f>
        <v>1919740</v>
      </c>
    </row>
    <row r="614" spans="1:8" x14ac:dyDescent="0.25">
      <c r="A614" t="s">
        <v>203</v>
      </c>
      <c r="B614">
        <v>131855</v>
      </c>
      <c r="C614" s="5">
        <v>250</v>
      </c>
      <c r="D614" s="1">
        <v>43962</v>
      </c>
      <c r="E614" t="str">
        <f>"202005056707"</f>
        <v>202005056707</v>
      </c>
      <c r="F614" t="str">
        <f>"JP1082620196"</f>
        <v>JP1082620196</v>
      </c>
      <c r="G614" s="5">
        <v>250</v>
      </c>
      <c r="H614" t="str">
        <f>"JP1082620196"</f>
        <v>JP1082620196</v>
      </c>
    </row>
    <row r="615" spans="1:8" x14ac:dyDescent="0.25">
      <c r="A615" t="s">
        <v>204</v>
      </c>
      <c r="B615">
        <v>2556</v>
      </c>
      <c r="C615" s="5">
        <v>596.04</v>
      </c>
      <c r="D615" s="1">
        <v>43963</v>
      </c>
      <c r="E615" t="str">
        <f>"202005066743"</f>
        <v>202005066743</v>
      </c>
      <c r="F615" t="str">
        <f>"ACCT#0005 / PCT#4"</f>
        <v>ACCT#0005 / PCT#4</v>
      </c>
      <c r="G615" s="5">
        <v>596.04</v>
      </c>
      <c r="H615" t="str">
        <f>"ACCT#0005 / PCT#4"</f>
        <v>ACCT#0005 / PCT#4</v>
      </c>
    </row>
    <row r="616" spans="1:8" x14ac:dyDescent="0.25">
      <c r="A616" t="s">
        <v>205</v>
      </c>
      <c r="B616">
        <v>131856</v>
      </c>
      <c r="C616" s="5">
        <v>725</v>
      </c>
      <c r="D616" s="1">
        <v>43962</v>
      </c>
      <c r="E616" t="str">
        <f>"202004286620"</f>
        <v>202004286620</v>
      </c>
      <c r="F616" t="str">
        <f>"BRM ANNUAL MAINT/PERMIT#10001"</f>
        <v>BRM ANNUAL MAINT/PERMIT#10001</v>
      </c>
      <c r="G616" s="5">
        <v>725</v>
      </c>
      <c r="H616" t="str">
        <f>"BRM ANNUAL MAINT/PERMIT#10001"</f>
        <v>BRM ANNUAL MAINT/PERMIT#10001</v>
      </c>
    </row>
    <row r="617" spans="1:8" x14ac:dyDescent="0.25">
      <c r="A617" t="s">
        <v>205</v>
      </c>
      <c r="B617">
        <v>131857</v>
      </c>
      <c r="C617" s="5">
        <v>226</v>
      </c>
      <c r="D617" s="1">
        <v>43962</v>
      </c>
      <c r="E617" t="str">
        <f>"202004286622"</f>
        <v>202004286622</v>
      </c>
      <c r="F617" t="str">
        <f>"BOX #770/DITRICT CLERK"</f>
        <v>BOX #770/DITRICT CLERK</v>
      </c>
      <c r="G617" s="5">
        <v>226</v>
      </c>
      <c r="H617" t="str">
        <f>"BOX #770/DITRICT CLERK"</f>
        <v>BOX #770/DITRICT CLERK</v>
      </c>
    </row>
    <row r="618" spans="1:8" x14ac:dyDescent="0.25">
      <c r="A618" t="s">
        <v>205</v>
      </c>
      <c r="B618">
        <v>131858</v>
      </c>
      <c r="C618" s="5">
        <v>130</v>
      </c>
      <c r="D618" s="1">
        <v>43962</v>
      </c>
      <c r="E618" t="str">
        <f>"202005066731"</f>
        <v>202005066731</v>
      </c>
      <c r="F618" t="str">
        <f>"BOX#336/JP PRECINCT 1"</f>
        <v>BOX#336/JP PRECINCT 1</v>
      </c>
      <c r="G618" s="5">
        <v>130</v>
      </c>
      <c r="H618" t="str">
        <f>"BOX#336/JP PRECINCT 1"</f>
        <v>BOX#336/JP PRECINCT 1</v>
      </c>
    </row>
    <row r="619" spans="1:8" x14ac:dyDescent="0.25">
      <c r="A619" t="s">
        <v>206</v>
      </c>
      <c r="B619">
        <v>131901</v>
      </c>
      <c r="C619" s="5">
        <v>131.54</v>
      </c>
      <c r="D619" s="1">
        <v>43970</v>
      </c>
      <c r="E619" t="str">
        <f>"215416"</f>
        <v>215416</v>
      </c>
      <c r="F619" t="str">
        <f>"PARTS/PCT#1"</f>
        <v>PARTS/PCT#1</v>
      </c>
      <c r="G619" s="5">
        <v>131.54</v>
      </c>
      <c r="H619" t="str">
        <f>"PARTS/PCT#1"</f>
        <v>PARTS/PCT#1</v>
      </c>
    </row>
    <row r="620" spans="1:8" x14ac:dyDescent="0.25">
      <c r="A620" t="s">
        <v>207</v>
      </c>
      <c r="B620">
        <v>131859</v>
      </c>
      <c r="C620" s="5">
        <v>2201</v>
      </c>
      <c r="D620" s="1">
        <v>43962</v>
      </c>
      <c r="E620" t="str">
        <f>"2020035"</f>
        <v>2020035</v>
      </c>
      <c r="F620" t="str">
        <f>"TRANSPORT-A. R. NEIMAN"</f>
        <v>TRANSPORT-A. R. NEIMAN</v>
      </c>
      <c r="G620" s="5">
        <v>716</v>
      </c>
      <c r="H620" t="str">
        <f>"TRANSPORT-A. R. NEIMAN"</f>
        <v>TRANSPORT-A. R. NEIMAN</v>
      </c>
    </row>
    <row r="621" spans="1:8" x14ac:dyDescent="0.25">
      <c r="E621" t="str">
        <f>"2020036"</f>
        <v>2020036</v>
      </c>
      <c r="F621" t="str">
        <f>"TRANSPORT-K. HEINZKE"</f>
        <v>TRANSPORT-K. HEINZKE</v>
      </c>
      <c r="G621" s="5">
        <v>495</v>
      </c>
      <c r="H621" t="str">
        <f>"TRANSPORT-K. HEINZKE"</f>
        <v>TRANSPORT-K. HEINZKE</v>
      </c>
    </row>
    <row r="622" spans="1:8" x14ac:dyDescent="0.25">
      <c r="E622" t="str">
        <f>"2020038"</f>
        <v>2020038</v>
      </c>
      <c r="F622" t="str">
        <f>"TRANSPORT-N. BUENROSTRO"</f>
        <v>TRANSPORT-N. BUENROSTRO</v>
      </c>
      <c r="G622" s="5">
        <v>495</v>
      </c>
      <c r="H622" t="str">
        <f>"TRANSPORT-N. BUENROSTRO"</f>
        <v>TRANSPORT-N. BUENROSTRO</v>
      </c>
    </row>
    <row r="623" spans="1:8" x14ac:dyDescent="0.25">
      <c r="E623" t="str">
        <f>"2020041"</f>
        <v>2020041</v>
      </c>
      <c r="F623" t="str">
        <f>"TRANSPORT-J. R. MORALES"</f>
        <v>TRANSPORT-J. R. MORALES</v>
      </c>
      <c r="G623" s="5">
        <v>495</v>
      </c>
      <c r="H623" t="str">
        <f>"TRANSPORT-J. R. MORALES"</f>
        <v>TRANSPORT-J. R. MORALES</v>
      </c>
    </row>
    <row r="624" spans="1:8" x14ac:dyDescent="0.25">
      <c r="A624" t="s">
        <v>207</v>
      </c>
      <c r="B624">
        <v>131968</v>
      </c>
      <c r="C624" s="5">
        <v>2180</v>
      </c>
      <c r="D624" s="1">
        <v>43977</v>
      </c>
      <c r="E624" t="str">
        <f>"2020057"</f>
        <v>2020057</v>
      </c>
      <c r="F624" t="str">
        <f>"TRANSPORT - R. WRIGHT"</f>
        <v>TRANSPORT - R. WRIGHT</v>
      </c>
      <c r="G624" s="5">
        <v>495</v>
      </c>
      <c r="H624" t="str">
        <f>"TRANSPORT - R. WRIGHT"</f>
        <v>TRANSPORT - R. WRIGHT</v>
      </c>
    </row>
    <row r="625" spans="1:8" x14ac:dyDescent="0.25">
      <c r="E625" t="str">
        <f>"2020059"</f>
        <v>2020059</v>
      </c>
      <c r="F625" t="str">
        <f>"TRANSPORT - G. MORTON"</f>
        <v>TRANSPORT - G. MORTON</v>
      </c>
      <c r="G625" s="5">
        <v>495</v>
      </c>
      <c r="H625" t="str">
        <f>"TRANSPORT - G. MORTON"</f>
        <v>TRANSPORT - G. MORTON</v>
      </c>
    </row>
    <row r="626" spans="1:8" x14ac:dyDescent="0.25">
      <c r="E626" t="str">
        <f>"2020062"</f>
        <v>2020062</v>
      </c>
      <c r="F626" t="str">
        <f>"TRANSPORT - E. WALKER"</f>
        <v>TRANSPORT - E. WALKER</v>
      </c>
      <c r="G626" s="5">
        <v>495</v>
      </c>
      <c r="H626" t="str">
        <f>"TRANSPORT - E. WALKER"</f>
        <v>TRANSPORT - E. WALKER</v>
      </c>
    </row>
    <row r="627" spans="1:8" x14ac:dyDescent="0.25">
      <c r="E627" t="str">
        <f>"2020065"</f>
        <v>2020065</v>
      </c>
      <c r="F627" t="str">
        <f>"TRANSPORT - E.G. WALKER"</f>
        <v>TRANSPORT - E.G. WALKER</v>
      </c>
      <c r="G627" s="5">
        <v>695</v>
      </c>
      <c r="H627" t="str">
        <f>"TRANSPORT - E.G. WALKER"</f>
        <v>TRANSPORT - E.G. WALKER</v>
      </c>
    </row>
    <row r="628" spans="1:8" x14ac:dyDescent="0.25">
      <c r="A628" t="s">
        <v>208</v>
      </c>
      <c r="B628">
        <v>131969</v>
      </c>
      <c r="C628" s="5">
        <v>448</v>
      </c>
      <c r="D628" s="1">
        <v>43977</v>
      </c>
      <c r="E628" t="str">
        <f>"330804"</f>
        <v>330804</v>
      </c>
      <c r="F628" t="str">
        <f>"FIRE EXTINGUISHER/PCT#3"</f>
        <v>FIRE EXTINGUISHER/PCT#3</v>
      </c>
      <c r="G628" s="5">
        <v>448</v>
      </c>
      <c r="H628" t="str">
        <f>"FIRE EXTINGUISHER/PCT#3"</f>
        <v>FIRE EXTINGUISHER/PCT#3</v>
      </c>
    </row>
    <row r="629" spans="1:8" x14ac:dyDescent="0.25">
      <c r="A629" t="s">
        <v>209</v>
      </c>
      <c r="B629">
        <v>131860</v>
      </c>
      <c r="C629" s="5">
        <v>2000</v>
      </c>
      <c r="D629" s="1">
        <v>43962</v>
      </c>
      <c r="E629" t="str">
        <f>"5078"</f>
        <v>5078</v>
      </c>
      <c r="F629" t="str">
        <f>"PATH ALIGNMENT"</f>
        <v>PATH ALIGNMENT</v>
      </c>
      <c r="G629" s="5">
        <v>2000</v>
      </c>
      <c r="H629" t="str">
        <f>"PATH ALIGNMENT"</f>
        <v>PATH ALIGNMENT</v>
      </c>
    </row>
    <row r="630" spans="1:8" x14ac:dyDescent="0.25">
      <c r="A630" t="s">
        <v>210</v>
      </c>
      <c r="B630">
        <v>131861</v>
      </c>
      <c r="C630" s="5">
        <v>165</v>
      </c>
      <c r="D630" s="1">
        <v>43962</v>
      </c>
      <c r="E630" t="str">
        <f>"133320"</f>
        <v>133320</v>
      </c>
      <c r="F630" t="str">
        <f>"MOBNETIC PRO/MILE COUNTER/P1"</f>
        <v>MOBNETIC PRO/MILE COUNTER/P1</v>
      </c>
      <c r="G630" s="5">
        <v>165</v>
      </c>
      <c r="H630" t="str">
        <f>"MOBNETIC PRO/MILE COUNTER/P1"</f>
        <v>MOBNETIC PRO/MILE COUNTER/P1</v>
      </c>
    </row>
    <row r="631" spans="1:8" x14ac:dyDescent="0.25">
      <c r="A631" t="s">
        <v>211</v>
      </c>
      <c r="B631">
        <v>131970</v>
      </c>
      <c r="C631" s="5">
        <v>6500</v>
      </c>
      <c r="D631" s="1">
        <v>43977</v>
      </c>
      <c r="E631" t="str">
        <f>"202005206972"</f>
        <v>202005206972</v>
      </c>
      <c r="F631" t="str">
        <f>"VET SURG SVCS APRIL 23-MAY 5"</f>
        <v>VET SURG SVCS APRIL 23-MAY 5</v>
      </c>
      <c r="G631" s="5">
        <v>2500</v>
      </c>
      <c r="H631" t="str">
        <f>"VET SURG SVCS APRIL 23-MAY 5"</f>
        <v>VET SURG SVCS APRIL 23-MAY 5</v>
      </c>
    </row>
    <row r="632" spans="1:8" x14ac:dyDescent="0.25">
      <c r="E632" t="str">
        <f>"202005206973"</f>
        <v>202005206973</v>
      </c>
      <c r="F632" t="str">
        <f>"VET SURG SVCS MAY 7-MAY 19"</f>
        <v>VET SURG SVCS MAY 7-MAY 19</v>
      </c>
      <c r="G632" s="5">
        <v>4000</v>
      </c>
      <c r="H632" t="str">
        <f>"VET SURG SVCS MAY 7-MAY 19"</f>
        <v>VET SURG SVCS MAY 7-MAY 19</v>
      </c>
    </row>
    <row r="633" spans="1:8" x14ac:dyDescent="0.25">
      <c r="A633" t="s">
        <v>212</v>
      </c>
      <c r="B633">
        <v>131899</v>
      </c>
      <c r="C633" s="5">
        <v>1417.86</v>
      </c>
      <c r="D633" s="1">
        <v>43965</v>
      </c>
      <c r="E633" t="str">
        <f>"112 011 487 576 3"</f>
        <v>112 011 487 576 3</v>
      </c>
      <c r="F633" t="str">
        <f>"ACCT#15 070 712-3 / 05062020"</f>
        <v>ACCT#15 070 712-3 / 05062020</v>
      </c>
      <c r="G633" s="5">
        <v>17.95</v>
      </c>
      <c r="H633" t="str">
        <f>"ACCT#15 070 712-3 / 05062020"</f>
        <v>ACCT#15 070 712-3 / 05062020</v>
      </c>
    </row>
    <row r="634" spans="1:8" x14ac:dyDescent="0.25">
      <c r="E634" t="str">
        <f>"112 011 487 577 1"</f>
        <v>112 011 487 577 1</v>
      </c>
      <c r="F634" t="str">
        <f>"ACCT#15 070 713-1 / 05062020"</f>
        <v>ACCT#15 070 713-1 / 05062020</v>
      </c>
      <c r="G634" s="5">
        <v>21.49</v>
      </c>
      <c r="H634" t="str">
        <f>"ACCT#15 070 713-1 / 05062020"</f>
        <v>ACCT#15 070 713-1 / 05062020</v>
      </c>
    </row>
    <row r="635" spans="1:8" x14ac:dyDescent="0.25">
      <c r="E635" t="str">
        <f>"118 007 172 412 3"</f>
        <v>118 007 172 412 3</v>
      </c>
      <c r="F635" t="str">
        <f>"ACCT#15 072 199-1 / 05012020"</f>
        <v>ACCT#15 072 199-1 / 05012020</v>
      </c>
      <c r="G635" s="5">
        <v>84.57</v>
      </c>
      <c r="H635" t="str">
        <f>"ACCT#15 072 199-1 / 05012020"</f>
        <v>ACCT#15 072 199-1 / 05012020</v>
      </c>
    </row>
    <row r="636" spans="1:8" x14ac:dyDescent="0.25">
      <c r="E636" t="str">
        <f>"118 007 172 413 1"</f>
        <v>118 007 172 413 1</v>
      </c>
      <c r="F636" t="str">
        <f>"ACCT#15 072 201-5 / 05012020"</f>
        <v>ACCT#15 072 201-5 / 05012020</v>
      </c>
      <c r="G636" s="5">
        <v>423.15</v>
      </c>
      <c r="H636" t="str">
        <f>"ACCT#15 072 201-5 / 05012020"</f>
        <v>ACCT#15 072 201-5 / 05012020</v>
      </c>
    </row>
    <row r="637" spans="1:8" x14ac:dyDescent="0.25">
      <c r="E637" t="str">
        <f>"118 007 172 414 9"</f>
        <v>118 007 172 414 9</v>
      </c>
      <c r="F637" t="str">
        <f>"ACCT#15 072 202-3 / 05012020"</f>
        <v>ACCT#15 072 202-3 / 05012020</v>
      </c>
      <c r="G637" s="5">
        <v>31.09</v>
      </c>
      <c r="H637" t="str">
        <f>"ACCT#15 072 202-3 / 05012020"</f>
        <v>ACCT#15 072 202-3 / 05012020</v>
      </c>
    </row>
    <row r="638" spans="1:8" x14ac:dyDescent="0.25">
      <c r="E638" t="str">
        <f>"118 007 172 415 6"</f>
        <v>118 007 172 415 6</v>
      </c>
      <c r="F638" t="str">
        <f>"ACCT#15 072 203-1 / 05012020"</f>
        <v>ACCT#15 072 203-1 / 05012020</v>
      </c>
      <c r="G638" s="5">
        <v>14.94</v>
      </c>
      <c r="H638" t="str">
        <f>"ACCT#15 072 203-1 / 05012020"</f>
        <v>ACCT#15 072 203-1 / 05012020</v>
      </c>
    </row>
    <row r="639" spans="1:8" x14ac:dyDescent="0.25">
      <c r="E639" t="str">
        <f>"119 007 019 033 3"</f>
        <v>119 007 019 033 3</v>
      </c>
      <c r="F639" t="str">
        <f>"ACCT#15 072 200-7 / 04302020"</f>
        <v>ACCT#15 072 200-7 / 04302020</v>
      </c>
      <c r="G639" s="5">
        <v>176.74</v>
      </c>
      <c r="H639" t="str">
        <f>"ACCT#15 072 200-7 / 04302020"</f>
        <v>ACCT#15 072 200-7 / 04302020</v>
      </c>
    </row>
    <row r="640" spans="1:8" x14ac:dyDescent="0.25">
      <c r="E640" t="str">
        <f>"119 007 019 034 1"</f>
        <v>119 007 019 034 1</v>
      </c>
      <c r="F640" t="str">
        <f>"ACCT#15 072 204-9 / 04302020"</f>
        <v>ACCT#15 072 204-9 / 04302020</v>
      </c>
      <c r="G640" s="5">
        <v>274.86</v>
      </c>
      <c r="H640" t="str">
        <f>"ACCT#15 072 204-9 / 04302020"</f>
        <v>ACCT#15 072 204-9 / 04302020</v>
      </c>
    </row>
    <row r="641" spans="1:8" x14ac:dyDescent="0.25">
      <c r="E641" t="str">
        <f>"305 000 544 114 4"</f>
        <v>305 000 544 114 4</v>
      </c>
      <c r="F641" t="str">
        <f>"ACCT#15 069 451-1 / 04282020"</f>
        <v>ACCT#15 069 451-1 / 04282020</v>
      </c>
      <c r="G641" s="5">
        <v>373.07</v>
      </c>
      <c r="H641" t="str">
        <f>"ACCT#15 069 451-1 / 04282020"</f>
        <v>ACCT#15 069 451-1 / 04282020</v>
      </c>
    </row>
    <row r="642" spans="1:8" x14ac:dyDescent="0.25">
      <c r="A642" t="s">
        <v>213</v>
      </c>
      <c r="B642">
        <v>2576</v>
      </c>
      <c r="C642" s="5">
        <v>375</v>
      </c>
      <c r="D642" s="1">
        <v>43963</v>
      </c>
      <c r="E642" t="str">
        <f>"202005056706"</f>
        <v>202005056706</v>
      </c>
      <c r="F642" t="str">
        <f>"56 914  56 915"</f>
        <v>56 914  56 915</v>
      </c>
      <c r="G642" s="5">
        <v>375</v>
      </c>
      <c r="H642" t="str">
        <f>"56 914  56 915"</f>
        <v>56 914  56 915</v>
      </c>
    </row>
    <row r="643" spans="1:8" x14ac:dyDescent="0.25">
      <c r="A643" t="s">
        <v>214</v>
      </c>
      <c r="B643">
        <v>131862</v>
      </c>
      <c r="C643" s="5">
        <v>759.32</v>
      </c>
      <c r="D643" s="1">
        <v>43962</v>
      </c>
      <c r="E643" t="str">
        <f>"360232"</f>
        <v>360232</v>
      </c>
      <c r="F643" t="str">
        <f>"CUST#3510/PCT#4"</f>
        <v>CUST#3510/PCT#4</v>
      </c>
      <c r="G643" s="5">
        <v>634.32000000000005</v>
      </c>
      <c r="H643" t="str">
        <f>"CUST#3510/PCT#4"</f>
        <v>CUST#3510/PCT#4</v>
      </c>
    </row>
    <row r="644" spans="1:8" x14ac:dyDescent="0.25">
      <c r="E644" t="str">
        <f>"360422"</f>
        <v>360422</v>
      </c>
      <c r="F644" t="str">
        <f>"CUST#3510/11 FORD/PCT#4"</f>
        <v>CUST#3510/11 FORD/PCT#4</v>
      </c>
      <c r="G644" s="5">
        <v>125</v>
      </c>
      <c r="H644" t="str">
        <f>"CUST#3510/11 FORD/PCT#4"</f>
        <v>CUST#3510/11 FORD/PCT#4</v>
      </c>
    </row>
    <row r="645" spans="1:8" x14ac:dyDescent="0.25">
      <c r="A645" t="s">
        <v>215</v>
      </c>
      <c r="B645">
        <v>131863</v>
      </c>
      <c r="C645" s="5">
        <v>1250</v>
      </c>
      <c r="D645" s="1">
        <v>43962</v>
      </c>
      <c r="E645" t="str">
        <f>"202005056693"</f>
        <v>202005056693</v>
      </c>
      <c r="F645" t="str">
        <f>"16 905"</f>
        <v>16 905</v>
      </c>
      <c r="G645" s="5">
        <v>750</v>
      </c>
      <c r="H645" t="str">
        <f>"16 905"</f>
        <v>16 905</v>
      </c>
    </row>
    <row r="646" spans="1:8" x14ac:dyDescent="0.25">
      <c r="E646" t="str">
        <f>"202005056694"</f>
        <v>202005056694</v>
      </c>
      <c r="F646" t="str">
        <f>"17 075"</f>
        <v>17 075</v>
      </c>
      <c r="G646" s="5">
        <v>500</v>
      </c>
      <c r="H646" t="str">
        <f>"17 075"</f>
        <v>17 075</v>
      </c>
    </row>
    <row r="647" spans="1:8" x14ac:dyDescent="0.25">
      <c r="A647" t="s">
        <v>216</v>
      </c>
      <c r="B647">
        <v>2604</v>
      </c>
      <c r="C647" s="5">
        <v>7068.99</v>
      </c>
      <c r="D647" s="1">
        <v>43978</v>
      </c>
      <c r="E647" t="str">
        <f>"5059468207"</f>
        <v>5059468207</v>
      </c>
      <c r="F647" t="str">
        <f>"CUST#12847097/CONT#4896380"</f>
        <v>CUST#12847097/CONT#4896380</v>
      </c>
      <c r="G647" s="5">
        <v>6900.31</v>
      </c>
      <c r="H647" t="str">
        <f t="shared" ref="H647:H677" si="11">"CUST#12847097/CONT#4896380"</f>
        <v>CUST#12847097/CONT#4896380</v>
      </c>
    </row>
    <row r="648" spans="1:8" x14ac:dyDescent="0.25">
      <c r="E648" t="str">
        <f>""</f>
        <v/>
      </c>
      <c r="F648" t="str">
        <f>""</f>
        <v/>
      </c>
      <c r="H648" t="str">
        <f t="shared" si="11"/>
        <v>CUST#12847097/CONT#4896380</v>
      </c>
    </row>
    <row r="649" spans="1:8" x14ac:dyDescent="0.25">
      <c r="E649" t="str">
        <f>""</f>
        <v/>
      </c>
      <c r="F649" t="str">
        <f>""</f>
        <v/>
      </c>
      <c r="H649" t="str">
        <f t="shared" si="11"/>
        <v>CUST#12847097/CONT#4896380</v>
      </c>
    </row>
    <row r="650" spans="1:8" x14ac:dyDescent="0.25">
      <c r="E650" t="str">
        <f>""</f>
        <v/>
      </c>
      <c r="F650" t="str">
        <f>""</f>
        <v/>
      </c>
      <c r="H650" t="str">
        <f t="shared" si="11"/>
        <v>CUST#12847097/CONT#4896380</v>
      </c>
    </row>
    <row r="651" spans="1:8" x14ac:dyDescent="0.25">
      <c r="E651" t="str">
        <f>""</f>
        <v/>
      </c>
      <c r="F651" t="str">
        <f>""</f>
        <v/>
      </c>
      <c r="H651" t="str">
        <f t="shared" si="11"/>
        <v>CUST#12847097/CONT#4896380</v>
      </c>
    </row>
    <row r="652" spans="1:8" x14ac:dyDescent="0.25">
      <c r="E652" t="str">
        <f>""</f>
        <v/>
      </c>
      <c r="F652" t="str">
        <f>""</f>
        <v/>
      </c>
      <c r="H652" t="str">
        <f t="shared" si="11"/>
        <v>CUST#12847097/CONT#4896380</v>
      </c>
    </row>
    <row r="653" spans="1:8" x14ac:dyDescent="0.25">
      <c r="E653" t="str">
        <f>""</f>
        <v/>
      </c>
      <c r="F653" t="str">
        <f>""</f>
        <v/>
      </c>
      <c r="H653" t="str">
        <f t="shared" si="11"/>
        <v>CUST#12847097/CONT#4896380</v>
      </c>
    </row>
    <row r="654" spans="1:8" x14ac:dyDescent="0.25">
      <c r="E654" t="str">
        <f>""</f>
        <v/>
      </c>
      <c r="F654" t="str">
        <f>""</f>
        <v/>
      </c>
      <c r="H654" t="str">
        <f t="shared" si="11"/>
        <v>CUST#12847097/CONT#4896380</v>
      </c>
    </row>
    <row r="655" spans="1:8" x14ac:dyDescent="0.25">
      <c r="E655" t="str">
        <f>""</f>
        <v/>
      </c>
      <c r="F655" t="str">
        <f>""</f>
        <v/>
      </c>
      <c r="H655" t="str">
        <f t="shared" si="11"/>
        <v>CUST#12847097/CONT#4896380</v>
      </c>
    </row>
    <row r="656" spans="1:8" x14ac:dyDescent="0.25">
      <c r="E656" t="str">
        <f>""</f>
        <v/>
      </c>
      <c r="F656" t="str">
        <f>""</f>
        <v/>
      </c>
      <c r="H656" t="str">
        <f t="shared" si="11"/>
        <v>CUST#12847097/CONT#4896380</v>
      </c>
    </row>
    <row r="657" spans="5:8" x14ac:dyDescent="0.25">
      <c r="E657" t="str">
        <f>""</f>
        <v/>
      </c>
      <c r="F657" t="str">
        <f>""</f>
        <v/>
      </c>
      <c r="H657" t="str">
        <f t="shared" si="11"/>
        <v>CUST#12847097/CONT#4896380</v>
      </c>
    </row>
    <row r="658" spans="5:8" x14ac:dyDescent="0.25">
      <c r="E658" t="str">
        <f>""</f>
        <v/>
      </c>
      <c r="F658" t="str">
        <f>""</f>
        <v/>
      </c>
      <c r="H658" t="str">
        <f t="shared" si="11"/>
        <v>CUST#12847097/CONT#4896380</v>
      </c>
    </row>
    <row r="659" spans="5:8" x14ac:dyDescent="0.25">
      <c r="E659" t="str">
        <f>""</f>
        <v/>
      </c>
      <c r="F659" t="str">
        <f>""</f>
        <v/>
      </c>
      <c r="H659" t="str">
        <f t="shared" si="11"/>
        <v>CUST#12847097/CONT#4896380</v>
      </c>
    </row>
    <row r="660" spans="5:8" x14ac:dyDescent="0.25">
      <c r="E660" t="str">
        <f>""</f>
        <v/>
      </c>
      <c r="F660" t="str">
        <f>""</f>
        <v/>
      </c>
      <c r="H660" t="str">
        <f t="shared" si="11"/>
        <v>CUST#12847097/CONT#4896380</v>
      </c>
    </row>
    <row r="661" spans="5:8" x14ac:dyDescent="0.25">
      <c r="E661" t="str">
        <f>""</f>
        <v/>
      </c>
      <c r="F661" t="str">
        <f>""</f>
        <v/>
      </c>
      <c r="H661" t="str">
        <f t="shared" si="11"/>
        <v>CUST#12847097/CONT#4896380</v>
      </c>
    </row>
    <row r="662" spans="5:8" x14ac:dyDescent="0.25">
      <c r="E662" t="str">
        <f>""</f>
        <v/>
      </c>
      <c r="F662" t="str">
        <f>""</f>
        <v/>
      </c>
      <c r="H662" t="str">
        <f t="shared" si="11"/>
        <v>CUST#12847097/CONT#4896380</v>
      </c>
    </row>
    <row r="663" spans="5:8" x14ac:dyDescent="0.25">
      <c r="E663" t="str">
        <f>""</f>
        <v/>
      </c>
      <c r="F663" t="str">
        <f>""</f>
        <v/>
      </c>
      <c r="H663" t="str">
        <f t="shared" si="11"/>
        <v>CUST#12847097/CONT#4896380</v>
      </c>
    </row>
    <row r="664" spans="5:8" x14ac:dyDescent="0.25">
      <c r="E664" t="str">
        <f>""</f>
        <v/>
      </c>
      <c r="F664" t="str">
        <f>""</f>
        <v/>
      </c>
      <c r="H664" t="str">
        <f t="shared" si="11"/>
        <v>CUST#12847097/CONT#4896380</v>
      </c>
    </row>
    <row r="665" spans="5:8" x14ac:dyDescent="0.25">
      <c r="E665" t="str">
        <f>""</f>
        <v/>
      </c>
      <c r="F665" t="str">
        <f>""</f>
        <v/>
      </c>
      <c r="H665" t="str">
        <f t="shared" si="11"/>
        <v>CUST#12847097/CONT#4896380</v>
      </c>
    </row>
    <row r="666" spans="5:8" x14ac:dyDescent="0.25">
      <c r="E666" t="str">
        <f>""</f>
        <v/>
      </c>
      <c r="F666" t="str">
        <f>""</f>
        <v/>
      </c>
      <c r="H666" t="str">
        <f t="shared" si="11"/>
        <v>CUST#12847097/CONT#4896380</v>
      </c>
    </row>
    <row r="667" spans="5:8" x14ac:dyDescent="0.25">
      <c r="E667" t="str">
        <f>""</f>
        <v/>
      </c>
      <c r="F667" t="str">
        <f>""</f>
        <v/>
      </c>
      <c r="H667" t="str">
        <f t="shared" si="11"/>
        <v>CUST#12847097/CONT#4896380</v>
      </c>
    </row>
    <row r="668" spans="5:8" x14ac:dyDescent="0.25">
      <c r="E668" t="str">
        <f>""</f>
        <v/>
      </c>
      <c r="F668" t="str">
        <f>""</f>
        <v/>
      </c>
      <c r="H668" t="str">
        <f t="shared" si="11"/>
        <v>CUST#12847097/CONT#4896380</v>
      </c>
    </row>
    <row r="669" spans="5:8" x14ac:dyDescent="0.25">
      <c r="E669" t="str">
        <f>""</f>
        <v/>
      </c>
      <c r="F669" t="str">
        <f>""</f>
        <v/>
      </c>
      <c r="H669" t="str">
        <f t="shared" si="11"/>
        <v>CUST#12847097/CONT#4896380</v>
      </c>
    </row>
    <row r="670" spans="5:8" x14ac:dyDescent="0.25">
      <c r="E670" t="str">
        <f>""</f>
        <v/>
      </c>
      <c r="F670" t="str">
        <f>""</f>
        <v/>
      </c>
      <c r="H670" t="str">
        <f t="shared" si="11"/>
        <v>CUST#12847097/CONT#4896380</v>
      </c>
    </row>
    <row r="671" spans="5:8" x14ac:dyDescent="0.25">
      <c r="E671" t="str">
        <f>""</f>
        <v/>
      </c>
      <c r="F671" t="str">
        <f>""</f>
        <v/>
      </c>
      <c r="H671" t="str">
        <f t="shared" si="11"/>
        <v>CUST#12847097/CONT#4896380</v>
      </c>
    </row>
    <row r="672" spans="5:8" x14ac:dyDescent="0.25">
      <c r="E672" t="str">
        <f>""</f>
        <v/>
      </c>
      <c r="F672" t="str">
        <f>""</f>
        <v/>
      </c>
      <c r="H672" t="str">
        <f t="shared" si="11"/>
        <v>CUST#12847097/CONT#4896380</v>
      </c>
    </row>
    <row r="673" spans="1:8" x14ac:dyDescent="0.25">
      <c r="E673" t="str">
        <f>""</f>
        <v/>
      </c>
      <c r="F673" t="str">
        <f>""</f>
        <v/>
      </c>
      <c r="H673" t="str">
        <f t="shared" si="11"/>
        <v>CUST#12847097/CONT#4896380</v>
      </c>
    </row>
    <row r="674" spans="1:8" x14ac:dyDescent="0.25">
      <c r="E674" t="str">
        <f>""</f>
        <v/>
      </c>
      <c r="F674" t="str">
        <f>""</f>
        <v/>
      </c>
      <c r="H674" t="str">
        <f t="shared" si="11"/>
        <v>CUST#12847097/CONT#4896380</v>
      </c>
    </row>
    <row r="675" spans="1:8" x14ac:dyDescent="0.25">
      <c r="E675" t="str">
        <f>""</f>
        <v/>
      </c>
      <c r="F675" t="str">
        <f>""</f>
        <v/>
      </c>
      <c r="H675" t="str">
        <f t="shared" si="11"/>
        <v>CUST#12847097/CONT#4896380</v>
      </c>
    </row>
    <row r="676" spans="1:8" x14ac:dyDescent="0.25">
      <c r="E676" t="str">
        <f>""</f>
        <v/>
      </c>
      <c r="F676" t="str">
        <f>""</f>
        <v/>
      </c>
      <c r="H676" t="str">
        <f t="shared" si="11"/>
        <v>CUST#12847097/CONT#4896380</v>
      </c>
    </row>
    <row r="677" spans="1:8" x14ac:dyDescent="0.25">
      <c r="E677" t="str">
        <f>"5059468207-P2"</f>
        <v>5059468207-P2</v>
      </c>
      <c r="F677" t="str">
        <f>"CUST#12847097/CONT#4896380"</f>
        <v>CUST#12847097/CONT#4896380</v>
      </c>
      <c r="G677" s="5">
        <v>168.68</v>
      </c>
      <c r="H677" t="str">
        <f t="shared" si="11"/>
        <v>CUST#12847097/CONT#4896380</v>
      </c>
    </row>
    <row r="678" spans="1:8" x14ac:dyDescent="0.25">
      <c r="A678" t="s">
        <v>217</v>
      </c>
      <c r="B678">
        <v>131864</v>
      </c>
      <c r="C678" s="5">
        <v>9281.67</v>
      </c>
      <c r="D678" s="1">
        <v>43962</v>
      </c>
      <c r="E678" t="str">
        <f>"35211408"</f>
        <v>35211408</v>
      </c>
      <c r="F678" t="str">
        <f>"CUST#2000172616"</f>
        <v>CUST#2000172616</v>
      </c>
      <c r="G678" s="5">
        <v>9281.67</v>
      </c>
      <c r="H678" t="str">
        <f t="shared" ref="H678:H708" si="12">"CUST#2000172616"</f>
        <v>CUST#2000172616</v>
      </c>
    </row>
    <row r="679" spans="1:8" x14ac:dyDescent="0.25">
      <c r="E679" t="str">
        <f>""</f>
        <v/>
      </c>
      <c r="F679" t="str">
        <f>""</f>
        <v/>
      </c>
      <c r="H679" t="str">
        <f t="shared" si="12"/>
        <v>CUST#2000172616</v>
      </c>
    </row>
    <row r="680" spans="1:8" x14ac:dyDescent="0.25">
      <c r="E680" t="str">
        <f>""</f>
        <v/>
      </c>
      <c r="F680" t="str">
        <f>""</f>
        <v/>
      </c>
      <c r="H680" t="str">
        <f t="shared" si="12"/>
        <v>CUST#2000172616</v>
      </c>
    </row>
    <row r="681" spans="1:8" x14ac:dyDescent="0.25">
      <c r="E681" t="str">
        <f>""</f>
        <v/>
      </c>
      <c r="F681" t="str">
        <f>""</f>
        <v/>
      </c>
      <c r="H681" t="str">
        <f t="shared" si="12"/>
        <v>CUST#2000172616</v>
      </c>
    </row>
    <row r="682" spans="1:8" x14ac:dyDescent="0.25">
      <c r="E682" t="str">
        <f>""</f>
        <v/>
      </c>
      <c r="F682" t="str">
        <f>""</f>
        <v/>
      </c>
      <c r="H682" t="str">
        <f t="shared" si="12"/>
        <v>CUST#2000172616</v>
      </c>
    </row>
    <row r="683" spans="1:8" x14ac:dyDescent="0.25">
      <c r="E683" t="str">
        <f>""</f>
        <v/>
      </c>
      <c r="F683" t="str">
        <f>""</f>
        <v/>
      </c>
      <c r="H683" t="str">
        <f t="shared" si="12"/>
        <v>CUST#2000172616</v>
      </c>
    </row>
    <row r="684" spans="1:8" x14ac:dyDescent="0.25">
      <c r="E684" t="str">
        <f>""</f>
        <v/>
      </c>
      <c r="F684" t="str">
        <f>""</f>
        <v/>
      </c>
      <c r="H684" t="str">
        <f t="shared" si="12"/>
        <v>CUST#2000172616</v>
      </c>
    </row>
    <row r="685" spans="1:8" x14ac:dyDescent="0.25">
      <c r="E685" t="str">
        <f>""</f>
        <v/>
      </c>
      <c r="F685" t="str">
        <f>""</f>
        <v/>
      </c>
      <c r="H685" t="str">
        <f t="shared" si="12"/>
        <v>CUST#2000172616</v>
      </c>
    </row>
    <row r="686" spans="1:8" x14ac:dyDescent="0.25">
      <c r="E686" t="str">
        <f>""</f>
        <v/>
      </c>
      <c r="F686" t="str">
        <f>""</f>
        <v/>
      </c>
      <c r="H686" t="str">
        <f t="shared" si="12"/>
        <v>CUST#2000172616</v>
      </c>
    </row>
    <row r="687" spans="1:8" x14ac:dyDescent="0.25">
      <c r="E687" t="str">
        <f>""</f>
        <v/>
      </c>
      <c r="F687" t="str">
        <f>""</f>
        <v/>
      </c>
      <c r="H687" t="str">
        <f t="shared" si="12"/>
        <v>CUST#2000172616</v>
      </c>
    </row>
    <row r="688" spans="1:8" x14ac:dyDescent="0.25">
      <c r="E688" t="str">
        <f>""</f>
        <v/>
      </c>
      <c r="F688" t="str">
        <f>""</f>
        <v/>
      </c>
      <c r="H688" t="str">
        <f t="shared" si="12"/>
        <v>CUST#2000172616</v>
      </c>
    </row>
    <row r="689" spans="5:8" x14ac:dyDescent="0.25">
      <c r="E689" t="str">
        <f>""</f>
        <v/>
      </c>
      <c r="F689" t="str">
        <f>""</f>
        <v/>
      </c>
      <c r="H689" t="str">
        <f t="shared" si="12"/>
        <v>CUST#2000172616</v>
      </c>
    </row>
    <row r="690" spans="5:8" x14ac:dyDescent="0.25">
      <c r="E690" t="str">
        <f>""</f>
        <v/>
      </c>
      <c r="F690" t="str">
        <f>""</f>
        <v/>
      </c>
      <c r="H690" t="str">
        <f t="shared" si="12"/>
        <v>CUST#2000172616</v>
      </c>
    </row>
    <row r="691" spans="5:8" x14ac:dyDescent="0.25">
      <c r="E691" t="str">
        <f>""</f>
        <v/>
      </c>
      <c r="F691" t="str">
        <f>""</f>
        <v/>
      </c>
      <c r="H691" t="str">
        <f t="shared" si="12"/>
        <v>CUST#2000172616</v>
      </c>
    </row>
    <row r="692" spans="5:8" x14ac:dyDescent="0.25">
      <c r="E692" t="str">
        <f>""</f>
        <v/>
      </c>
      <c r="F692" t="str">
        <f>""</f>
        <v/>
      </c>
      <c r="H692" t="str">
        <f t="shared" si="12"/>
        <v>CUST#2000172616</v>
      </c>
    </row>
    <row r="693" spans="5:8" x14ac:dyDescent="0.25">
      <c r="E693" t="str">
        <f>""</f>
        <v/>
      </c>
      <c r="F693" t="str">
        <f>""</f>
        <v/>
      </c>
      <c r="H693" t="str">
        <f t="shared" si="12"/>
        <v>CUST#2000172616</v>
      </c>
    </row>
    <row r="694" spans="5:8" x14ac:dyDescent="0.25">
      <c r="E694" t="str">
        <f>""</f>
        <v/>
      </c>
      <c r="F694" t="str">
        <f>""</f>
        <v/>
      </c>
      <c r="H694" t="str">
        <f t="shared" si="12"/>
        <v>CUST#2000172616</v>
      </c>
    </row>
    <row r="695" spans="5:8" x14ac:dyDescent="0.25">
      <c r="E695" t="str">
        <f>""</f>
        <v/>
      </c>
      <c r="F695" t="str">
        <f>""</f>
        <v/>
      </c>
      <c r="H695" t="str">
        <f t="shared" si="12"/>
        <v>CUST#2000172616</v>
      </c>
    </row>
    <row r="696" spans="5:8" x14ac:dyDescent="0.25">
      <c r="E696" t="str">
        <f>""</f>
        <v/>
      </c>
      <c r="F696" t="str">
        <f>""</f>
        <v/>
      </c>
      <c r="H696" t="str">
        <f t="shared" si="12"/>
        <v>CUST#2000172616</v>
      </c>
    </row>
    <row r="697" spans="5:8" x14ac:dyDescent="0.25">
      <c r="E697" t="str">
        <f>""</f>
        <v/>
      </c>
      <c r="F697" t="str">
        <f>""</f>
        <v/>
      </c>
      <c r="H697" t="str">
        <f t="shared" si="12"/>
        <v>CUST#2000172616</v>
      </c>
    </row>
    <row r="698" spans="5:8" x14ac:dyDescent="0.25">
      <c r="E698" t="str">
        <f>""</f>
        <v/>
      </c>
      <c r="F698" t="str">
        <f>""</f>
        <v/>
      </c>
      <c r="H698" t="str">
        <f t="shared" si="12"/>
        <v>CUST#2000172616</v>
      </c>
    </row>
    <row r="699" spans="5:8" x14ac:dyDescent="0.25">
      <c r="E699" t="str">
        <f>""</f>
        <v/>
      </c>
      <c r="F699" t="str">
        <f>""</f>
        <v/>
      </c>
      <c r="H699" t="str">
        <f t="shared" si="12"/>
        <v>CUST#2000172616</v>
      </c>
    </row>
    <row r="700" spans="5:8" x14ac:dyDescent="0.25">
      <c r="E700" t="str">
        <f>""</f>
        <v/>
      </c>
      <c r="F700" t="str">
        <f>""</f>
        <v/>
      </c>
      <c r="H700" t="str">
        <f t="shared" si="12"/>
        <v>CUST#2000172616</v>
      </c>
    </row>
    <row r="701" spans="5:8" x14ac:dyDescent="0.25">
      <c r="E701" t="str">
        <f>""</f>
        <v/>
      </c>
      <c r="F701" t="str">
        <f>""</f>
        <v/>
      </c>
      <c r="H701" t="str">
        <f t="shared" si="12"/>
        <v>CUST#2000172616</v>
      </c>
    </row>
    <row r="702" spans="5:8" x14ac:dyDescent="0.25">
      <c r="E702" t="str">
        <f>""</f>
        <v/>
      </c>
      <c r="F702" t="str">
        <f>""</f>
        <v/>
      </c>
      <c r="H702" t="str">
        <f t="shared" si="12"/>
        <v>CUST#2000172616</v>
      </c>
    </row>
    <row r="703" spans="5:8" x14ac:dyDescent="0.25">
      <c r="E703" t="str">
        <f>""</f>
        <v/>
      </c>
      <c r="F703" t="str">
        <f>""</f>
        <v/>
      </c>
      <c r="H703" t="str">
        <f t="shared" si="12"/>
        <v>CUST#2000172616</v>
      </c>
    </row>
    <row r="704" spans="5:8" x14ac:dyDescent="0.25">
      <c r="E704" t="str">
        <f>""</f>
        <v/>
      </c>
      <c r="F704" t="str">
        <f>""</f>
        <v/>
      </c>
      <c r="H704" t="str">
        <f t="shared" si="12"/>
        <v>CUST#2000172616</v>
      </c>
    </row>
    <row r="705" spans="1:8" x14ac:dyDescent="0.25">
      <c r="E705" t="str">
        <f>""</f>
        <v/>
      </c>
      <c r="F705" t="str">
        <f>""</f>
        <v/>
      </c>
      <c r="H705" t="str">
        <f t="shared" si="12"/>
        <v>CUST#2000172616</v>
      </c>
    </row>
    <row r="706" spans="1:8" x14ac:dyDescent="0.25">
      <c r="E706" t="str">
        <f>""</f>
        <v/>
      </c>
      <c r="F706" t="str">
        <f>""</f>
        <v/>
      </c>
      <c r="H706" t="str">
        <f t="shared" si="12"/>
        <v>CUST#2000172616</v>
      </c>
    </row>
    <row r="707" spans="1:8" x14ac:dyDescent="0.25">
      <c r="E707" t="str">
        <f>""</f>
        <v/>
      </c>
      <c r="F707" t="str">
        <f>""</f>
        <v/>
      </c>
      <c r="H707" t="str">
        <f t="shared" si="12"/>
        <v>CUST#2000172616</v>
      </c>
    </row>
    <row r="708" spans="1:8" x14ac:dyDescent="0.25">
      <c r="E708" t="str">
        <f>""</f>
        <v/>
      </c>
      <c r="F708" t="str">
        <f>""</f>
        <v/>
      </c>
      <c r="H708" t="str">
        <f t="shared" si="12"/>
        <v>CUST#2000172616</v>
      </c>
    </row>
    <row r="709" spans="1:8" x14ac:dyDescent="0.25">
      <c r="A709" t="s">
        <v>218</v>
      </c>
      <c r="B709">
        <v>131971</v>
      </c>
      <c r="C709" s="5">
        <v>22</v>
      </c>
      <c r="D709" s="1">
        <v>43977</v>
      </c>
      <c r="E709" t="str">
        <f>"0146"</f>
        <v>0146</v>
      </c>
      <c r="F709" t="str">
        <f>"FIX FLAT/PCT#2"</f>
        <v>FIX FLAT/PCT#2</v>
      </c>
      <c r="G709" s="5">
        <v>22</v>
      </c>
      <c r="H709" t="str">
        <f>"FIX FLAT/PCT#2"</f>
        <v>FIX FLAT/PCT#2</v>
      </c>
    </row>
    <row r="710" spans="1:8" x14ac:dyDescent="0.25">
      <c r="A710" t="s">
        <v>219</v>
      </c>
      <c r="B710">
        <v>2622</v>
      </c>
      <c r="C710" s="5">
        <v>500</v>
      </c>
      <c r="D710" s="1">
        <v>43978</v>
      </c>
      <c r="E710" t="str">
        <f>"BCSOAPR20"</f>
        <v>BCSOAPR20</v>
      </c>
      <c r="F710" t="str">
        <f>"INV BCSOAPR20"</f>
        <v>INV BCSOAPR20</v>
      </c>
      <c r="G710" s="5">
        <v>500</v>
      </c>
      <c r="H710" t="str">
        <f>"INV BCSOAPR20"</f>
        <v>INV BCSOAPR20</v>
      </c>
    </row>
    <row r="711" spans="1:8" x14ac:dyDescent="0.25">
      <c r="A711" t="s">
        <v>220</v>
      </c>
      <c r="B711">
        <v>131972</v>
      </c>
      <c r="C711" s="5">
        <v>21800</v>
      </c>
      <c r="D711" s="1">
        <v>43977</v>
      </c>
      <c r="E711" t="str">
        <f>"202005196937"</f>
        <v>202005196937</v>
      </c>
      <c r="F711" t="str">
        <f>"FRANKLIN S. KELLEY"</f>
        <v>FRANKLIN S. KELLEY</v>
      </c>
      <c r="G711" s="5">
        <v>21800</v>
      </c>
      <c r="H711" t="str">
        <f>"Bridge Herbicide"</f>
        <v>Bridge Herbicide</v>
      </c>
    </row>
    <row r="712" spans="1:8" x14ac:dyDescent="0.25">
      <c r="E712" t="str">
        <f>""</f>
        <v/>
      </c>
      <c r="F712" t="str">
        <f>""</f>
        <v/>
      </c>
      <c r="H712" t="str">
        <f>"Vegitation Herbicide"</f>
        <v>Vegitation Herbicide</v>
      </c>
    </row>
    <row r="713" spans="1:8" x14ac:dyDescent="0.25">
      <c r="A713" t="s">
        <v>221</v>
      </c>
      <c r="B713">
        <v>2625</v>
      </c>
      <c r="C713" s="5">
        <v>700</v>
      </c>
      <c r="D713" s="1">
        <v>43978</v>
      </c>
      <c r="E713" t="str">
        <f>"WA 2348-2020"</f>
        <v>WA 2348-2020</v>
      </c>
      <c r="F713" t="str">
        <f>"Invoice"</f>
        <v>Invoice</v>
      </c>
      <c r="G713" s="5">
        <v>700</v>
      </c>
      <c r="H713" t="str">
        <f>"WA23848-2020"</f>
        <v>WA23848-2020</v>
      </c>
    </row>
    <row r="714" spans="1:8" x14ac:dyDescent="0.25">
      <c r="A714" t="s">
        <v>222</v>
      </c>
      <c r="B714">
        <v>131973</v>
      </c>
      <c r="C714" s="5">
        <v>63</v>
      </c>
      <c r="D714" s="1">
        <v>43977</v>
      </c>
      <c r="E714" t="str">
        <f>"200506-2"</f>
        <v>200506-2</v>
      </c>
      <c r="F714" t="str">
        <f>"INV 200506-2"</f>
        <v>INV 200506-2</v>
      </c>
      <c r="G714" s="5">
        <v>63</v>
      </c>
      <c r="H714" t="str">
        <f>"INV 200506-2"</f>
        <v>INV 200506-2</v>
      </c>
    </row>
    <row r="715" spans="1:8" x14ac:dyDescent="0.25">
      <c r="A715" t="s">
        <v>223</v>
      </c>
      <c r="B715">
        <v>131865</v>
      </c>
      <c r="C715" s="5">
        <v>718</v>
      </c>
      <c r="D715" s="1">
        <v>43962</v>
      </c>
      <c r="E715" t="str">
        <f>"202005066727"</f>
        <v>202005066727</v>
      </c>
      <c r="F715" t="str">
        <f>"LPHCP RECORDING FEES"</f>
        <v>LPHCP RECORDING FEES</v>
      </c>
      <c r="G715" s="5">
        <v>718</v>
      </c>
      <c r="H715" t="str">
        <f>"LPHCP RECORDING FEES"</f>
        <v>LPHCP RECORDING FEES</v>
      </c>
    </row>
    <row r="716" spans="1:8" x14ac:dyDescent="0.25">
      <c r="A716" t="s">
        <v>223</v>
      </c>
      <c r="B716">
        <v>131866</v>
      </c>
      <c r="C716" s="5">
        <v>122</v>
      </c>
      <c r="D716" s="1">
        <v>43962</v>
      </c>
      <c r="E716" t="str">
        <f>"202005056639"</f>
        <v>202005056639</v>
      </c>
      <c r="F716" t="str">
        <f>"DEVELOPMENT SVCS RECORDING FEE"</f>
        <v>DEVELOPMENT SVCS RECORDING FEE</v>
      </c>
      <c r="G716" s="5">
        <v>61</v>
      </c>
      <c r="H716" t="str">
        <f>"DEVELOPMENT SVCS RECORDING FEE"</f>
        <v>DEVELOPMENT SVCS RECORDING FEE</v>
      </c>
    </row>
    <row r="717" spans="1:8" x14ac:dyDescent="0.25">
      <c r="E717" t="str">
        <f>"202005066726"</f>
        <v>202005066726</v>
      </c>
      <c r="F717" t="str">
        <f>"DEVELOPMENT SVCS RECORDING FEE"</f>
        <v>DEVELOPMENT SVCS RECORDING FEE</v>
      </c>
      <c r="G717" s="5">
        <v>61</v>
      </c>
      <c r="H717" t="str">
        <f>"DEVELOPMENT SVCS RECORDING FEE"</f>
        <v>DEVELOPMENT SVCS RECORDING FEE</v>
      </c>
    </row>
    <row r="718" spans="1:8" x14ac:dyDescent="0.25">
      <c r="A718" t="s">
        <v>223</v>
      </c>
      <c r="B718">
        <v>131974</v>
      </c>
      <c r="C718" s="5">
        <v>174</v>
      </c>
      <c r="D718" s="1">
        <v>43977</v>
      </c>
      <c r="E718" t="str">
        <f>"202005196921"</f>
        <v>202005196921</v>
      </c>
      <c r="F718" t="str">
        <f>"LPHCP RECORDING FEES"</f>
        <v>LPHCP RECORDING FEES</v>
      </c>
      <c r="G718" s="5">
        <v>174</v>
      </c>
      <c r="H718" t="str">
        <f>"LPHCP RECORDING FEES"</f>
        <v>LPHCP RECORDING FEES</v>
      </c>
    </row>
    <row r="719" spans="1:8" x14ac:dyDescent="0.25">
      <c r="A719" t="s">
        <v>223</v>
      </c>
      <c r="B719">
        <v>131975</v>
      </c>
      <c r="C719" s="5">
        <v>61</v>
      </c>
      <c r="D719" s="1">
        <v>43977</v>
      </c>
      <c r="E719" t="str">
        <f>"202005186905"</f>
        <v>202005186905</v>
      </c>
      <c r="F719" t="str">
        <f>"DEVELOPMENT SVCS RECORDING FEE"</f>
        <v>DEVELOPMENT SVCS RECORDING FEE</v>
      </c>
      <c r="G719" s="5">
        <v>61</v>
      </c>
      <c r="H719" t="str">
        <f>"DEVELOPMENT SVCS RECORDING FEE"</f>
        <v>DEVELOPMENT SVCS RECORDING FEE</v>
      </c>
    </row>
    <row r="720" spans="1:8" x14ac:dyDescent="0.25">
      <c r="A720" t="s">
        <v>224</v>
      </c>
      <c r="B720">
        <v>131867</v>
      </c>
      <c r="C720" s="5">
        <v>2508.12</v>
      </c>
      <c r="D720" s="1">
        <v>43962</v>
      </c>
      <c r="E720" t="str">
        <f>"CVC56716"</f>
        <v>CVC56716</v>
      </c>
      <c r="F720" t="str">
        <f>"CUST#9486/08 CHEV/PCT#4"</f>
        <v>CUST#9486/08 CHEV/PCT#4</v>
      </c>
      <c r="G720" s="5">
        <v>2443.17</v>
      </c>
      <c r="H720" t="str">
        <f>"CUST#9486/08 CHEV/PCT#4"</f>
        <v>CUST#9486/08 CHEV/PCT#4</v>
      </c>
    </row>
    <row r="721" spans="1:8" x14ac:dyDescent="0.25">
      <c r="E721" t="str">
        <f>"CVCS56848"</f>
        <v>CVCS56848</v>
      </c>
      <c r="F721" t="str">
        <f>"CUST#9486/20 CHEV/PCT#4"</f>
        <v>CUST#9486/20 CHEV/PCT#4</v>
      </c>
      <c r="G721" s="5">
        <v>64.95</v>
      </c>
      <c r="H721" t="str">
        <f>"CUST#9486/20 CHEV/PCT#4"</f>
        <v>CUST#9486/20 CHEV/PCT#4</v>
      </c>
    </row>
    <row r="722" spans="1:8" x14ac:dyDescent="0.25">
      <c r="A722" t="s">
        <v>225</v>
      </c>
      <c r="B722">
        <v>131976</v>
      </c>
      <c r="C722" s="5">
        <v>597</v>
      </c>
      <c r="D722" s="1">
        <v>43977</v>
      </c>
      <c r="E722" t="str">
        <f>"202005196961"</f>
        <v>202005196961</v>
      </c>
      <c r="F722" t="str">
        <f>"ACCT#20190050/19-S-00536"</f>
        <v>ACCT#20190050/19-S-00536</v>
      </c>
      <c r="G722" s="5">
        <v>597</v>
      </c>
      <c r="H722" t="str">
        <f>"ACCT#20190050/19-S-00536"</f>
        <v>ACCT#20190050/19-S-00536</v>
      </c>
    </row>
    <row r="723" spans="1:8" x14ac:dyDescent="0.25">
      <c r="A723" t="s">
        <v>226</v>
      </c>
      <c r="B723">
        <v>2649</v>
      </c>
      <c r="C723" s="5">
        <v>160</v>
      </c>
      <c r="D723" s="1">
        <v>43978</v>
      </c>
      <c r="E723" t="str">
        <f>"202005196950"</f>
        <v>202005196950</v>
      </c>
      <c r="F723" t="str">
        <f>"INDIGENT HEALTH"</f>
        <v>INDIGENT HEALTH</v>
      </c>
      <c r="G723" s="5">
        <v>160</v>
      </c>
      <c r="H723" t="str">
        <f>"INDIGENT HEALTH"</f>
        <v>INDIGENT HEALTH</v>
      </c>
    </row>
    <row r="724" spans="1:8" x14ac:dyDescent="0.25">
      <c r="A724" t="s">
        <v>227</v>
      </c>
      <c r="B724">
        <v>131977</v>
      </c>
      <c r="C724" s="5">
        <v>3335.9</v>
      </c>
      <c r="D724" s="1">
        <v>43977</v>
      </c>
      <c r="E724" t="str">
        <f>"4665*03130*1"</f>
        <v>4665*03130*1</v>
      </c>
      <c r="F724" t="str">
        <f>"JAIL MEDICAL"</f>
        <v>JAIL MEDICAL</v>
      </c>
      <c r="G724" s="5">
        <v>3335.9</v>
      </c>
      <c r="H724" t="str">
        <f>"JAIL MEDICAL"</f>
        <v>JAIL MEDICAL</v>
      </c>
    </row>
    <row r="725" spans="1:8" x14ac:dyDescent="0.25">
      <c r="A725" t="s">
        <v>228</v>
      </c>
      <c r="B725">
        <v>131978</v>
      </c>
      <c r="C725" s="5">
        <v>49.21</v>
      </c>
      <c r="D725" s="1">
        <v>43977</v>
      </c>
      <c r="E725" t="str">
        <f>"4667*147*1"</f>
        <v>4667*147*1</v>
      </c>
      <c r="F725" t="str">
        <f>"JAIL MEDICAL"</f>
        <v>JAIL MEDICAL</v>
      </c>
      <c r="G725" s="5">
        <v>49.21</v>
      </c>
      <c r="H725" t="str">
        <f>"JAIL MEDICAL"</f>
        <v>JAIL MEDICAL</v>
      </c>
    </row>
    <row r="726" spans="1:8" x14ac:dyDescent="0.25">
      <c r="A726" t="s">
        <v>229</v>
      </c>
      <c r="B726">
        <v>131979</v>
      </c>
      <c r="C726" s="5">
        <v>18977.560000000001</v>
      </c>
      <c r="D726" s="1">
        <v>43977</v>
      </c>
      <c r="E726" t="str">
        <f>"202005196945"</f>
        <v>202005196945</v>
      </c>
      <c r="F726" t="str">
        <f>"INDIGENT HEALTH"</f>
        <v>INDIGENT HEALTH</v>
      </c>
      <c r="G726" s="5">
        <v>15644.56</v>
      </c>
      <c r="H726" t="str">
        <f>"INDIGENT HEALTH"</f>
        <v>INDIGENT HEALTH</v>
      </c>
    </row>
    <row r="727" spans="1:8" x14ac:dyDescent="0.25">
      <c r="E727" t="str">
        <f>""</f>
        <v/>
      </c>
      <c r="F727" t="str">
        <f>""</f>
        <v/>
      </c>
      <c r="H727" t="str">
        <f>"INDIGENT HEALTH"</f>
        <v>INDIGENT HEALTH</v>
      </c>
    </row>
    <row r="728" spans="1:8" x14ac:dyDescent="0.25">
      <c r="E728" t="str">
        <f>"420201"</f>
        <v>420201</v>
      </c>
      <c r="F728" t="str">
        <f>"PRESCRIPTION ASSISTANCE"</f>
        <v>PRESCRIPTION ASSISTANCE</v>
      </c>
      <c r="G728" s="5">
        <v>3333</v>
      </c>
      <c r="H728" t="str">
        <f>"PRESCRIPTION ASSISTANCE"</f>
        <v>PRESCRIPTION ASSISTANCE</v>
      </c>
    </row>
    <row r="729" spans="1:8" x14ac:dyDescent="0.25">
      <c r="A729" t="s">
        <v>230</v>
      </c>
      <c r="B729">
        <v>131980</v>
      </c>
      <c r="C729" s="5">
        <v>33</v>
      </c>
      <c r="D729" s="1">
        <v>43977</v>
      </c>
      <c r="E729" t="s">
        <v>231</v>
      </c>
      <c r="F729" t="str">
        <f>"RESTITUTION-DEBRA MCCOMB"</f>
        <v>RESTITUTION-DEBRA MCCOMB</v>
      </c>
      <c r="G729" s="5">
        <v>33</v>
      </c>
      <c r="H729" t="str">
        <f>"RESTITUTION-DEBRA MCCOMB"</f>
        <v>RESTITUTION-DEBRA MCCOMB</v>
      </c>
    </row>
    <row r="730" spans="1:8" x14ac:dyDescent="0.25">
      <c r="A730" t="s">
        <v>232</v>
      </c>
      <c r="B730">
        <v>131981</v>
      </c>
      <c r="C730" s="5">
        <v>4220</v>
      </c>
      <c r="D730" s="1">
        <v>43977</v>
      </c>
      <c r="E730" t="str">
        <f>"GB00368302"</f>
        <v>GB00368302</v>
      </c>
      <c r="F730" t="str">
        <f>"Replacement Phones"</f>
        <v>Replacement Phones</v>
      </c>
      <c r="G730" s="5">
        <v>4220</v>
      </c>
      <c r="H730" t="str">
        <f>"VoIP Phone 8811"</f>
        <v>VoIP Phone 8811</v>
      </c>
    </row>
    <row r="731" spans="1:8" x14ac:dyDescent="0.25">
      <c r="A731" t="s">
        <v>233</v>
      </c>
      <c r="B731">
        <v>131868</v>
      </c>
      <c r="C731" s="5">
        <v>383.35</v>
      </c>
      <c r="D731" s="1">
        <v>43962</v>
      </c>
      <c r="E731" t="str">
        <f>"8129711397"</f>
        <v>8129711397</v>
      </c>
      <c r="F731" t="str">
        <f>"INV 8129711397"</f>
        <v>INV 8129711397</v>
      </c>
      <c r="G731" s="5">
        <v>166.35</v>
      </c>
      <c r="H731" t="str">
        <f>"INV 8129711397 - LE"</f>
        <v>INV 8129711397 - LE</v>
      </c>
    </row>
    <row r="732" spans="1:8" x14ac:dyDescent="0.25">
      <c r="E732" t="str">
        <f>""</f>
        <v/>
      </c>
      <c r="F732" t="str">
        <f>""</f>
        <v/>
      </c>
      <c r="H732" t="str">
        <f>"INV 8129711397 - JAI"</f>
        <v>INV 8129711397 - JAI</v>
      </c>
    </row>
    <row r="733" spans="1:8" x14ac:dyDescent="0.25">
      <c r="E733" t="str">
        <f>"8129711834"</f>
        <v>8129711834</v>
      </c>
      <c r="F733" t="str">
        <f>"CUST#16155373"</f>
        <v>CUST#16155373</v>
      </c>
      <c r="G733" s="5">
        <v>129.72999999999999</v>
      </c>
      <c r="H733" t="str">
        <f t="shared" ref="H733:H738" si="13">"CUST#16155373"</f>
        <v>CUST#16155373</v>
      </c>
    </row>
    <row r="734" spans="1:8" x14ac:dyDescent="0.25">
      <c r="E734" t="str">
        <f>""</f>
        <v/>
      </c>
      <c r="F734" t="str">
        <f>""</f>
        <v/>
      </c>
      <c r="H734" t="str">
        <f t="shared" si="13"/>
        <v>CUST#16155373</v>
      </c>
    </row>
    <row r="735" spans="1:8" x14ac:dyDescent="0.25">
      <c r="E735" t="str">
        <f>""</f>
        <v/>
      </c>
      <c r="F735" t="str">
        <f>""</f>
        <v/>
      </c>
      <c r="H735" t="str">
        <f t="shared" si="13"/>
        <v>CUST#16155373</v>
      </c>
    </row>
    <row r="736" spans="1:8" x14ac:dyDescent="0.25">
      <c r="E736" t="str">
        <f>""</f>
        <v/>
      </c>
      <c r="F736" t="str">
        <f>""</f>
        <v/>
      </c>
      <c r="H736" t="str">
        <f t="shared" si="13"/>
        <v>CUST#16155373</v>
      </c>
    </row>
    <row r="737" spans="1:8" x14ac:dyDescent="0.25">
      <c r="E737" t="str">
        <f>""</f>
        <v/>
      </c>
      <c r="F737" t="str">
        <f>""</f>
        <v/>
      </c>
      <c r="H737" t="str">
        <f t="shared" si="13"/>
        <v>CUST#16155373</v>
      </c>
    </row>
    <row r="738" spans="1:8" x14ac:dyDescent="0.25">
      <c r="E738" t="str">
        <f>""</f>
        <v/>
      </c>
      <c r="F738" t="str">
        <f>""</f>
        <v/>
      </c>
      <c r="H738" t="str">
        <f t="shared" si="13"/>
        <v>CUST#16155373</v>
      </c>
    </row>
    <row r="739" spans="1:8" x14ac:dyDescent="0.25">
      <c r="E739" t="str">
        <f>"8129711864"</f>
        <v>8129711864</v>
      </c>
      <c r="F739" t="str">
        <f>"CUST#16156071"</f>
        <v>CUST#16156071</v>
      </c>
      <c r="G739" s="5">
        <v>87.27</v>
      </c>
      <c r="H739" t="str">
        <f>"CUST#16156071"</f>
        <v>CUST#16156071</v>
      </c>
    </row>
    <row r="740" spans="1:8" x14ac:dyDescent="0.25">
      <c r="A740" t="s">
        <v>233</v>
      </c>
      <c r="B740">
        <v>131982</v>
      </c>
      <c r="C740" s="5">
        <v>125.04</v>
      </c>
      <c r="D740" s="1">
        <v>43977</v>
      </c>
      <c r="E740" t="str">
        <f>"8129711721"</f>
        <v>8129711721</v>
      </c>
      <c r="F740" t="str">
        <f>"CUST#16151857/PURCHASING"</f>
        <v>CUST#16151857/PURCHASING</v>
      </c>
      <c r="G740" s="5">
        <v>54.8</v>
      </c>
      <c r="H740" t="str">
        <f>"CUST#16151857/PURCHASING"</f>
        <v>CUST#16151857/PURCHASING</v>
      </c>
    </row>
    <row r="741" spans="1:8" x14ac:dyDescent="0.25">
      <c r="E741" t="str">
        <f>""</f>
        <v/>
      </c>
      <c r="F741" t="str">
        <f>""</f>
        <v/>
      </c>
      <c r="H741" t="str">
        <f>"CUST#16151857/PURCHASING"</f>
        <v>CUST#16151857/PURCHASING</v>
      </c>
    </row>
    <row r="742" spans="1:8" x14ac:dyDescent="0.25">
      <c r="E742" t="str">
        <f>"8129711918"</f>
        <v>8129711918</v>
      </c>
      <c r="F742" t="str">
        <f>"CUST#16156670/JP"</f>
        <v>CUST#16156670/JP</v>
      </c>
      <c r="G742" s="5">
        <v>70.239999999999995</v>
      </c>
      <c r="H742" t="str">
        <f>"CUST#16156670/JP"</f>
        <v>CUST#16156670/JP</v>
      </c>
    </row>
    <row r="743" spans="1:8" x14ac:dyDescent="0.25">
      <c r="A743" t="s">
        <v>234</v>
      </c>
      <c r="B743">
        <v>131983</v>
      </c>
      <c r="C743" s="5">
        <v>129.57</v>
      </c>
      <c r="D743" s="1">
        <v>43977</v>
      </c>
      <c r="E743" t="str">
        <f>"202005196955"</f>
        <v>202005196955</v>
      </c>
      <c r="F743" t="str">
        <f>"INDIGENT HEALTH"</f>
        <v>INDIGENT HEALTH</v>
      </c>
      <c r="G743" s="5">
        <v>129.57</v>
      </c>
      <c r="H743" t="str">
        <f>"INDIGENT HEALTH"</f>
        <v>INDIGENT HEALTH</v>
      </c>
    </row>
    <row r="744" spans="1:8" x14ac:dyDescent="0.25">
      <c r="A744" t="s">
        <v>235</v>
      </c>
      <c r="B744">
        <v>131984</v>
      </c>
      <c r="C744" s="5">
        <v>144.38</v>
      </c>
      <c r="D744" s="1">
        <v>43977</v>
      </c>
      <c r="E744" t="str">
        <f>"202005196956"</f>
        <v>202005196956</v>
      </c>
      <c r="F744" t="str">
        <f>"INDIGENT HEALTH"</f>
        <v>INDIGENT HEALTH</v>
      </c>
      <c r="G744" s="5">
        <v>6.68</v>
      </c>
      <c r="H744" t="str">
        <f>"INDIGENT HEALTH"</f>
        <v>INDIGENT HEALTH</v>
      </c>
    </row>
    <row r="745" spans="1:8" x14ac:dyDescent="0.25">
      <c r="E745" t="str">
        <f>"202005196964"</f>
        <v>202005196964</v>
      </c>
      <c r="F745" t="str">
        <f>"JAIL MEDICAL"</f>
        <v>JAIL MEDICAL</v>
      </c>
      <c r="G745" s="5">
        <v>137.69999999999999</v>
      </c>
      <c r="H745" t="str">
        <f>"JAIL MEDICAL"</f>
        <v>JAIL MEDICAL</v>
      </c>
    </row>
    <row r="746" spans="1:8" x14ac:dyDescent="0.25">
      <c r="A746" t="s">
        <v>236</v>
      </c>
      <c r="B746">
        <v>2645</v>
      </c>
      <c r="C746" s="5">
        <v>1513.5</v>
      </c>
      <c r="D746" s="1">
        <v>43978</v>
      </c>
      <c r="E746" t="str">
        <f>"81134"</f>
        <v>81134</v>
      </c>
      <c r="F746" t="str">
        <f>"INV 81134"</f>
        <v>INV 81134</v>
      </c>
      <c r="G746" s="5">
        <v>1513.5</v>
      </c>
      <c r="H746" t="str">
        <f>"INV 81134"</f>
        <v>INV 81134</v>
      </c>
    </row>
    <row r="747" spans="1:8" x14ac:dyDescent="0.25">
      <c r="A747" t="s">
        <v>237</v>
      </c>
      <c r="B747">
        <v>131869</v>
      </c>
      <c r="C747" s="5">
        <v>269.14999999999998</v>
      </c>
      <c r="D747" s="1">
        <v>43962</v>
      </c>
      <c r="E747" t="str">
        <f>"202005066732"</f>
        <v>202005066732</v>
      </c>
      <c r="F747" t="str">
        <f>"STATEMENT#33258/PCT#2"</f>
        <v>STATEMENT#33258/PCT#2</v>
      </c>
      <c r="G747" s="5">
        <v>170.3</v>
      </c>
      <c r="H747" t="str">
        <f>"STATEMENT#33258/PCT#2"</f>
        <v>STATEMENT#33258/PCT#2</v>
      </c>
    </row>
    <row r="748" spans="1:8" x14ac:dyDescent="0.25">
      <c r="E748" t="str">
        <f>"463038"</f>
        <v>463038</v>
      </c>
      <c r="F748" t="str">
        <f>"STATEMENT#33257/PCT#1"</f>
        <v>STATEMENT#33257/PCT#1</v>
      </c>
      <c r="G748" s="5">
        <v>98.85</v>
      </c>
      <c r="H748" t="str">
        <f>"STATEMENT#33257/PCT#1"</f>
        <v>STATEMENT#33257/PCT#1</v>
      </c>
    </row>
    <row r="749" spans="1:8" x14ac:dyDescent="0.25">
      <c r="A749" t="s">
        <v>238</v>
      </c>
      <c r="B749">
        <v>131870</v>
      </c>
      <c r="C749" s="5">
        <v>439.58</v>
      </c>
      <c r="D749" s="1">
        <v>43962</v>
      </c>
      <c r="E749" t="str">
        <f>"202005066734"</f>
        <v>202005066734</v>
      </c>
      <c r="F749" t="str">
        <f>"ACCT#260 / PCT#2"</f>
        <v>ACCT#260 / PCT#2</v>
      </c>
      <c r="G749" s="5">
        <v>439.58</v>
      </c>
      <c r="H749" t="str">
        <f>"ACCT#260 / PCT#2"</f>
        <v>ACCT#260 / PCT#2</v>
      </c>
    </row>
    <row r="750" spans="1:8" x14ac:dyDescent="0.25">
      <c r="A750" t="s">
        <v>239</v>
      </c>
      <c r="B750">
        <v>131985</v>
      </c>
      <c r="C750" s="5">
        <v>4500</v>
      </c>
      <c r="D750" s="1">
        <v>43977</v>
      </c>
      <c r="E750" t="str">
        <f>"IN475635"</f>
        <v>IN475635</v>
      </c>
      <c r="F750" t="str">
        <f>"Helpdesk Renewal"</f>
        <v>Helpdesk Renewal</v>
      </c>
      <c r="G750" s="5">
        <v>4500</v>
      </c>
      <c r="H750" t="str">
        <f>"Maintenance Renewal"</f>
        <v>Maintenance Renewal</v>
      </c>
    </row>
    <row r="751" spans="1:8" x14ac:dyDescent="0.25">
      <c r="A751" t="s">
        <v>240</v>
      </c>
      <c r="B751">
        <v>131986</v>
      </c>
      <c r="C751" s="5">
        <v>1185.9000000000001</v>
      </c>
      <c r="D751" s="1">
        <v>43977</v>
      </c>
      <c r="E751" t="str">
        <f>"4650044541"</f>
        <v>4650044541</v>
      </c>
      <c r="F751" t="str">
        <f>"CUST#52157/PCT#3"</f>
        <v>CUST#52157/PCT#3</v>
      </c>
      <c r="G751" s="5">
        <v>968.9</v>
      </c>
      <c r="H751" t="str">
        <f>"CUST#52157/PCT#3"</f>
        <v>CUST#52157/PCT#3</v>
      </c>
    </row>
    <row r="752" spans="1:8" x14ac:dyDescent="0.25">
      <c r="E752" t="str">
        <f>"4650044542"</f>
        <v>4650044542</v>
      </c>
      <c r="F752" t="str">
        <f>"CUST#52157/PCT#3"</f>
        <v>CUST#52157/PCT#3</v>
      </c>
      <c r="G752" s="5">
        <v>217</v>
      </c>
      <c r="H752" t="str">
        <f>"CUST#52157/PCT#3"</f>
        <v>CUST#52157/PCT#3</v>
      </c>
    </row>
    <row r="753" spans="1:8" x14ac:dyDescent="0.25">
      <c r="A753" t="s">
        <v>241</v>
      </c>
      <c r="B753">
        <v>131871</v>
      </c>
      <c r="C753" s="5">
        <v>1743</v>
      </c>
      <c r="D753" s="1">
        <v>43962</v>
      </c>
      <c r="E753" t="str">
        <f>"100050-1"</f>
        <v>100050-1</v>
      </c>
      <c r="F753" t="str">
        <f>"INV 100050-1"</f>
        <v>INV 100050-1</v>
      </c>
      <c r="G753" s="5">
        <v>1743</v>
      </c>
      <c r="H753" t="str">
        <f>"INV 100050-1"</f>
        <v>INV 100050-1</v>
      </c>
    </row>
    <row r="754" spans="1:8" x14ac:dyDescent="0.25">
      <c r="A754" t="s">
        <v>242</v>
      </c>
      <c r="B754">
        <v>131987</v>
      </c>
      <c r="C754" s="5">
        <v>126.52</v>
      </c>
      <c r="D754" s="1">
        <v>43977</v>
      </c>
      <c r="E754" t="str">
        <f>"S1059768"</f>
        <v>S1059768</v>
      </c>
      <c r="F754" t="str">
        <f>"ACCT#114382/ANIMAL SHELTER"</f>
        <v>ACCT#114382/ANIMAL SHELTER</v>
      </c>
      <c r="G754" s="5">
        <v>126.52</v>
      </c>
      <c r="H754" t="str">
        <f>"ACCT#114382/ANIMAL SHELTER"</f>
        <v>ACCT#114382/ANIMAL SHELTER</v>
      </c>
    </row>
    <row r="755" spans="1:8" x14ac:dyDescent="0.25">
      <c r="A755" t="s">
        <v>243</v>
      </c>
      <c r="B755">
        <v>131988</v>
      </c>
      <c r="C755" s="5">
        <v>3403.89</v>
      </c>
      <c r="D755" s="1">
        <v>43977</v>
      </c>
      <c r="E755" t="str">
        <f>"202005196958"</f>
        <v>202005196958</v>
      </c>
      <c r="F755" t="str">
        <f>"INDIGENT HEALTH"</f>
        <v>INDIGENT HEALTH</v>
      </c>
      <c r="G755" s="5">
        <v>3403.89</v>
      </c>
      <c r="H755" t="str">
        <f>"INDIGENT HEALTH"</f>
        <v>INDIGENT HEALTH</v>
      </c>
    </row>
    <row r="756" spans="1:8" x14ac:dyDescent="0.25">
      <c r="A756" t="s">
        <v>244</v>
      </c>
      <c r="B756">
        <v>131989</v>
      </c>
      <c r="C756" s="5">
        <v>472.2</v>
      </c>
      <c r="D756" s="1">
        <v>43977</v>
      </c>
      <c r="E756" t="str">
        <f>"202005196957"</f>
        <v>202005196957</v>
      </c>
      <c r="F756" t="str">
        <f>"INDIGENT HEALTH"</f>
        <v>INDIGENT HEALTH</v>
      </c>
      <c r="G756" s="5">
        <v>472.2</v>
      </c>
      <c r="H756" t="str">
        <f>"INDIGENT HEALTH"</f>
        <v>INDIGENT HEALTH</v>
      </c>
    </row>
    <row r="757" spans="1:8" x14ac:dyDescent="0.25">
      <c r="A757" t="s">
        <v>245</v>
      </c>
      <c r="B757">
        <v>131990</v>
      </c>
      <c r="C757" s="5">
        <v>219.84</v>
      </c>
      <c r="D757" s="1">
        <v>43977</v>
      </c>
      <c r="E757" t="str">
        <f>"202005196959"</f>
        <v>202005196959</v>
      </c>
      <c r="F757" t="str">
        <f>"INDIGENT HEALTH"</f>
        <v>INDIGENT HEALTH</v>
      </c>
      <c r="G757" s="5">
        <v>219.84</v>
      </c>
      <c r="H757" t="str">
        <f>"INDIGENT HEALTH"</f>
        <v>INDIGENT HEALTH</v>
      </c>
    </row>
    <row r="758" spans="1:8" x14ac:dyDescent="0.25">
      <c r="E758" t="str">
        <f>""</f>
        <v/>
      </c>
      <c r="F758" t="str">
        <f>""</f>
        <v/>
      </c>
      <c r="H758" t="str">
        <f>"INDIGENT HEALTH"</f>
        <v>INDIGENT HEALTH</v>
      </c>
    </row>
    <row r="759" spans="1:8" x14ac:dyDescent="0.25">
      <c r="A759" t="s">
        <v>246</v>
      </c>
      <c r="B759">
        <v>131872</v>
      </c>
      <c r="C759" s="5">
        <v>149.25</v>
      </c>
      <c r="D759" s="1">
        <v>43962</v>
      </c>
      <c r="E759" t="str">
        <f>"11969495 031320"</f>
        <v>11969495 031320</v>
      </c>
      <c r="F759" t="str">
        <f>"ACCT#556850411969495"</f>
        <v>ACCT#556850411969495</v>
      </c>
      <c r="G759" s="5">
        <v>149.25</v>
      </c>
      <c r="H759" t="str">
        <f>"ACCT#556850411969495"</f>
        <v>ACCT#556850411969495</v>
      </c>
    </row>
    <row r="760" spans="1:8" x14ac:dyDescent="0.25">
      <c r="A760" t="s">
        <v>247</v>
      </c>
      <c r="B760">
        <v>131873</v>
      </c>
      <c r="C760" s="5">
        <v>221.19</v>
      </c>
      <c r="D760" s="1">
        <v>43962</v>
      </c>
      <c r="E760" t="str">
        <f>"8058146886"</f>
        <v>8058146886</v>
      </c>
      <c r="F760" t="str">
        <f>"Monthly Statement"</f>
        <v>Monthly Statement</v>
      </c>
      <c r="G760" s="5">
        <v>221.19</v>
      </c>
      <c r="H760" t="str">
        <f>"inv #3775143762"</f>
        <v>inv #3775143762</v>
      </c>
    </row>
    <row r="761" spans="1:8" x14ac:dyDescent="0.25">
      <c r="E761" t="str">
        <f>""</f>
        <v/>
      </c>
      <c r="F761" t="str">
        <f>""</f>
        <v/>
      </c>
      <c r="H761" t="str">
        <f>"inv #3445143758"</f>
        <v>inv #3445143758</v>
      </c>
    </row>
    <row r="762" spans="1:8" x14ac:dyDescent="0.25">
      <c r="A762" t="s">
        <v>247</v>
      </c>
      <c r="B762">
        <v>131991</v>
      </c>
      <c r="C762" s="5">
        <v>3018.11</v>
      </c>
      <c r="D762" s="1">
        <v>43977</v>
      </c>
      <c r="E762" t="str">
        <f>"8058272955"</f>
        <v>8058272955</v>
      </c>
      <c r="F762" t="str">
        <f>"sum inv# 8058272955"</f>
        <v>sum inv# 8058272955</v>
      </c>
      <c r="G762" s="5">
        <v>3018.11</v>
      </c>
      <c r="H762" t="str">
        <f>"inv# 3446115452"</f>
        <v>inv# 3446115452</v>
      </c>
    </row>
    <row r="763" spans="1:8" x14ac:dyDescent="0.25">
      <c r="E763" t="str">
        <f>""</f>
        <v/>
      </c>
      <c r="F763" t="str">
        <f>""</f>
        <v/>
      </c>
      <c r="H763" t="str">
        <f>"Inv# 3446115455"</f>
        <v>Inv# 3446115455</v>
      </c>
    </row>
    <row r="764" spans="1:8" x14ac:dyDescent="0.25">
      <c r="E764" t="str">
        <f>""</f>
        <v/>
      </c>
      <c r="F764" t="str">
        <f>""</f>
        <v/>
      </c>
      <c r="H764" t="str">
        <f>"Inv# 3446115456"</f>
        <v>Inv# 3446115456</v>
      </c>
    </row>
    <row r="765" spans="1:8" x14ac:dyDescent="0.25">
      <c r="E765" t="str">
        <f>""</f>
        <v/>
      </c>
      <c r="F765" t="str">
        <f>""</f>
        <v/>
      </c>
      <c r="H765" t="str">
        <f>"Inv# 3446115459"</f>
        <v>Inv# 3446115459</v>
      </c>
    </row>
    <row r="766" spans="1:8" x14ac:dyDescent="0.25">
      <c r="E766" t="str">
        <f>""</f>
        <v/>
      </c>
      <c r="F766" t="str">
        <f>""</f>
        <v/>
      </c>
      <c r="H766" t="str">
        <f>"Inv# 3446115469"</f>
        <v>Inv# 3446115469</v>
      </c>
    </row>
    <row r="767" spans="1:8" x14ac:dyDescent="0.25">
      <c r="E767" t="str">
        <f>""</f>
        <v/>
      </c>
      <c r="F767" t="str">
        <f>""</f>
        <v/>
      </c>
      <c r="H767" t="str">
        <f>"Inv# 3446115472"</f>
        <v>Inv# 3446115472</v>
      </c>
    </row>
    <row r="768" spans="1:8" x14ac:dyDescent="0.25">
      <c r="E768" t="str">
        <f>""</f>
        <v/>
      </c>
      <c r="F768" t="str">
        <f>""</f>
        <v/>
      </c>
      <c r="H768" t="str">
        <f>"Inv# 3446115476"</f>
        <v>Inv# 3446115476</v>
      </c>
    </row>
    <row r="769" spans="1:8" x14ac:dyDescent="0.25">
      <c r="E769" t="str">
        <f>""</f>
        <v/>
      </c>
      <c r="F769" t="str">
        <f>""</f>
        <v/>
      </c>
      <c r="H769" t="str">
        <f>"Inv# 3446115463"</f>
        <v>Inv# 3446115463</v>
      </c>
    </row>
    <row r="770" spans="1:8" x14ac:dyDescent="0.25">
      <c r="E770" t="str">
        <f>""</f>
        <v/>
      </c>
      <c r="F770" t="str">
        <f>""</f>
        <v/>
      </c>
      <c r="H770" t="str">
        <f>"Inv# 3446115464"</f>
        <v>Inv# 3446115464</v>
      </c>
    </row>
    <row r="771" spans="1:8" x14ac:dyDescent="0.25">
      <c r="E771" t="str">
        <f>""</f>
        <v/>
      </c>
      <c r="F771" t="str">
        <f>""</f>
        <v/>
      </c>
      <c r="H771" t="str">
        <f>"Inv# 3446115466"</f>
        <v>Inv# 3446115466</v>
      </c>
    </row>
    <row r="772" spans="1:8" x14ac:dyDescent="0.25">
      <c r="E772" t="str">
        <f>""</f>
        <v/>
      </c>
      <c r="F772" t="str">
        <f>""</f>
        <v/>
      </c>
      <c r="H772" t="str">
        <f>"Inv# 3446115467"</f>
        <v>Inv# 3446115467</v>
      </c>
    </row>
    <row r="773" spans="1:8" x14ac:dyDescent="0.25">
      <c r="E773" t="str">
        <f>""</f>
        <v/>
      </c>
      <c r="F773" t="str">
        <f>""</f>
        <v/>
      </c>
      <c r="H773" t="str">
        <f>"Inv# 3446115461"</f>
        <v>Inv# 3446115461</v>
      </c>
    </row>
    <row r="774" spans="1:8" x14ac:dyDescent="0.25">
      <c r="A774" t="s">
        <v>248</v>
      </c>
      <c r="B774">
        <v>131874</v>
      </c>
      <c r="C774" s="5">
        <v>795.59</v>
      </c>
      <c r="D774" s="1">
        <v>43962</v>
      </c>
      <c r="E774" t="str">
        <f>"4009304934"</f>
        <v>4009304934</v>
      </c>
      <c r="F774" t="str">
        <f>"INV 4009304934"</f>
        <v>INV 4009304934</v>
      </c>
      <c r="G774" s="5">
        <v>795.59</v>
      </c>
      <c r="H774" t="str">
        <f>"INV 4009304934"</f>
        <v>INV 4009304934</v>
      </c>
    </row>
    <row r="775" spans="1:8" x14ac:dyDescent="0.25">
      <c r="A775" t="s">
        <v>249</v>
      </c>
      <c r="B775">
        <v>131875</v>
      </c>
      <c r="C775" s="5">
        <v>442</v>
      </c>
      <c r="D775" s="1">
        <v>43962</v>
      </c>
      <c r="E775" t="str">
        <f>"202005056634"</f>
        <v>202005056634</v>
      </c>
      <c r="F775" t="str">
        <f>"TRASH REMOVAL/PCT#4"</f>
        <v>TRASH REMOVAL/PCT#4</v>
      </c>
      <c r="G775" s="5">
        <v>221</v>
      </c>
      <c r="H775" t="str">
        <f>"TRASH REMOVAL/PCT#4"</f>
        <v>TRASH REMOVAL/PCT#4</v>
      </c>
    </row>
    <row r="776" spans="1:8" x14ac:dyDescent="0.25">
      <c r="E776" t="str">
        <f>"202005056635"</f>
        <v>202005056635</v>
      </c>
      <c r="F776" t="str">
        <f>"TRASH REMOVAL/PCT#4"</f>
        <v>TRASH REMOVAL/PCT#4</v>
      </c>
      <c r="G776" s="5">
        <v>221</v>
      </c>
      <c r="H776" t="str">
        <f>"TRASH REMOVAL/PCT#4"</f>
        <v>TRASH REMOVAL/PCT#4</v>
      </c>
    </row>
    <row r="777" spans="1:8" x14ac:dyDescent="0.25">
      <c r="A777" t="s">
        <v>249</v>
      </c>
      <c r="B777">
        <v>131992</v>
      </c>
      <c r="C777" s="5">
        <v>370.5</v>
      </c>
      <c r="D777" s="1">
        <v>43977</v>
      </c>
      <c r="E777" t="str">
        <f>"202005186910"</f>
        <v>202005186910</v>
      </c>
      <c r="F777" t="str">
        <f>"TRASH REMOVAL 05/11-05/22/P4"</f>
        <v>TRASH REMOVAL 05/11-05/22/P4</v>
      </c>
      <c r="G777" s="5">
        <v>370.5</v>
      </c>
      <c r="H777" t="str">
        <f>"TRASH REMOVAL 05/11-05/22/P4"</f>
        <v>TRASH REMOVAL 05/11-05/22/P4</v>
      </c>
    </row>
    <row r="778" spans="1:8" x14ac:dyDescent="0.25">
      <c r="A778" t="s">
        <v>250</v>
      </c>
      <c r="B778">
        <v>131876</v>
      </c>
      <c r="C778" s="5">
        <v>59.54</v>
      </c>
      <c r="D778" s="1">
        <v>43962</v>
      </c>
      <c r="E778" t="str">
        <f>"32810"</f>
        <v>32810</v>
      </c>
      <c r="F778" t="str">
        <f>"INV 32810"</f>
        <v>INV 32810</v>
      </c>
      <c r="G778" s="5">
        <v>59.54</v>
      </c>
      <c r="H778" t="str">
        <f>"INV 32810"</f>
        <v>INV 32810</v>
      </c>
    </row>
    <row r="779" spans="1:8" x14ac:dyDescent="0.25">
      <c r="A779" t="s">
        <v>251</v>
      </c>
      <c r="B779">
        <v>2623</v>
      </c>
      <c r="C779" s="5">
        <v>7800</v>
      </c>
      <c r="D779" s="1">
        <v>43978</v>
      </c>
      <c r="E779" t="str">
        <f>"414"</f>
        <v>414</v>
      </c>
      <c r="F779" t="str">
        <f>"SHREDDING/MOWING/PCT#2"</f>
        <v>SHREDDING/MOWING/PCT#2</v>
      </c>
      <c r="G779" s="5">
        <v>7800</v>
      </c>
      <c r="H779" t="str">
        <f>"SHREDDING/MOWING/PCT#2"</f>
        <v>SHREDDING/MOWING/PCT#2</v>
      </c>
    </row>
    <row r="780" spans="1:8" x14ac:dyDescent="0.25">
      <c r="A780" t="s">
        <v>252</v>
      </c>
      <c r="B780">
        <v>2559</v>
      </c>
      <c r="C780" s="5">
        <v>1587.04</v>
      </c>
      <c r="D780" s="1">
        <v>43963</v>
      </c>
      <c r="E780" t="str">
        <f>"95681307"</f>
        <v>95681307</v>
      </c>
      <c r="F780" t="str">
        <f>"ACCT#10187718/BOL#3533/PCT#2"</f>
        <v>ACCT#10187718/BOL#3533/PCT#2</v>
      </c>
      <c r="G780" s="5">
        <v>1587.04</v>
      </c>
      <c r="H780" t="str">
        <f>"ACCT#10187718/BOL#3533/PCT#2"</f>
        <v>ACCT#10187718/BOL#3533/PCT#2</v>
      </c>
    </row>
    <row r="781" spans="1:8" x14ac:dyDescent="0.25">
      <c r="A781" t="s">
        <v>252</v>
      </c>
      <c r="B781">
        <v>2629</v>
      </c>
      <c r="C781" s="5">
        <v>1530.42</v>
      </c>
      <c r="D781" s="1">
        <v>43978</v>
      </c>
      <c r="E781" t="str">
        <f>"95700558"</f>
        <v>95700558</v>
      </c>
      <c r="F781" t="str">
        <f>"ACCT#10187718/PCT#2"</f>
        <v>ACCT#10187718/PCT#2</v>
      </c>
      <c r="G781" s="5">
        <v>1530.42</v>
      </c>
      <c r="H781" t="str">
        <f>"ACCT#10187718/PCT#2"</f>
        <v>ACCT#10187718/PCT#2</v>
      </c>
    </row>
    <row r="782" spans="1:8" x14ac:dyDescent="0.25">
      <c r="A782" t="s">
        <v>253</v>
      </c>
      <c r="B782">
        <v>2548</v>
      </c>
      <c r="C782" s="5">
        <v>48.24</v>
      </c>
      <c r="D782" s="1">
        <v>43963</v>
      </c>
      <c r="E782" t="str">
        <f>"20050416"</f>
        <v>20050416</v>
      </c>
      <c r="F782" t="str">
        <f>"SVC CONTRACT 04/01/20-05/01/20"</f>
        <v>SVC CONTRACT 04/01/20-05/01/20</v>
      </c>
      <c r="G782" s="5">
        <v>48.24</v>
      </c>
      <c r="H782" t="str">
        <f>"SVC CONTRACT 04/01/20-05/01/20"</f>
        <v>SVC CONTRACT 04/01/20-05/01/20</v>
      </c>
    </row>
    <row r="783" spans="1:8" x14ac:dyDescent="0.25">
      <c r="A783" t="s">
        <v>254</v>
      </c>
      <c r="B783">
        <v>131993</v>
      </c>
      <c r="C783" s="5">
        <v>225</v>
      </c>
      <c r="D783" s="1">
        <v>43977</v>
      </c>
      <c r="E783" t="str">
        <f>"202005196942"</f>
        <v>202005196942</v>
      </c>
      <c r="F783" t="str">
        <f>"TEXAS COMMISSION ON LAW ENFORC"</f>
        <v>TEXAS COMMISSION ON LAW ENFORC</v>
      </c>
      <c r="G783" s="5">
        <v>225</v>
      </c>
      <c r="H783" t="str">
        <f>""</f>
        <v/>
      </c>
    </row>
    <row r="784" spans="1:8" x14ac:dyDescent="0.25">
      <c r="A784" t="s">
        <v>255</v>
      </c>
      <c r="B784">
        <v>2655</v>
      </c>
      <c r="C784" s="5">
        <v>217</v>
      </c>
      <c r="D784" s="1">
        <v>43978</v>
      </c>
      <c r="E784" t="str">
        <f>"2006053"</f>
        <v>2006053</v>
      </c>
      <c r="F784" t="str">
        <f>"CUST ID:BASTROP COUNTY COURT"</f>
        <v>CUST ID:BASTROP COUNTY COURT</v>
      </c>
      <c r="G784" s="5">
        <v>217</v>
      </c>
      <c r="H784" t="str">
        <f>"CUST ID:BASTROP COUNTY COURT"</f>
        <v>CUST ID:BASTROP COUNTY COURT</v>
      </c>
    </row>
    <row r="785" spans="1:8" x14ac:dyDescent="0.25">
      <c r="A785" t="s">
        <v>256</v>
      </c>
      <c r="B785">
        <v>2577</v>
      </c>
      <c r="C785" s="5">
        <v>138</v>
      </c>
      <c r="D785" s="1">
        <v>43963</v>
      </c>
      <c r="E785" t="str">
        <f>"202005056695"</f>
        <v>202005056695</v>
      </c>
      <c r="F785" t="str">
        <f>"MILEAGE REIMBURSEMENT"</f>
        <v>MILEAGE REIMBURSEMENT</v>
      </c>
      <c r="G785" s="5">
        <v>138</v>
      </c>
      <c r="H785" t="str">
        <f>"MILEAGE REIMBURSEMENT"</f>
        <v>MILEAGE REIMBURSEMENT</v>
      </c>
    </row>
    <row r="786" spans="1:8" x14ac:dyDescent="0.25">
      <c r="A786" t="s">
        <v>256</v>
      </c>
      <c r="B786">
        <v>2648</v>
      </c>
      <c r="C786" s="5">
        <v>1100</v>
      </c>
      <c r="D786" s="1">
        <v>43978</v>
      </c>
      <c r="E786" t="str">
        <f>"202005186904"</f>
        <v>202005186904</v>
      </c>
      <c r="F786" t="str">
        <f>"MEDIATION FEE 423-1699"</f>
        <v>MEDIATION FEE 423-1699</v>
      </c>
      <c r="G786" s="5">
        <v>1100</v>
      </c>
      <c r="H786" t="str">
        <f>"MEDIATION FEE 423-1699"</f>
        <v>MEDIATION FEE 423-1699</v>
      </c>
    </row>
    <row r="787" spans="1:8" x14ac:dyDescent="0.25">
      <c r="A787" t="s">
        <v>257</v>
      </c>
      <c r="B787">
        <v>131994</v>
      </c>
      <c r="C787" s="5">
        <v>109.12</v>
      </c>
      <c r="D787" s="1">
        <v>43977</v>
      </c>
      <c r="E787" t="str">
        <f>"393336"</f>
        <v>393336</v>
      </c>
      <c r="F787" t="str">
        <f>"INV 393336"</f>
        <v>INV 393336</v>
      </c>
      <c r="G787" s="5">
        <v>109.12</v>
      </c>
      <c r="H787" t="str">
        <f>"INV 393336"</f>
        <v>INV 393336</v>
      </c>
    </row>
    <row r="788" spans="1:8" x14ac:dyDescent="0.25">
      <c r="A788" t="s">
        <v>258</v>
      </c>
      <c r="B788">
        <v>131877</v>
      </c>
      <c r="C788" s="5">
        <v>2502.27</v>
      </c>
      <c r="D788" s="1">
        <v>43962</v>
      </c>
      <c r="E788" t="str">
        <f>"0966845-IN"</f>
        <v>0966845-IN</v>
      </c>
      <c r="F788" t="str">
        <f>"ACCT#01-0112917/FUEL/PCT#3"</f>
        <v>ACCT#01-0112917/FUEL/PCT#3</v>
      </c>
      <c r="G788" s="5">
        <v>2146.11</v>
      </c>
      <c r="H788" t="str">
        <f>"ACCT#01-0112917/FUEL/PCT#3"</f>
        <v>ACCT#01-0112917/FUEL/PCT#3</v>
      </c>
    </row>
    <row r="789" spans="1:8" x14ac:dyDescent="0.25">
      <c r="E789" t="str">
        <f>"0968092-IN"</f>
        <v>0968092-IN</v>
      </c>
      <c r="F789" t="str">
        <f>"ACCT#01-0112917/PCT#3"</f>
        <v>ACCT#01-0112917/PCT#3</v>
      </c>
      <c r="G789" s="5">
        <v>356.16</v>
      </c>
      <c r="H789" t="str">
        <f>"ACCT#01-0112917/PCT#3"</f>
        <v>ACCT#01-0112917/PCT#3</v>
      </c>
    </row>
    <row r="790" spans="1:8" x14ac:dyDescent="0.25">
      <c r="A790" t="s">
        <v>258</v>
      </c>
      <c r="B790">
        <v>131995</v>
      </c>
      <c r="C790" s="5">
        <v>9426.41</v>
      </c>
      <c r="D790" s="1">
        <v>43977</v>
      </c>
      <c r="E790" t="str">
        <f>"0962559-IN"</f>
        <v>0962559-IN</v>
      </c>
      <c r="F790" t="str">
        <f>"ACCT#01-0112917/PCT#4"</f>
        <v>ACCT#01-0112917/PCT#4</v>
      </c>
      <c r="G790" s="5">
        <v>2879.79</v>
      </c>
      <c r="H790" t="str">
        <f>"ACCT#01-0112917/PCT#4"</f>
        <v>ACCT#01-0112917/PCT#4</v>
      </c>
    </row>
    <row r="791" spans="1:8" x14ac:dyDescent="0.25">
      <c r="E791" t="str">
        <f>"0971158-IN"</f>
        <v>0971158-IN</v>
      </c>
      <c r="F791" t="str">
        <f>"ACCT#01-0112917/FUEL/PCT#1"</f>
        <v>ACCT#01-0112917/FUEL/PCT#1</v>
      </c>
      <c r="G791" s="5">
        <v>2448.48</v>
      </c>
      <c r="H791" t="str">
        <f>"ACCT#01-0112917/FUEL/PCT#1"</f>
        <v>ACCT#01-0112917/FUEL/PCT#1</v>
      </c>
    </row>
    <row r="792" spans="1:8" x14ac:dyDescent="0.25">
      <c r="E792" t="str">
        <f>"0971547-IN"</f>
        <v>0971547-IN</v>
      </c>
      <c r="F792" t="str">
        <f>"ACCT#01-0112917"</f>
        <v>ACCT#01-0112917</v>
      </c>
      <c r="G792" s="5">
        <v>1909.32</v>
      </c>
      <c r="H792" t="str">
        <f>"ACCT#01-0112917"</f>
        <v>ACCT#01-0112917</v>
      </c>
    </row>
    <row r="793" spans="1:8" x14ac:dyDescent="0.25">
      <c r="E793" t="str">
        <f>"0973670-IN"</f>
        <v>0973670-IN</v>
      </c>
      <c r="F793" t="str">
        <f>"ACCT#01-0112917/GASOLINE/PCT#4"</f>
        <v>ACCT#01-0112917/GASOLINE/PCT#4</v>
      </c>
      <c r="G793" s="5">
        <v>2188.8200000000002</v>
      </c>
      <c r="H793" t="str">
        <f>"ACCT#01-0112917/GASOLINE/PCT#4"</f>
        <v>ACCT#01-0112917/GASOLINE/PCT#4</v>
      </c>
    </row>
    <row r="794" spans="1:8" x14ac:dyDescent="0.25">
      <c r="A794" t="s">
        <v>259</v>
      </c>
      <c r="B794">
        <v>131996</v>
      </c>
      <c r="C794" s="5">
        <v>450</v>
      </c>
      <c r="D794" s="1">
        <v>43977</v>
      </c>
      <c r="E794" t="str">
        <f>"202005196938"</f>
        <v>202005196938</v>
      </c>
      <c r="F794" t="str">
        <f>"JUNE BOND RENEWALS"</f>
        <v>JUNE BOND RENEWALS</v>
      </c>
      <c r="G794" s="5">
        <v>400</v>
      </c>
      <c r="H794" t="str">
        <f>"JUNE BOND RENEWALS"</f>
        <v>JUNE BOND RENEWALS</v>
      </c>
    </row>
    <row r="795" spans="1:8" x14ac:dyDescent="0.25">
      <c r="E795" t="str">
        <f>"5218"</f>
        <v>5218</v>
      </c>
      <c r="F795" t="str">
        <f>"ACCT#BASCOU-11/POLICY#62443142"</f>
        <v>ACCT#BASCOU-11/POLICY#62443142</v>
      </c>
      <c r="G795" s="5">
        <v>50</v>
      </c>
      <c r="H795" t="str">
        <f>"ACCT#BASCOU-11/POLICY#62443142"</f>
        <v>ACCT#BASCOU-11/POLICY#62443142</v>
      </c>
    </row>
    <row r="796" spans="1:8" x14ac:dyDescent="0.25">
      <c r="A796" t="s">
        <v>260</v>
      </c>
      <c r="B796">
        <v>131997</v>
      </c>
      <c r="C796" s="5">
        <v>12293.89</v>
      </c>
      <c r="D796" s="1">
        <v>43977</v>
      </c>
      <c r="E796" t="str">
        <f>"DP-2019-4-0110"</f>
        <v>DP-2019-4-0110</v>
      </c>
      <c r="F796" t="str">
        <f>"DEFICIT BILLING 2019"</f>
        <v>DEFICIT BILLING 2019</v>
      </c>
      <c r="G796" s="5">
        <v>12293.89</v>
      </c>
      <c r="H796" t="str">
        <f t="shared" ref="H796:H833" si="14">"DEFICIT BILLING 2019"</f>
        <v>DEFICIT BILLING 2019</v>
      </c>
    </row>
    <row r="797" spans="1:8" x14ac:dyDescent="0.25">
      <c r="E797" t="str">
        <f>""</f>
        <v/>
      </c>
      <c r="F797" t="str">
        <f>""</f>
        <v/>
      </c>
      <c r="H797" t="str">
        <f t="shared" si="14"/>
        <v>DEFICIT BILLING 2019</v>
      </c>
    </row>
    <row r="798" spans="1:8" x14ac:dyDescent="0.25">
      <c r="E798" t="str">
        <f>""</f>
        <v/>
      </c>
      <c r="F798" t="str">
        <f>""</f>
        <v/>
      </c>
      <c r="H798" t="str">
        <f t="shared" si="14"/>
        <v>DEFICIT BILLING 2019</v>
      </c>
    </row>
    <row r="799" spans="1:8" x14ac:dyDescent="0.25">
      <c r="E799" t="str">
        <f>""</f>
        <v/>
      </c>
      <c r="F799" t="str">
        <f>""</f>
        <v/>
      </c>
      <c r="H799" t="str">
        <f t="shared" si="14"/>
        <v>DEFICIT BILLING 2019</v>
      </c>
    </row>
    <row r="800" spans="1:8" x14ac:dyDescent="0.25">
      <c r="E800" t="str">
        <f>""</f>
        <v/>
      </c>
      <c r="F800" t="str">
        <f>""</f>
        <v/>
      </c>
      <c r="H800" t="str">
        <f t="shared" si="14"/>
        <v>DEFICIT BILLING 2019</v>
      </c>
    </row>
    <row r="801" spans="5:8" x14ac:dyDescent="0.25">
      <c r="E801" t="str">
        <f>""</f>
        <v/>
      </c>
      <c r="F801" t="str">
        <f>""</f>
        <v/>
      </c>
      <c r="H801" t="str">
        <f t="shared" si="14"/>
        <v>DEFICIT BILLING 2019</v>
      </c>
    </row>
    <row r="802" spans="5:8" x14ac:dyDescent="0.25">
      <c r="E802" t="str">
        <f>""</f>
        <v/>
      </c>
      <c r="F802" t="str">
        <f>""</f>
        <v/>
      </c>
      <c r="H802" t="str">
        <f t="shared" si="14"/>
        <v>DEFICIT BILLING 2019</v>
      </c>
    </row>
    <row r="803" spans="5:8" x14ac:dyDescent="0.25">
      <c r="E803" t="str">
        <f>""</f>
        <v/>
      </c>
      <c r="F803" t="str">
        <f>""</f>
        <v/>
      </c>
      <c r="H803" t="str">
        <f t="shared" si="14"/>
        <v>DEFICIT BILLING 2019</v>
      </c>
    </row>
    <row r="804" spans="5:8" x14ac:dyDescent="0.25">
      <c r="E804" t="str">
        <f>""</f>
        <v/>
      </c>
      <c r="F804" t="str">
        <f>""</f>
        <v/>
      </c>
      <c r="H804" t="str">
        <f t="shared" si="14"/>
        <v>DEFICIT BILLING 2019</v>
      </c>
    </row>
    <row r="805" spans="5:8" x14ac:dyDescent="0.25">
      <c r="E805" t="str">
        <f>""</f>
        <v/>
      </c>
      <c r="F805" t="str">
        <f>""</f>
        <v/>
      </c>
      <c r="H805" t="str">
        <f t="shared" si="14"/>
        <v>DEFICIT BILLING 2019</v>
      </c>
    </row>
    <row r="806" spans="5:8" x14ac:dyDescent="0.25">
      <c r="E806" t="str">
        <f>""</f>
        <v/>
      </c>
      <c r="F806" t="str">
        <f>""</f>
        <v/>
      </c>
      <c r="H806" t="str">
        <f t="shared" si="14"/>
        <v>DEFICIT BILLING 2019</v>
      </c>
    </row>
    <row r="807" spans="5:8" x14ac:dyDescent="0.25">
      <c r="E807" t="str">
        <f>""</f>
        <v/>
      </c>
      <c r="F807" t="str">
        <f>""</f>
        <v/>
      </c>
      <c r="H807" t="str">
        <f t="shared" si="14"/>
        <v>DEFICIT BILLING 2019</v>
      </c>
    </row>
    <row r="808" spans="5:8" x14ac:dyDescent="0.25">
      <c r="E808" t="str">
        <f>""</f>
        <v/>
      </c>
      <c r="F808" t="str">
        <f>""</f>
        <v/>
      </c>
      <c r="H808" t="str">
        <f t="shared" si="14"/>
        <v>DEFICIT BILLING 2019</v>
      </c>
    </row>
    <row r="809" spans="5:8" x14ac:dyDescent="0.25">
      <c r="E809" t="str">
        <f>""</f>
        <v/>
      </c>
      <c r="F809" t="str">
        <f>""</f>
        <v/>
      </c>
      <c r="H809" t="str">
        <f t="shared" si="14"/>
        <v>DEFICIT BILLING 2019</v>
      </c>
    </row>
    <row r="810" spans="5:8" x14ac:dyDescent="0.25">
      <c r="E810" t="str">
        <f>""</f>
        <v/>
      </c>
      <c r="F810" t="str">
        <f>""</f>
        <v/>
      </c>
      <c r="H810" t="str">
        <f t="shared" si="14"/>
        <v>DEFICIT BILLING 2019</v>
      </c>
    </row>
    <row r="811" spans="5:8" x14ac:dyDescent="0.25">
      <c r="E811" t="str">
        <f>""</f>
        <v/>
      </c>
      <c r="F811" t="str">
        <f>""</f>
        <v/>
      </c>
      <c r="H811" t="str">
        <f t="shared" si="14"/>
        <v>DEFICIT BILLING 2019</v>
      </c>
    </row>
    <row r="812" spans="5:8" x14ac:dyDescent="0.25">
      <c r="E812" t="str">
        <f>""</f>
        <v/>
      </c>
      <c r="F812" t="str">
        <f>""</f>
        <v/>
      </c>
      <c r="H812" t="str">
        <f t="shared" si="14"/>
        <v>DEFICIT BILLING 2019</v>
      </c>
    </row>
    <row r="813" spans="5:8" x14ac:dyDescent="0.25">
      <c r="E813" t="str">
        <f>""</f>
        <v/>
      </c>
      <c r="F813" t="str">
        <f>""</f>
        <v/>
      </c>
      <c r="H813" t="str">
        <f t="shared" si="14"/>
        <v>DEFICIT BILLING 2019</v>
      </c>
    </row>
    <row r="814" spans="5:8" x14ac:dyDescent="0.25">
      <c r="E814" t="str">
        <f>""</f>
        <v/>
      </c>
      <c r="F814" t="str">
        <f>""</f>
        <v/>
      </c>
      <c r="H814" t="str">
        <f t="shared" si="14"/>
        <v>DEFICIT BILLING 2019</v>
      </c>
    </row>
    <row r="815" spans="5:8" x14ac:dyDescent="0.25">
      <c r="E815" t="str">
        <f>""</f>
        <v/>
      </c>
      <c r="F815" t="str">
        <f>""</f>
        <v/>
      </c>
      <c r="H815" t="str">
        <f t="shared" si="14"/>
        <v>DEFICIT BILLING 2019</v>
      </c>
    </row>
    <row r="816" spans="5:8" x14ac:dyDescent="0.25">
      <c r="E816" t="str">
        <f>""</f>
        <v/>
      </c>
      <c r="F816" t="str">
        <f>""</f>
        <v/>
      </c>
      <c r="H816" t="str">
        <f t="shared" si="14"/>
        <v>DEFICIT BILLING 2019</v>
      </c>
    </row>
    <row r="817" spans="5:8" x14ac:dyDescent="0.25">
      <c r="E817" t="str">
        <f>""</f>
        <v/>
      </c>
      <c r="F817" t="str">
        <f>""</f>
        <v/>
      </c>
      <c r="H817" t="str">
        <f t="shared" si="14"/>
        <v>DEFICIT BILLING 2019</v>
      </c>
    </row>
    <row r="818" spans="5:8" x14ac:dyDescent="0.25">
      <c r="E818" t="str">
        <f>""</f>
        <v/>
      </c>
      <c r="F818" t="str">
        <f>""</f>
        <v/>
      </c>
      <c r="H818" t="str">
        <f t="shared" si="14"/>
        <v>DEFICIT BILLING 2019</v>
      </c>
    </row>
    <row r="819" spans="5:8" x14ac:dyDescent="0.25">
      <c r="E819" t="str">
        <f>""</f>
        <v/>
      </c>
      <c r="F819" t="str">
        <f>""</f>
        <v/>
      </c>
      <c r="H819" t="str">
        <f t="shared" si="14"/>
        <v>DEFICIT BILLING 2019</v>
      </c>
    </row>
    <row r="820" spans="5:8" x14ac:dyDescent="0.25">
      <c r="E820" t="str">
        <f>""</f>
        <v/>
      </c>
      <c r="F820" t="str">
        <f>""</f>
        <v/>
      </c>
      <c r="H820" t="str">
        <f t="shared" si="14"/>
        <v>DEFICIT BILLING 2019</v>
      </c>
    </row>
    <row r="821" spans="5:8" x14ac:dyDescent="0.25">
      <c r="E821" t="str">
        <f>""</f>
        <v/>
      </c>
      <c r="F821" t="str">
        <f>""</f>
        <v/>
      </c>
      <c r="H821" t="str">
        <f t="shared" si="14"/>
        <v>DEFICIT BILLING 2019</v>
      </c>
    </row>
    <row r="822" spans="5:8" x14ac:dyDescent="0.25">
      <c r="E822" t="str">
        <f>""</f>
        <v/>
      </c>
      <c r="F822" t="str">
        <f>""</f>
        <v/>
      </c>
      <c r="H822" t="str">
        <f t="shared" si="14"/>
        <v>DEFICIT BILLING 2019</v>
      </c>
    </row>
    <row r="823" spans="5:8" x14ac:dyDescent="0.25">
      <c r="E823" t="str">
        <f>""</f>
        <v/>
      </c>
      <c r="F823" t="str">
        <f>""</f>
        <v/>
      </c>
      <c r="H823" t="str">
        <f t="shared" si="14"/>
        <v>DEFICIT BILLING 2019</v>
      </c>
    </row>
    <row r="824" spans="5:8" x14ac:dyDescent="0.25">
      <c r="E824" t="str">
        <f>""</f>
        <v/>
      </c>
      <c r="F824" t="str">
        <f>""</f>
        <v/>
      </c>
      <c r="H824" t="str">
        <f t="shared" si="14"/>
        <v>DEFICIT BILLING 2019</v>
      </c>
    </row>
    <row r="825" spans="5:8" x14ac:dyDescent="0.25">
      <c r="E825" t="str">
        <f>""</f>
        <v/>
      </c>
      <c r="F825" t="str">
        <f>""</f>
        <v/>
      </c>
      <c r="H825" t="str">
        <f t="shared" si="14"/>
        <v>DEFICIT BILLING 2019</v>
      </c>
    </row>
    <row r="826" spans="5:8" x14ac:dyDescent="0.25">
      <c r="E826" t="str">
        <f>""</f>
        <v/>
      </c>
      <c r="F826" t="str">
        <f>""</f>
        <v/>
      </c>
      <c r="H826" t="str">
        <f t="shared" si="14"/>
        <v>DEFICIT BILLING 2019</v>
      </c>
    </row>
    <row r="827" spans="5:8" x14ac:dyDescent="0.25">
      <c r="E827" t="str">
        <f>""</f>
        <v/>
      </c>
      <c r="F827" t="str">
        <f>""</f>
        <v/>
      </c>
      <c r="H827" t="str">
        <f t="shared" si="14"/>
        <v>DEFICIT BILLING 2019</v>
      </c>
    </row>
    <row r="828" spans="5:8" x14ac:dyDescent="0.25">
      <c r="E828" t="str">
        <f>""</f>
        <v/>
      </c>
      <c r="F828" t="str">
        <f>""</f>
        <v/>
      </c>
      <c r="H828" t="str">
        <f t="shared" si="14"/>
        <v>DEFICIT BILLING 2019</v>
      </c>
    </row>
    <row r="829" spans="5:8" x14ac:dyDescent="0.25">
      <c r="E829" t="str">
        <f>""</f>
        <v/>
      </c>
      <c r="F829" t="str">
        <f>""</f>
        <v/>
      </c>
      <c r="H829" t="str">
        <f t="shared" si="14"/>
        <v>DEFICIT BILLING 2019</v>
      </c>
    </row>
    <row r="830" spans="5:8" x14ac:dyDescent="0.25">
      <c r="E830" t="str">
        <f>""</f>
        <v/>
      </c>
      <c r="F830" t="str">
        <f>""</f>
        <v/>
      </c>
      <c r="H830" t="str">
        <f t="shared" si="14"/>
        <v>DEFICIT BILLING 2019</v>
      </c>
    </row>
    <row r="831" spans="5:8" x14ac:dyDescent="0.25">
      <c r="E831" t="str">
        <f>""</f>
        <v/>
      </c>
      <c r="F831" t="str">
        <f>""</f>
        <v/>
      </c>
      <c r="H831" t="str">
        <f t="shared" si="14"/>
        <v>DEFICIT BILLING 2019</v>
      </c>
    </row>
    <row r="832" spans="5:8" x14ac:dyDescent="0.25">
      <c r="E832" t="str">
        <f>""</f>
        <v/>
      </c>
      <c r="F832" t="str">
        <f>""</f>
        <v/>
      </c>
      <c r="H832" t="str">
        <f t="shared" si="14"/>
        <v>DEFICIT BILLING 2019</v>
      </c>
    </row>
    <row r="833" spans="1:8" x14ac:dyDescent="0.25">
      <c r="E833" t="str">
        <f>""</f>
        <v/>
      </c>
      <c r="F833" t="str">
        <f>""</f>
        <v/>
      </c>
      <c r="H833" t="str">
        <f t="shared" si="14"/>
        <v>DEFICIT BILLING 2019</v>
      </c>
    </row>
    <row r="834" spans="1:8" x14ac:dyDescent="0.25">
      <c r="A834" t="s">
        <v>261</v>
      </c>
      <c r="B834">
        <v>2632</v>
      </c>
      <c r="C834" s="5">
        <v>55</v>
      </c>
      <c r="D834" s="1">
        <v>43978</v>
      </c>
      <c r="E834" t="str">
        <f>"15229"</f>
        <v>15229</v>
      </c>
      <c r="F834" t="str">
        <f>"ACCT#1267C/ANIMAL SHELTER"</f>
        <v>ACCT#1267C/ANIMAL SHELTER</v>
      </c>
      <c r="G834" s="5">
        <v>55</v>
      </c>
      <c r="H834" t="str">
        <f>"ACCT#1267C/ANIMAL SHELTER"</f>
        <v>ACCT#1267C/ANIMAL SHELTER</v>
      </c>
    </row>
    <row r="835" spans="1:8" x14ac:dyDescent="0.25">
      <c r="A835" t="s">
        <v>262</v>
      </c>
      <c r="B835">
        <v>131878</v>
      </c>
      <c r="C835" s="5">
        <v>2</v>
      </c>
      <c r="D835" s="1">
        <v>43962</v>
      </c>
      <c r="E835" t="str">
        <f>"202004286626"</f>
        <v>202004286626</v>
      </c>
      <c r="F835" t="str">
        <f>"APP FOR LOST TITLE-2001 TRAILE"</f>
        <v>APP FOR LOST TITLE-2001 TRAILE</v>
      </c>
      <c r="G835" s="5">
        <v>2</v>
      </c>
      <c r="H835" t="str">
        <f>"APP FOR LOST TITLE-2001 TRAILE"</f>
        <v>APP FOR LOST TITLE-2001 TRAILE</v>
      </c>
    </row>
    <row r="836" spans="1:8" x14ac:dyDescent="0.25">
      <c r="A836" t="s">
        <v>263</v>
      </c>
      <c r="B836">
        <v>131879</v>
      </c>
      <c r="C836" s="5">
        <v>155</v>
      </c>
      <c r="D836" s="1">
        <v>43962</v>
      </c>
      <c r="E836" t="str">
        <f>"5375718"</f>
        <v>5375718</v>
      </c>
      <c r="F836" t="str">
        <f>"CUST#1-238865/4FL COM WASTE SR"</f>
        <v>CUST#1-238865/4FL COM WASTE SR</v>
      </c>
      <c r="G836" s="5">
        <v>155</v>
      </c>
      <c r="H836" t="str">
        <f>"CUST#1-238865/4FL COM WASTE SR"</f>
        <v>CUST#1-238865/4FL COM WASTE SR</v>
      </c>
    </row>
    <row r="837" spans="1:8" x14ac:dyDescent="0.25">
      <c r="A837" t="s">
        <v>264</v>
      </c>
      <c r="B837">
        <v>131880</v>
      </c>
      <c r="C837" s="5">
        <v>143.5</v>
      </c>
      <c r="D837" s="1">
        <v>43962</v>
      </c>
      <c r="E837" t="str">
        <f>"1CO-1174-20"</f>
        <v>1CO-1174-20</v>
      </c>
      <c r="F837" t="str">
        <f>"A8286631 - J. HOOD"</f>
        <v>A8286631 - J. HOOD</v>
      </c>
      <c r="G837" s="5">
        <v>115.75</v>
      </c>
      <c r="H837" t="str">
        <f>"A8286631 - J. HOOD"</f>
        <v>A8286631 - J. HOOD</v>
      </c>
    </row>
    <row r="838" spans="1:8" x14ac:dyDescent="0.25">
      <c r="E838" t="str">
        <f>"1CO-1176-20"</f>
        <v>1CO-1176-20</v>
      </c>
      <c r="F838" t="str">
        <f>"A8286629 - P. CUNNINGHAM"</f>
        <v>A8286629 - P. CUNNINGHAM</v>
      </c>
      <c r="G838" s="5">
        <v>27.75</v>
      </c>
      <c r="H838" t="str">
        <f>"A8286629 - P. CUNNINGHAM"</f>
        <v>A8286629 - P. CUNNINGHAM</v>
      </c>
    </row>
    <row r="839" spans="1:8" x14ac:dyDescent="0.25">
      <c r="A839" t="s">
        <v>265</v>
      </c>
      <c r="B839">
        <v>131881</v>
      </c>
      <c r="C839" s="5">
        <v>240</v>
      </c>
      <c r="D839" s="1">
        <v>43962</v>
      </c>
      <c r="E839" t="str">
        <f>"20-04-25136"</f>
        <v>20-04-25136</v>
      </c>
      <c r="F839" t="str">
        <f>"INV 20-04-25136"</f>
        <v>INV 20-04-25136</v>
      </c>
      <c r="G839" s="5">
        <v>240</v>
      </c>
      <c r="H839" t="str">
        <f>"INV 20-04-25136"</f>
        <v>INV 20-04-25136</v>
      </c>
    </row>
    <row r="840" spans="1:8" x14ac:dyDescent="0.25">
      <c r="A840" t="s">
        <v>266</v>
      </c>
      <c r="B840">
        <v>131882</v>
      </c>
      <c r="C840" s="5">
        <v>2784</v>
      </c>
      <c r="D840" s="1">
        <v>43962</v>
      </c>
      <c r="E840" t="str">
        <f>"004635"</f>
        <v>004635</v>
      </c>
      <c r="F840" t="str">
        <f>"ACCT#188757/COURTHOUSE"</f>
        <v>ACCT#188757/COURTHOUSE</v>
      </c>
      <c r="G840" s="5">
        <v>137</v>
      </c>
      <c r="H840" t="str">
        <f>"ACCT#188757/COURTHOUSE"</f>
        <v>ACCT#188757/COURTHOUSE</v>
      </c>
    </row>
    <row r="841" spans="1:8" x14ac:dyDescent="0.25">
      <c r="E841" t="str">
        <f>"154862"</f>
        <v>154862</v>
      </c>
      <c r="F841" t="str">
        <f>"ACCT#188757/RD&amp;BRIDGE/SIGN SHP"</f>
        <v>ACCT#188757/RD&amp;BRIDGE/SIGN SHP</v>
      </c>
      <c r="G841" s="5">
        <v>95</v>
      </c>
      <c r="H841" t="str">
        <f>"ACCT#188757/RD&amp;BRIDGE/SIGN SHP"</f>
        <v>ACCT#188757/RD&amp;BRIDGE/SIGN SHP</v>
      </c>
    </row>
    <row r="842" spans="1:8" x14ac:dyDescent="0.25">
      <c r="E842" t="str">
        <f>"154870"</f>
        <v>154870</v>
      </c>
      <c r="F842" t="str">
        <f>"ACCT#188757/JUVENILE BOOT CAMP"</f>
        <v>ACCT#188757/JUVENILE BOOT CAMP</v>
      </c>
      <c r="G842" s="5">
        <v>118.5</v>
      </c>
      <c r="H842" t="str">
        <f>"ACCT#188757/JUVENILE BOOT CAMP"</f>
        <v>ACCT#188757/JUVENILE BOOT CAMP</v>
      </c>
    </row>
    <row r="843" spans="1:8" x14ac:dyDescent="0.25">
      <c r="E843" t="str">
        <f>"155020"</f>
        <v>155020</v>
      </c>
      <c r="F843" t="str">
        <f>"ACCT#188757/TAX OFFICE"</f>
        <v>ACCT#188757/TAX OFFICE</v>
      </c>
      <c r="G843" s="5">
        <v>102</v>
      </c>
      <c r="H843" t="str">
        <f>"ACCT#188757/TAX OFFICE"</f>
        <v>ACCT#188757/TAX OFFICE</v>
      </c>
    </row>
    <row r="844" spans="1:8" x14ac:dyDescent="0.25">
      <c r="E844" t="str">
        <f>"155054"</f>
        <v>155054</v>
      </c>
      <c r="F844" t="str">
        <f>"ACCT#188757/PCT#4 RD &amp; BRIDGE"</f>
        <v>ACCT#188757/PCT#4 RD &amp; BRIDGE</v>
      </c>
      <c r="G844" s="5">
        <v>95.5</v>
      </c>
      <c r="H844" t="str">
        <f>"ACCT#188757/PCT#4 RD &amp; BRIDGE"</f>
        <v>ACCT#188757/PCT#4 RD &amp; BRIDGE</v>
      </c>
    </row>
    <row r="845" spans="1:8" x14ac:dyDescent="0.25">
      <c r="E845" t="str">
        <f>"155068"</f>
        <v>155068</v>
      </c>
      <c r="F845" t="str">
        <f>"ACCT#188757/LBJ BLDG/HLTH/WIC"</f>
        <v>ACCT#188757/LBJ BLDG/HLTH/WIC</v>
      </c>
      <c r="G845" s="5">
        <v>69</v>
      </c>
      <c r="H845" t="str">
        <f>"ACCT#188757/LBJ BLDG/HLTH/WIC"</f>
        <v>ACCT#188757/LBJ BLDG/HLTH/WIC</v>
      </c>
    </row>
    <row r="846" spans="1:8" x14ac:dyDescent="0.25">
      <c r="E846" t="str">
        <f>"155077"</f>
        <v>155077</v>
      </c>
      <c r="F846" t="str">
        <f>"ACCT#188757/ANIMAL SHELTER"</f>
        <v>ACCT#188757/ANIMAL SHELTER</v>
      </c>
      <c r="G846" s="5">
        <v>290</v>
      </c>
      <c r="H846" t="str">
        <f>"ACCT#188757/ANIMAL SHELTER"</f>
        <v>ACCT#188757/ANIMAL SHELTER</v>
      </c>
    </row>
    <row r="847" spans="1:8" x14ac:dyDescent="0.25">
      <c r="E847" t="str">
        <f>"155231"</f>
        <v>155231</v>
      </c>
      <c r="F847" t="str">
        <f>"ACCT#188757/PCT#2 MAINT BARN"</f>
        <v>ACCT#188757/PCT#2 MAINT BARN</v>
      </c>
      <c r="G847" s="5">
        <v>95</v>
      </c>
      <c r="H847" t="str">
        <f>"ACCT#188757/PCT#2 MAINT BARN"</f>
        <v>ACCT#188757/PCT#2 MAINT BARN</v>
      </c>
    </row>
    <row r="848" spans="1:8" x14ac:dyDescent="0.25">
      <c r="E848" t="str">
        <f>"155240"</f>
        <v>155240</v>
      </c>
      <c r="F848" t="str">
        <f>"ACCT#188757/JP2 ANNEX BLDG"</f>
        <v>ACCT#188757/JP2 ANNEX BLDG</v>
      </c>
      <c r="G848" s="5">
        <v>95</v>
      </c>
      <c r="H848" t="str">
        <f>"ACCT#188757/JP2 ANNEX BLDG"</f>
        <v>ACCT#188757/JP2 ANNEX BLDG</v>
      </c>
    </row>
    <row r="849" spans="1:8" x14ac:dyDescent="0.25">
      <c r="E849" t="str">
        <f>"155577"</f>
        <v>155577</v>
      </c>
      <c r="F849" t="str">
        <f>"ACCT#188757/JUVENILE PROBATION"</f>
        <v>ACCT#188757/JUVENILE PROBATION</v>
      </c>
      <c r="G849" s="5">
        <v>132</v>
      </c>
      <c r="H849" t="str">
        <f>"ACCT#188757/JUVENILE PROBATION"</f>
        <v>ACCT#188757/JUVENILE PROBATION</v>
      </c>
    </row>
    <row r="850" spans="1:8" x14ac:dyDescent="0.25">
      <c r="E850" t="str">
        <f>"155604"</f>
        <v>155604</v>
      </c>
      <c r="F850" t="str">
        <f>"ACCT#188757/HISTORIC JAIL"</f>
        <v>ACCT#188757/HISTORIC JAIL</v>
      </c>
      <c r="G850" s="5">
        <v>76</v>
      </c>
      <c r="H850" t="str">
        <f>"ACCT#188757/HISTORIC JAIL"</f>
        <v>ACCT#188757/HISTORIC JAIL</v>
      </c>
    </row>
    <row r="851" spans="1:8" x14ac:dyDescent="0.25">
      <c r="E851" t="str">
        <f>"155614"</f>
        <v>155614</v>
      </c>
      <c r="F851" t="str">
        <f>"ACCT#188757/EXT HABITAT BLDG"</f>
        <v>ACCT#188757/EXT HABITAT BLDG</v>
      </c>
      <c r="G851" s="5">
        <v>89</v>
      </c>
      <c r="H851" t="str">
        <f>"ACCT#188757/EXT HABITAT BLDG"</f>
        <v>ACCT#188757/EXT HABITAT BLDG</v>
      </c>
    </row>
    <row r="852" spans="1:8" x14ac:dyDescent="0.25">
      <c r="E852" t="str">
        <f>"155740"</f>
        <v>155740</v>
      </c>
      <c r="F852" t="str">
        <f>"ACCT#188757/PCT#3 WAREHOUSE"</f>
        <v>ACCT#188757/PCT#3 WAREHOUSE</v>
      </c>
      <c r="G852" s="5">
        <v>95</v>
      </c>
      <c r="H852" t="str">
        <f>"ACCT#188757/PCT#3 WAREHOUSE"</f>
        <v>ACCT#188757/PCT#3 WAREHOUSE</v>
      </c>
    </row>
    <row r="853" spans="1:8" x14ac:dyDescent="0.25">
      <c r="E853" t="str">
        <f>"155951"</f>
        <v>155951</v>
      </c>
      <c r="F853" t="str">
        <f>"ACCT#188757/STONY POINT PARK"</f>
        <v>ACCT#188757/STONY POINT PARK</v>
      </c>
      <c r="G853" s="5">
        <v>95</v>
      </c>
      <c r="H853" t="str">
        <f>"ACCT#188757/STONY POINT PARK"</f>
        <v>ACCT#188757/STONY POINT PARK</v>
      </c>
    </row>
    <row r="854" spans="1:8" x14ac:dyDescent="0.25">
      <c r="E854" t="str">
        <f>"156002"</f>
        <v>156002</v>
      </c>
      <c r="F854" t="str">
        <f>"ACCT#188757/COURTHOUSE MAIN AN"</f>
        <v>ACCT#188757/COURTHOUSE MAIN AN</v>
      </c>
      <c r="G854" s="5">
        <v>1200</v>
      </c>
      <c r="H854" t="str">
        <f>"ACCT#188757/COURTHOUSE MAIN AN"</f>
        <v>ACCT#188757/COURTHOUSE MAIN AN</v>
      </c>
    </row>
    <row r="855" spans="1:8" x14ac:dyDescent="0.25">
      <c r="A855" t="s">
        <v>266</v>
      </c>
      <c r="B855">
        <v>131998</v>
      </c>
      <c r="C855" s="5">
        <v>201</v>
      </c>
      <c r="D855" s="1">
        <v>43977</v>
      </c>
      <c r="E855" t="str">
        <f>"157745"</f>
        <v>157745</v>
      </c>
      <c r="F855" t="str">
        <f>"ACCT#157745/CEDAR CREEK PARK"</f>
        <v>ACCT#157745/CEDAR CREEK PARK</v>
      </c>
      <c r="G855" s="5">
        <v>125</v>
      </c>
      <c r="H855" t="str">
        <f>"ACCT#157745/CEDAR CREEK PARK"</f>
        <v>ACCT#157745/CEDAR CREEK PARK</v>
      </c>
    </row>
    <row r="856" spans="1:8" x14ac:dyDescent="0.25">
      <c r="E856" t="str">
        <f>"158270"</f>
        <v>158270</v>
      </c>
      <c r="F856" t="str">
        <f>"ACCT#188757/DPS/TDL"</f>
        <v>ACCT#188757/DPS/TDL</v>
      </c>
      <c r="G856" s="5">
        <v>76</v>
      </c>
      <c r="H856" t="str">
        <f>"ACCT#188757/DPS/TDL"</f>
        <v>ACCT#188757/DPS/TDL</v>
      </c>
    </row>
    <row r="857" spans="1:8" x14ac:dyDescent="0.25">
      <c r="A857" t="s">
        <v>267</v>
      </c>
      <c r="B857">
        <v>2542</v>
      </c>
      <c r="C857" s="5">
        <v>650</v>
      </c>
      <c r="D857" s="1">
        <v>43963</v>
      </c>
      <c r="E857" t="str">
        <f>"202005056677"</f>
        <v>202005056677</v>
      </c>
      <c r="F857" t="str">
        <f>"20-20030"</f>
        <v>20-20030</v>
      </c>
      <c r="G857" s="5">
        <v>300</v>
      </c>
      <c r="H857" t="str">
        <f>"20-20030"</f>
        <v>20-20030</v>
      </c>
    </row>
    <row r="858" spans="1:8" x14ac:dyDescent="0.25">
      <c r="E858" t="str">
        <f>"202005056678"</f>
        <v>202005056678</v>
      </c>
      <c r="F858" t="str">
        <f>"19-19638"</f>
        <v>19-19638</v>
      </c>
      <c r="G858" s="5">
        <v>150</v>
      </c>
      <c r="H858" t="str">
        <f>"19-19638"</f>
        <v>19-19638</v>
      </c>
    </row>
    <row r="859" spans="1:8" x14ac:dyDescent="0.25">
      <c r="E859" t="str">
        <f>"202005056679"</f>
        <v>202005056679</v>
      </c>
      <c r="F859" t="str">
        <f>"423-7231  JP3309132019GRE"</f>
        <v>423-7231  JP3309132019GRE</v>
      </c>
      <c r="G859" s="5">
        <v>200</v>
      </c>
      <c r="H859" t="str">
        <f>"423-7231  JP3309132019GRE"</f>
        <v>423-7231  JP3309132019GRE</v>
      </c>
    </row>
    <row r="860" spans="1:8" x14ac:dyDescent="0.25">
      <c r="A860" t="s">
        <v>267</v>
      </c>
      <c r="B860">
        <v>2610</v>
      </c>
      <c r="C860" s="5">
        <v>1400</v>
      </c>
      <c r="D860" s="1">
        <v>43978</v>
      </c>
      <c r="E860" t="str">
        <f>"202005146867"</f>
        <v>202005146867</v>
      </c>
      <c r="F860" t="str">
        <f>"9225"</f>
        <v>9225</v>
      </c>
      <c r="G860" s="5">
        <v>400</v>
      </c>
      <c r="H860" t="str">
        <f>"9225"</f>
        <v>9225</v>
      </c>
    </row>
    <row r="861" spans="1:8" x14ac:dyDescent="0.25">
      <c r="E861" t="str">
        <f>"202005146868"</f>
        <v>202005146868</v>
      </c>
      <c r="F861" t="str">
        <f>"1500-21  1504-335"</f>
        <v>1500-21  1504-335</v>
      </c>
      <c r="G861" s="5">
        <v>100</v>
      </c>
      <c r="H861" t="str">
        <f>"1500-21  1504-335"</f>
        <v>1500-21  1504-335</v>
      </c>
    </row>
    <row r="862" spans="1:8" x14ac:dyDescent="0.25">
      <c r="E862" t="str">
        <f>"202005146869"</f>
        <v>202005146869</v>
      </c>
      <c r="F862" t="str">
        <f>"20-20221   1513-335"</f>
        <v>20-20221   1513-335</v>
      </c>
      <c r="G862" s="5">
        <v>200</v>
      </c>
      <c r="H862" t="str">
        <f>"20-20221   1513-335"</f>
        <v>20-20221   1513-335</v>
      </c>
    </row>
    <row r="863" spans="1:8" x14ac:dyDescent="0.25">
      <c r="E863" t="str">
        <f>"202005186912"</f>
        <v>202005186912</v>
      </c>
      <c r="F863" t="str">
        <f>"1515-21"</f>
        <v>1515-21</v>
      </c>
      <c r="G863" s="5">
        <v>100</v>
      </c>
      <c r="H863" t="str">
        <f>"1515-21"</f>
        <v>1515-21</v>
      </c>
    </row>
    <row r="864" spans="1:8" x14ac:dyDescent="0.25">
      <c r="E864" t="str">
        <f>"202005186913"</f>
        <v>202005186913</v>
      </c>
      <c r="F864" t="str">
        <f>"1513-335"</f>
        <v>1513-335</v>
      </c>
      <c r="G864" s="5">
        <v>225</v>
      </c>
      <c r="H864" t="str">
        <f>"1513-335"</f>
        <v>1513-335</v>
      </c>
    </row>
    <row r="865" spans="1:8" x14ac:dyDescent="0.25">
      <c r="E865" t="str">
        <f>"202005196924"</f>
        <v>202005196924</v>
      </c>
      <c r="F865" t="str">
        <f>"20-20030"</f>
        <v>20-20030</v>
      </c>
      <c r="G865" s="5">
        <v>375</v>
      </c>
      <c r="H865" t="str">
        <f>"20-20030"</f>
        <v>20-20030</v>
      </c>
    </row>
    <row r="866" spans="1:8" x14ac:dyDescent="0.25">
      <c r="A866" t="s">
        <v>268</v>
      </c>
      <c r="B866">
        <v>131883</v>
      </c>
      <c r="C866" s="5">
        <v>572</v>
      </c>
      <c r="D866" s="1">
        <v>43962</v>
      </c>
      <c r="E866" t="str">
        <f>"542225293"</f>
        <v>542225293</v>
      </c>
      <c r="F866" t="str">
        <f>"ACCT#1000648597/APRIL 2020"</f>
        <v>ACCT#1000648597/APRIL 2020</v>
      </c>
      <c r="G866" s="5">
        <v>572</v>
      </c>
      <c r="H866" t="str">
        <f>"ACCT#1000648597/APRIL 2020"</f>
        <v>ACCT#1000648597/APRIL 2020</v>
      </c>
    </row>
    <row r="867" spans="1:8" x14ac:dyDescent="0.25">
      <c r="A867" t="s">
        <v>269</v>
      </c>
      <c r="B867">
        <v>131884</v>
      </c>
      <c r="C867" s="5">
        <v>589</v>
      </c>
      <c r="D867" s="1">
        <v>43962</v>
      </c>
      <c r="E867" t="str">
        <f>"202005056690"</f>
        <v>202005056690</v>
      </c>
      <c r="F867" t="str">
        <f>"423-6426"</f>
        <v>423-6426</v>
      </c>
      <c r="G867" s="5">
        <v>589</v>
      </c>
      <c r="H867" t="str">
        <f>"423-6426"</f>
        <v>423-6426</v>
      </c>
    </row>
    <row r="868" spans="1:8" x14ac:dyDescent="0.25">
      <c r="A868" t="s">
        <v>269</v>
      </c>
      <c r="B868">
        <v>131999</v>
      </c>
      <c r="C868" s="5">
        <v>172.5</v>
      </c>
      <c r="D868" s="1">
        <v>43977</v>
      </c>
      <c r="E868" t="str">
        <f>"202005196925"</f>
        <v>202005196925</v>
      </c>
      <c r="F868" t="str">
        <f>"091-3192"</f>
        <v>091-3192</v>
      </c>
      <c r="G868" s="5">
        <v>172.5</v>
      </c>
      <c r="H868" t="str">
        <f>"091-3192"</f>
        <v>091-3192</v>
      </c>
    </row>
    <row r="869" spans="1:8" x14ac:dyDescent="0.25">
      <c r="A869" t="s">
        <v>270</v>
      </c>
      <c r="B869">
        <v>131885</v>
      </c>
      <c r="C869" s="5">
        <v>1989.45</v>
      </c>
      <c r="D869" s="1">
        <v>43962</v>
      </c>
      <c r="E869" t="str">
        <f>"200638231"</f>
        <v>200638231</v>
      </c>
      <c r="F869" t="str">
        <f>"acct# 6035301200160982"</f>
        <v>acct# 6035301200160982</v>
      </c>
      <c r="G869" s="5">
        <v>1989.45</v>
      </c>
      <c r="H869" t="str">
        <f>"inv# 200638231"</f>
        <v>inv# 200638231</v>
      </c>
    </row>
    <row r="870" spans="1:8" x14ac:dyDescent="0.25">
      <c r="E870" t="str">
        <f>""</f>
        <v/>
      </c>
      <c r="F870" t="str">
        <f>""</f>
        <v/>
      </c>
      <c r="H870" t="str">
        <f>"Inv# 200636668"</f>
        <v>Inv# 200636668</v>
      </c>
    </row>
    <row r="871" spans="1:8" x14ac:dyDescent="0.25">
      <c r="E871" t="str">
        <f>""</f>
        <v/>
      </c>
      <c r="F871" t="str">
        <f>""</f>
        <v/>
      </c>
      <c r="H871" t="str">
        <f>"acct# 60353012001609"</f>
        <v>acct# 60353012001609</v>
      </c>
    </row>
    <row r="872" spans="1:8" x14ac:dyDescent="0.25">
      <c r="A872" t="s">
        <v>271</v>
      </c>
      <c r="B872">
        <v>131886</v>
      </c>
      <c r="C872" s="5">
        <v>926</v>
      </c>
      <c r="D872" s="1">
        <v>43962</v>
      </c>
      <c r="E872" t="str">
        <f>"20-000733"</f>
        <v>20-000733</v>
      </c>
      <c r="F872" t="str">
        <f>"CAUSE#C-1-MH-20-000733"</f>
        <v>CAUSE#C-1-MH-20-000733</v>
      </c>
      <c r="G872" s="5">
        <v>463</v>
      </c>
      <c r="H872" t="str">
        <f>"CAUSE#C-1-MH-20-000733"</f>
        <v>CAUSE#C-1-MH-20-000733</v>
      </c>
    </row>
    <row r="873" spans="1:8" x14ac:dyDescent="0.25">
      <c r="E873" t="str">
        <f>"20-000734"</f>
        <v>20-000734</v>
      </c>
      <c r="F873" t="str">
        <f>"CAUSE#C-1-MH-20 000734"</f>
        <v>CAUSE#C-1-MH-20 000734</v>
      </c>
      <c r="G873" s="5">
        <v>463</v>
      </c>
      <c r="H873" t="str">
        <f>"CAUSE#C-1-MH-20 000734"</f>
        <v>CAUSE#C-1-MH-20 000734</v>
      </c>
    </row>
    <row r="874" spans="1:8" x14ac:dyDescent="0.25">
      <c r="A874" t="s">
        <v>272</v>
      </c>
      <c r="B874">
        <v>131887</v>
      </c>
      <c r="C874" s="5">
        <v>675</v>
      </c>
      <c r="D874" s="1">
        <v>43962</v>
      </c>
      <c r="E874" t="str">
        <f>"12612"</f>
        <v>12612</v>
      </c>
      <c r="F874" t="str">
        <f>"SERVICE"</f>
        <v>SERVICE</v>
      </c>
      <c r="G874" s="5">
        <v>450</v>
      </c>
      <c r="H874" t="str">
        <f>"SERVICE"</f>
        <v>SERVICE</v>
      </c>
    </row>
    <row r="875" spans="1:8" x14ac:dyDescent="0.25">
      <c r="E875" t="str">
        <f>"12752"</f>
        <v>12752</v>
      </c>
      <c r="F875" t="str">
        <f>"SERVICE"</f>
        <v>SERVICE</v>
      </c>
      <c r="G875" s="5">
        <v>150</v>
      </c>
      <c r="H875" t="str">
        <f>"SERVICE"</f>
        <v>SERVICE</v>
      </c>
    </row>
    <row r="876" spans="1:8" x14ac:dyDescent="0.25">
      <c r="E876" t="str">
        <f>"13229"</f>
        <v>13229</v>
      </c>
      <c r="F876" t="str">
        <f>"SERVICE"</f>
        <v>SERVICE</v>
      </c>
      <c r="G876" s="5">
        <v>75</v>
      </c>
      <c r="H876" t="str">
        <f>"SERVICE"</f>
        <v>SERVICE</v>
      </c>
    </row>
    <row r="877" spans="1:8" x14ac:dyDescent="0.25">
      <c r="A877" t="s">
        <v>273</v>
      </c>
      <c r="B877">
        <v>132000</v>
      </c>
      <c r="C877" s="5">
        <v>88.27</v>
      </c>
      <c r="D877" s="1">
        <v>43977</v>
      </c>
      <c r="E877" t="str">
        <f>"4666*98082*1"</f>
        <v>4666*98082*1</v>
      </c>
      <c r="F877" t="str">
        <f>"JAIL MEDICAL"</f>
        <v>JAIL MEDICAL</v>
      </c>
      <c r="G877" s="5">
        <v>88.27</v>
      </c>
      <c r="H877" t="str">
        <f>"JAIL MEDICAL"</f>
        <v>JAIL MEDICAL</v>
      </c>
    </row>
    <row r="878" spans="1:8" x14ac:dyDescent="0.25">
      <c r="A878" t="s">
        <v>274</v>
      </c>
      <c r="B878">
        <v>2543</v>
      </c>
      <c r="C878" s="5">
        <v>135.79</v>
      </c>
      <c r="D878" s="1">
        <v>43963</v>
      </c>
      <c r="E878" t="str">
        <f>"808767"</f>
        <v>808767</v>
      </c>
      <c r="F878" t="str">
        <f>"INV 808767 / UNIT 9646"</f>
        <v>INV 808767 / UNIT 9646</v>
      </c>
      <c r="G878" s="5">
        <v>135.79</v>
      </c>
      <c r="H878" t="str">
        <f>"INV 808767 / UNIT 9646"</f>
        <v>INV 808767 / UNIT 9646</v>
      </c>
    </row>
    <row r="879" spans="1:8" x14ac:dyDescent="0.25">
      <c r="A879" t="s">
        <v>275</v>
      </c>
      <c r="B879">
        <v>132001</v>
      </c>
      <c r="C879" s="5">
        <v>213.2</v>
      </c>
      <c r="D879" s="1">
        <v>43977</v>
      </c>
      <c r="E879" t="str">
        <f>"202005196954"</f>
        <v>202005196954</v>
      </c>
      <c r="F879" t="str">
        <f>"INDIGENT HEALTH"</f>
        <v>INDIGENT HEALTH</v>
      </c>
      <c r="G879" s="5">
        <v>213.2</v>
      </c>
      <c r="H879" t="str">
        <f>"INDIGENT HEALTH"</f>
        <v>INDIGENT HEALTH</v>
      </c>
    </row>
    <row r="880" spans="1:8" x14ac:dyDescent="0.25">
      <c r="A880" t="s">
        <v>276</v>
      </c>
      <c r="B880">
        <v>2657</v>
      </c>
      <c r="C880" s="5">
        <v>900</v>
      </c>
      <c r="D880" s="1">
        <v>43978</v>
      </c>
      <c r="E880" t="str">
        <f>"202005146864"</f>
        <v>202005146864</v>
      </c>
      <c r="F880" t="str">
        <f>"17 121"</f>
        <v>17 121</v>
      </c>
      <c r="G880" s="5">
        <v>400</v>
      </c>
      <c r="H880" t="str">
        <f>"17 121"</f>
        <v>17 121</v>
      </c>
    </row>
    <row r="881" spans="1:8" x14ac:dyDescent="0.25">
      <c r="E881" t="str">
        <f>"202005146865"</f>
        <v>202005146865</v>
      </c>
      <c r="F881" t="str">
        <f>"423-7246"</f>
        <v>423-7246</v>
      </c>
      <c r="G881" s="5">
        <v>100</v>
      </c>
      <c r="H881" t="str">
        <f>"423-7246"</f>
        <v>423-7246</v>
      </c>
    </row>
    <row r="882" spans="1:8" x14ac:dyDescent="0.25">
      <c r="E882" t="str">
        <f>"202005146866"</f>
        <v>202005146866</v>
      </c>
      <c r="F882" t="str">
        <f>"4022620-2"</f>
        <v>4022620-2</v>
      </c>
      <c r="G882" s="5">
        <v>400</v>
      </c>
      <c r="H882" t="str">
        <f>"4022620-2"</f>
        <v>4022620-2</v>
      </c>
    </row>
    <row r="883" spans="1:8" x14ac:dyDescent="0.25">
      <c r="A883" t="s">
        <v>277</v>
      </c>
      <c r="B883">
        <v>131888</v>
      </c>
      <c r="C883" s="5">
        <v>4827.71</v>
      </c>
      <c r="D883" s="1">
        <v>43962</v>
      </c>
      <c r="E883" t="str">
        <f>"025-293527"</f>
        <v>025-293527</v>
      </c>
      <c r="F883" t="str">
        <f>"CUST#42161/ORD#123215"</f>
        <v>CUST#42161/ORD#123215</v>
      </c>
      <c r="G883" s="5">
        <v>4827.71</v>
      </c>
      <c r="H883" t="str">
        <f>"CUST#42161/ORD#123215"</f>
        <v>CUST#42161/ORD#123215</v>
      </c>
    </row>
    <row r="884" spans="1:8" x14ac:dyDescent="0.25">
      <c r="A884" t="s">
        <v>278</v>
      </c>
      <c r="B884">
        <v>2536</v>
      </c>
      <c r="C884" s="5">
        <v>282.79000000000002</v>
      </c>
      <c r="D884" s="1">
        <v>43963</v>
      </c>
      <c r="E884" t="str">
        <f>"119031601"</f>
        <v>119031601</v>
      </c>
      <c r="F884" t="str">
        <f>"Bogus Paper"</f>
        <v>Bogus Paper</v>
      </c>
      <c r="G884" s="5">
        <v>282.79000000000002</v>
      </c>
      <c r="H884" t="str">
        <f>"Bogus paper 50lb 30"</f>
        <v>Bogus paper 50lb 30</v>
      </c>
    </row>
    <row r="885" spans="1:8" x14ac:dyDescent="0.25">
      <c r="E885" t="str">
        <f>""</f>
        <v/>
      </c>
      <c r="F885" t="str">
        <f>""</f>
        <v/>
      </c>
      <c r="H885" t="str">
        <f>"Shipping"</f>
        <v>Shipping</v>
      </c>
    </row>
    <row r="886" spans="1:8" x14ac:dyDescent="0.25">
      <c r="A886" t="s">
        <v>279</v>
      </c>
      <c r="B886">
        <v>2607</v>
      </c>
      <c r="C886" s="5">
        <v>208.52</v>
      </c>
      <c r="D886" s="1">
        <v>43978</v>
      </c>
      <c r="E886" t="str">
        <f>"10922195"</f>
        <v>10922195</v>
      </c>
      <c r="F886" t="str">
        <f>"ACCT#38052/PCT#4"</f>
        <v>ACCT#38052/PCT#4</v>
      </c>
      <c r="G886" s="5">
        <v>208.52</v>
      </c>
      <c r="H886" t="str">
        <f>"ACCT#38052/PCT#4"</f>
        <v>ACCT#38052/PCT#4</v>
      </c>
    </row>
    <row r="887" spans="1:8" x14ac:dyDescent="0.25">
      <c r="A887" t="s">
        <v>228</v>
      </c>
      <c r="B887">
        <v>132002</v>
      </c>
      <c r="C887" s="5">
        <v>281.41000000000003</v>
      </c>
      <c r="D887" s="1">
        <v>43977</v>
      </c>
      <c r="E887" t="str">
        <f>"202005196949"</f>
        <v>202005196949</v>
      </c>
      <c r="F887" t="str">
        <f>"INDIGENT HEALTH"</f>
        <v>INDIGENT HEALTH</v>
      </c>
      <c r="G887" s="5">
        <v>281.41000000000003</v>
      </c>
      <c r="H887" t="str">
        <f>"INDIGENT HEALTH"</f>
        <v>INDIGENT HEALTH</v>
      </c>
    </row>
    <row r="888" spans="1:8" x14ac:dyDescent="0.25">
      <c r="A888" t="s">
        <v>280</v>
      </c>
      <c r="B888">
        <v>131889</v>
      </c>
      <c r="C888" s="5">
        <v>871.2</v>
      </c>
      <c r="D888" s="1">
        <v>43962</v>
      </c>
      <c r="E888" t="str">
        <f>"0035178  035235"</f>
        <v>0035178  035235</v>
      </c>
      <c r="F888" t="str">
        <f>"INV 0035178"</f>
        <v>INV 0035178</v>
      </c>
      <c r="G888" s="5">
        <v>871.2</v>
      </c>
      <c r="H888" t="str">
        <f>"INV 0035178"</f>
        <v>INV 0035178</v>
      </c>
    </row>
    <row r="889" spans="1:8" x14ac:dyDescent="0.25">
      <c r="E889" t="str">
        <f>""</f>
        <v/>
      </c>
      <c r="F889" t="str">
        <f>""</f>
        <v/>
      </c>
      <c r="H889" t="str">
        <f>"INV 0035235"</f>
        <v>INV 0035235</v>
      </c>
    </row>
    <row r="890" spans="1:8" x14ac:dyDescent="0.25">
      <c r="A890" t="s">
        <v>281</v>
      </c>
      <c r="B890">
        <v>132003</v>
      </c>
      <c r="C890" s="5">
        <v>21.96</v>
      </c>
      <c r="D890" s="1">
        <v>43977</v>
      </c>
      <c r="E890" t="str">
        <f>"2010782"</f>
        <v>2010782</v>
      </c>
      <c r="F890" t="str">
        <f>"ACCT#174600002268 003/APRIL20"</f>
        <v>ACCT#174600002268 003/APRIL20</v>
      </c>
      <c r="G890" s="5">
        <v>21.96</v>
      </c>
      <c r="H890" t="str">
        <f>"ACCT#174600002268 003/APRIL20"</f>
        <v>ACCT#174600002268 003/APRIL20</v>
      </c>
    </row>
    <row r="891" spans="1:8" x14ac:dyDescent="0.25">
      <c r="A891" t="s">
        <v>282</v>
      </c>
      <c r="B891">
        <v>131890</v>
      </c>
      <c r="C891" s="5">
        <v>26250.12</v>
      </c>
      <c r="D891" s="1">
        <v>43962</v>
      </c>
      <c r="E891" t="str">
        <f>"202005056708"</f>
        <v>202005056708</v>
      </c>
      <c r="F891" t="str">
        <f>"acct# 869395921"</f>
        <v>acct# 869395921</v>
      </c>
      <c r="G891" s="5">
        <v>26250.12</v>
      </c>
      <c r="H891" t="str">
        <f>"Fuel Rebate"</f>
        <v>Fuel Rebate</v>
      </c>
    </row>
    <row r="892" spans="1:8" x14ac:dyDescent="0.25">
      <c r="E892" t="str">
        <f>""</f>
        <v/>
      </c>
      <c r="F892" t="str">
        <f>""</f>
        <v/>
      </c>
      <c r="H892" t="str">
        <f>"Fuel"</f>
        <v>Fuel</v>
      </c>
    </row>
    <row r="893" spans="1:8" x14ac:dyDescent="0.25">
      <c r="E893" t="str">
        <f>""</f>
        <v/>
      </c>
      <c r="F893" t="str">
        <f>""</f>
        <v/>
      </c>
      <c r="H893" t="str">
        <f>"Tax"</f>
        <v>Tax</v>
      </c>
    </row>
    <row r="894" spans="1:8" x14ac:dyDescent="0.25">
      <c r="E894" t="str">
        <f>""</f>
        <v/>
      </c>
      <c r="F894" t="str">
        <f>""</f>
        <v/>
      </c>
      <c r="H894" t="str">
        <f>"Maintenance"</f>
        <v>Maintenance</v>
      </c>
    </row>
    <row r="895" spans="1:8" x14ac:dyDescent="0.25">
      <c r="E895" t="str">
        <f>""</f>
        <v/>
      </c>
      <c r="F895" t="str">
        <f>""</f>
        <v/>
      </c>
      <c r="H895" t="str">
        <f>"Fuel"</f>
        <v>Fuel</v>
      </c>
    </row>
    <row r="896" spans="1:8" x14ac:dyDescent="0.25">
      <c r="E896" t="str">
        <f>""</f>
        <v/>
      </c>
      <c r="F896" t="str">
        <f>""</f>
        <v/>
      </c>
      <c r="H896" t="str">
        <f>"Tax"</f>
        <v>Tax</v>
      </c>
    </row>
    <row r="897" spans="5:8" x14ac:dyDescent="0.25">
      <c r="E897" t="str">
        <f>""</f>
        <v/>
      </c>
      <c r="F897" t="str">
        <f>""</f>
        <v/>
      </c>
      <c r="H897" t="str">
        <f>"Fuel"</f>
        <v>Fuel</v>
      </c>
    </row>
    <row r="898" spans="5:8" x14ac:dyDescent="0.25">
      <c r="E898" t="str">
        <f>""</f>
        <v/>
      </c>
      <c r="F898" t="str">
        <f>""</f>
        <v/>
      </c>
      <c r="H898" t="str">
        <f>"Tax"</f>
        <v>Tax</v>
      </c>
    </row>
    <row r="899" spans="5:8" x14ac:dyDescent="0.25">
      <c r="E899" t="str">
        <f>""</f>
        <v/>
      </c>
      <c r="F899" t="str">
        <f>""</f>
        <v/>
      </c>
      <c r="H899" t="str">
        <f>"Maintenace"</f>
        <v>Maintenace</v>
      </c>
    </row>
    <row r="900" spans="5:8" x14ac:dyDescent="0.25">
      <c r="E900" t="str">
        <f>""</f>
        <v/>
      </c>
      <c r="F900" t="str">
        <f>""</f>
        <v/>
      </c>
      <c r="H900" t="str">
        <f>"Fuel"</f>
        <v>Fuel</v>
      </c>
    </row>
    <row r="901" spans="5:8" x14ac:dyDescent="0.25">
      <c r="E901" t="str">
        <f>""</f>
        <v/>
      </c>
      <c r="F901" t="str">
        <f>""</f>
        <v/>
      </c>
      <c r="H901" t="str">
        <f>"Tax"</f>
        <v>Tax</v>
      </c>
    </row>
    <row r="902" spans="5:8" x14ac:dyDescent="0.25">
      <c r="E902" t="str">
        <f>""</f>
        <v/>
      </c>
      <c r="F902" t="str">
        <f>""</f>
        <v/>
      </c>
      <c r="H902" t="str">
        <f>"Maintenance"</f>
        <v>Maintenance</v>
      </c>
    </row>
    <row r="903" spans="5:8" x14ac:dyDescent="0.25">
      <c r="E903" t="str">
        <f>""</f>
        <v/>
      </c>
      <c r="F903" t="str">
        <f>""</f>
        <v/>
      </c>
      <c r="H903" t="str">
        <f>"Fuel"</f>
        <v>Fuel</v>
      </c>
    </row>
    <row r="904" spans="5:8" x14ac:dyDescent="0.25">
      <c r="E904" t="str">
        <f>""</f>
        <v/>
      </c>
      <c r="F904" t="str">
        <f>""</f>
        <v/>
      </c>
      <c r="H904" t="str">
        <f>"Maintenance"</f>
        <v>Maintenance</v>
      </c>
    </row>
    <row r="905" spans="5:8" x14ac:dyDescent="0.25">
      <c r="E905" t="str">
        <f>""</f>
        <v/>
      </c>
      <c r="F905" t="str">
        <f>""</f>
        <v/>
      </c>
      <c r="H905" t="str">
        <f>"Fuel"</f>
        <v>Fuel</v>
      </c>
    </row>
    <row r="906" spans="5:8" x14ac:dyDescent="0.25">
      <c r="E906" t="str">
        <f>""</f>
        <v/>
      </c>
      <c r="F906" t="str">
        <f>""</f>
        <v/>
      </c>
      <c r="H906" t="str">
        <f>"Tax"</f>
        <v>Tax</v>
      </c>
    </row>
    <row r="907" spans="5:8" x14ac:dyDescent="0.25">
      <c r="E907" t="str">
        <f>""</f>
        <v/>
      </c>
      <c r="F907" t="str">
        <f>""</f>
        <v/>
      </c>
      <c r="H907" t="str">
        <f>"Maintenance"</f>
        <v>Maintenance</v>
      </c>
    </row>
    <row r="908" spans="5:8" x14ac:dyDescent="0.25">
      <c r="E908" t="str">
        <f>""</f>
        <v/>
      </c>
      <c r="F908" t="str">
        <f>""</f>
        <v/>
      </c>
      <c r="H908" t="str">
        <f>"Fuel"</f>
        <v>Fuel</v>
      </c>
    </row>
    <row r="909" spans="5:8" x14ac:dyDescent="0.25">
      <c r="E909" t="str">
        <f>""</f>
        <v/>
      </c>
      <c r="F909" t="str">
        <f>""</f>
        <v/>
      </c>
      <c r="H909" t="str">
        <f>"Tax"</f>
        <v>Tax</v>
      </c>
    </row>
    <row r="910" spans="5:8" x14ac:dyDescent="0.25">
      <c r="E910" t="str">
        <f>""</f>
        <v/>
      </c>
      <c r="F910" t="str">
        <f>""</f>
        <v/>
      </c>
      <c r="H910" t="str">
        <f>"Maintenace"</f>
        <v>Maintenace</v>
      </c>
    </row>
    <row r="911" spans="5:8" x14ac:dyDescent="0.25">
      <c r="E911" t="str">
        <f>""</f>
        <v/>
      </c>
      <c r="F911" t="str">
        <f>""</f>
        <v/>
      </c>
      <c r="H911" t="str">
        <f>"Fuel"</f>
        <v>Fuel</v>
      </c>
    </row>
    <row r="912" spans="5:8" x14ac:dyDescent="0.25">
      <c r="E912" t="str">
        <f>""</f>
        <v/>
      </c>
      <c r="F912" t="str">
        <f>""</f>
        <v/>
      </c>
      <c r="H912" t="str">
        <f>"Tax"</f>
        <v>Tax</v>
      </c>
    </row>
    <row r="913" spans="1:8" x14ac:dyDescent="0.25">
      <c r="A913" t="s">
        <v>283</v>
      </c>
      <c r="B913">
        <v>131891</v>
      </c>
      <c r="C913" s="5">
        <v>90</v>
      </c>
      <c r="D913" s="1">
        <v>43962</v>
      </c>
      <c r="E913" t="str">
        <f>"10307604"</f>
        <v>10307604</v>
      </c>
      <c r="F913" t="str">
        <f>"ACCT#00010699-4 / PCT#3"</f>
        <v>ACCT#00010699-4 / PCT#3</v>
      </c>
      <c r="G913" s="5">
        <v>90</v>
      </c>
      <c r="H913" t="str">
        <f>"ACCT#00010699-4 / PCT#3"</f>
        <v>ACCT#00010699-4 / PCT#3</v>
      </c>
    </row>
    <row r="914" spans="1:8" x14ac:dyDescent="0.25">
      <c r="A914" t="s">
        <v>284</v>
      </c>
      <c r="B914">
        <v>132004</v>
      </c>
      <c r="C914" s="5">
        <v>85.25</v>
      </c>
      <c r="D914" s="1">
        <v>43977</v>
      </c>
      <c r="E914" t="str">
        <f>"0420-DR14926"</f>
        <v>0420-DR14926</v>
      </c>
      <c r="F914" t="str">
        <f>"CLIENT ID:CXD 14926"</f>
        <v>CLIENT ID:CXD 14926</v>
      </c>
      <c r="G914" s="5">
        <v>85.25</v>
      </c>
      <c r="H914" t="str">
        <f>"CLIENT ID:CXD 14926"</f>
        <v>CLIENT ID:CXD 14926</v>
      </c>
    </row>
    <row r="915" spans="1:8" x14ac:dyDescent="0.25">
      <c r="A915" t="s">
        <v>285</v>
      </c>
      <c r="B915">
        <v>131900</v>
      </c>
      <c r="C915" s="5">
        <v>5000.55</v>
      </c>
      <c r="D915" s="1">
        <v>43965</v>
      </c>
      <c r="E915" t="str">
        <f>"10498969"</f>
        <v>10498969</v>
      </c>
      <c r="F915" t="str">
        <f>"ACCT#5150-005117630 / 05012020"</f>
        <v>ACCT#5150-005117630 / 05012020</v>
      </c>
      <c r="G915" s="5">
        <v>262.81</v>
      </c>
      <c r="H915" t="str">
        <f>"ACCT#5150-005117630 / 05012020"</f>
        <v>ACCT#5150-005117630 / 05012020</v>
      </c>
    </row>
    <row r="916" spans="1:8" x14ac:dyDescent="0.25">
      <c r="E916" t="str">
        <f>"10498976"</f>
        <v>10498976</v>
      </c>
      <c r="F916" t="str">
        <f>"ACCT#5150-005117766 / 05012020"</f>
        <v>ACCT#5150-005117766 / 05012020</v>
      </c>
      <c r="G916" s="5">
        <v>115.36</v>
      </c>
      <c r="H916" t="str">
        <f>"ACCT#5150-005117766 / 05012020"</f>
        <v>ACCT#5150-005117766 / 05012020</v>
      </c>
    </row>
    <row r="917" spans="1:8" x14ac:dyDescent="0.25">
      <c r="E917" t="str">
        <f>"10498981"</f>
        <v>10498981</v>
      </c>
      <c r="F917" t="str">
        <f>"ACCT#5150-005117838 / 05012020"</f>
        <v>ACCT#5150-005117838 / 05012020</v>
      </c>
      <c r="G917" s="5">
        <v>106.76</v>
      </c>
      <c r="H917" t="str">
        <f>"ACCT#5150-005117838 / 05012020"</f>
        <v>ACCT#5150-005117838 / 05012020</v>
      </c>
    </row>
    <row r="918" spans="1:8" x14ac:dyDescent="0.25">
      <c r="E918" t="str">
        <f>"10498983"</f>
        <v>10498983</v>
      </c>
      <c r="F918" t="str">
        <f>"ACCT#5150-005117882 / 05012020"</f>
        <v>ACCT#5150-005117882 / 05012020</v>
      </c>
      <c r="G918" s="5">
        <v>144.19</v>
      </c>
      <c r="H918" t="str">
        <f>"ACCT#5150-005117882 / 05012020"</f>
        <v>ACCT#5150-005117882 / 05012020</v>
      </c>
    </row>
    <row r="919" spans="1:8" x14ac:dyDescent="0.25">
      <c r="E919" t="str">
        <f>"10498991"</f>
        <v>10498991</v>
      </c>
      <c r="F919" t="str">
        <f>"ACCT#5150-005118183 / 05012020"</f>
        <v>ACCT#5150-005118183 / 05012020</v>
      </c>
      <c r="G919" s="5">
        <v>618.96</v>
      </c>
      <c r="H919" t="str">
        <f>"ACCT#5150-005118183 / 05012020"</f>
        <v>ACCT#5150-005118183 / 05012020</v>
      </c>
    </row>
    <row r="920" spans="1:8" x14ac:dyDescent="0.25">
      <c r="E920" t="str">
        <f>"10499028"</f>
        <v>10499028</v>
      </c>
      <c r="F920" t="str">
        <f>"ACCT#5150-005129483 / 05012020"</f>
        <v>ACCT#5150-005129483 / 05012020</v>
      </c>
      <c r="G920" s="5">
        <v>3640.1</v>
      </c>
      <c r="H920" t="str">
        <f>"ACCT#5150-005129483 / 05012020"</f>
        <v>ACCT#5150-005129483 / 05012020</v>
      </c>
    </row>
    <row r="921" spans="1:8" x14ac:dyDescent="0.25">
      <c r="E921" t="str">
        <f>"10503414"</f>
        <v>10503414</v>
      </c>
      <c r="F921" t="str">
        <f>"ACCT#5150-16203415 / 05012020"</f>
        <v>ACCT#5150-16203415 / 05012020</v>
      </c>
      <c r="G921" s="5">
        <v>83.48</v>
      </c>
      <c r="H921" t="str">
        <f>"ACCT#5150-16203415 / 05012020"</f>
        <v>ACCT#5150-16203415 / 05012020</v>
      </c>
    </row>
    <row r="922" spans="1:8" x14ac:dyDescent="0.25">
      <c r="E922" t="str">
        <f>"10503415"</f>
        <v>10503415</v>
      </c>
      <c r="F922" t="str">
        <f>"ACCT# 5150-16203417 / 05012020"</f>
        <v>ACCT# 5150-16203417 / 05012020</v>
      </c>
      <c r="G922" s="5">
        <v>28.89</v>
      </c>
      <c r="H922" t="str">
        <f>"ACCT# 5150-16203417 / 05012020"</f>
        <v>ACCT# 5150-16203417 / 05012020</v>
      </c>
    </row>
    <row r="923" spans="1:8" x14ac:dyDescent="0.25">
      <c r="A923" t="s">
        <v>286</v>
      </c>
      <c r="B923">
        <v>131892</v>
      </c>
      <c r="C923" s="5">
        <v>399.78</v>
      </c>
      <c r="D923" s="1">
        <v>43962</v>
      </c>
      <c r="E923" t="str">
        <f>"0081419-2161-2"</f>
        <v>0081419-2161-2</v>
      </c>
      <c r="F923" t="str">
        <f>"CUST ID:2-56581-95066"</f>
        <v>CUST ID:2-56581-95066</v>
      </c>
      <c r="G923" s="5">
        <v>399.78</v>
      </c>
      <c r="H923" t="str">
        <f>"CUST ID:2-56581-95066"</f>
        <v>CUST ID:2-56581-95066</v>
      </c>
    </row>
    <row r="924" spans="1:8" x14ac:dyDescent="0.25">
      <c r="A924" t="s">
        <v>286</v>
      </c>
      <c r="B924">
        <v>132005</v>
      </c>
      <c r="C924" s="5">
        <v>1219.4100000000001</v>
      </c>
      <c r="D924" s="1">
        <v>43977</v>
      </c>
      <c r="E924" t="str">
        <f>"0026854-2161-8"</f>
        <v>0026854-2161-8</v>
      </c>
      <c r="F924" t="str">
        <f>"CUST ID:2-57060-55062/PCT#4"</f>
        <v>CUST ID:2-57060-55062/PCT#4</v>
      </c>
      <c r="G924" s="5">
        <v>1103.94</v>
      </c>
      <c r="H924" t="str">
        <f>"CUST ID:2-57060-55062/PCT#4"</f>
        <v>CUST ID:2-57060-55062/PCT#4</v>
      </c>
    </row>
    <row r="925" spans="1:8" x14ac:dyDescent="0.25">
      <c r="E925" t="str">
        <f>"0040596-2162-5"</f>
        <v>0040596-2162-5</v>
      </c>
      <c r="F925" t="str">
        <f>"CUST ID:16-27603-83003/AN SVCS"</f>
        <v>CUST ID:16-27603-83003/AN SVCS</v>
      </c>
      <c r="G925" s="5">
        <v>115.47</v>
      </c>
      <c r="H925" t="str">
        <f>"CUST ID:16-27603-83003/AN SVCS"</f>
        <v>CUST ID:16-27603-83003/AN SVCS</v>
      </c>
    </row>
    <row r="926" spans="1:8" x14ac:dyDescent="0.25">
      <c r="A926" t="s">
        <v>287</v>
      </c>
      <c r="B926">
        <v>2553</v>
      </c>
      <c r="C926" s="5">
        <v>155.88</v>
      </c>
      <c r="D926" s="1">
        <v>43963</v>
      </c>
      <c r="E926" t="str">
        <f>"5085"</f>
        <v>5085</v>
      </c>
      <c r="F926" t="str">
        <f>"INV 5085"</f>
        <v>INV 5085</v>
      </c>
      <c r="G926" s="5">
        <v>155.88</v>
      </c>
      <c r="H926" t="str">
        <f>"INV 5085"</f>
        <v>INV 5085</v>
      </c>
    </row>
    <row r="927" spans="1:8" x14ac:dyDescent="0.25">
      <c r="A927" t="s">
        <v>288</v>
      </c>
      <c r="B927">
        <v>132006</v>
      </c>
      <c r="C927" s="5">
        <v>30.94</v>
      </c>
      <c r="D927" s="1">
        <v>43977</v>
      </c>
      <c r="E927" t="str">
        <f>"202005196940"</f>
        <v>202005196940</v>
      </c>
      <c r="F927" t="str">
        <f>"WEI-ANN LIN (REIMBURSEMENTS ON"</f>
        <v>WEI-ANN LIN (REIMBURSEMENTS ON</v>
      </c>
      <c r="G927" s="5">
        <v>30.94</v>
      </c>
      <c r="H927" t="str">
        <f>""</f>
        <v/>
      </c>
    </row>
    <row r="928" spans="1:8" x14ac:dyDescent="0.25">
      <c r="E928" t="str">
        <f>""</f>
        <v/>
      </c>
      <c r="F928" t="str">
        <f>""</f>
        <v/>
      </c>
      <c r="H928" t="str">
        <f>""</f>
        <v/>
      </c>
    </row>
    <row r="929" spans="1:8" x14ac:dyDescent="0.25">
      <c r="A929" t="s">
        <v>289</v>
      </c>
      <c r="B929">
        <v>2620</v>
      </c>
      <c r="C929" s="5">
        <v>4378.95</v>
      </c>
      <c r="D929" s="1">
        <v>43978</v>
      </c>
      <c r="E929" t="str">
        <f>"24576"</f>
        <v>24576</v>
      </c>
      <c r="F929" t="str">
        <f>"INV 24576"</f>
        <v>INV 24576</v>
      </c>
      <c r="G929" s="5">
        <v>4378.95</v>
      </c>
      <c r="H929" t="str">
        <f>"INV 24576"</f>
        <v>INV 24576</v>
      </c>
    </row>
    <row r="930" spans="1:8" x14ac:dyDescent="0.25">
      <c r="A930" t="s">
        <v>290</v>
      </c>
      <c r="B930">
        <v>132007</v>
      </c>
      <c r="C930" s="5">
        <v>15000</v>
      </c>
      <c r="D930" s="1">
        <v>43977</v>
      </c>
      <c r="E930" t="str">
        <f>"1487"</f>
        <v>1487</v>
      </c>
      <c r="F930" t="str">
        <f>"MATERIAL/LABOR/PCT#2"</f>
        <v>MATERIAL/LABOR/PCT#2</v>
      </c>
      <c r="G930" s="5">
        <v>6500</v>
      </c>
      <c r="H930" t="str">
        <f>"MATERIAL/LABOR/PCT#2"</f>
        <v>MATERIAL/LABOR/PCT#2</v>
      </c>
    </row>
    <row r="931" spans="1:8" x14ac:dyDescent="0.25">
      <c r="E931" t="str">
        <f>"1488"</f>
        <v>1488</v>
      </c>
      <c r="F931" t="str">
        <f>"ADDITIONAL CONCRETE/PCT#2"</f>
        <v>ADDITIONAL CONCRETE/PCT#2</v>
      </c>
      <c r="G931" s="5">
        <v>3500</v>
      </c>
      <c r="H931" t="str">
        <f>"ADDITIONAL CONCRETE/PCT#2"</f>
        <v>ADDITIONAL CONCRETE/PCT#2</v>
      </c>
    </row>
    <row r="932" spans="1:8" x14ac:dyDescent="0.25">
      <c r="E932" t="str">
        <f>"1490"</f>
        <v>1490</v>
      </c>
      <c r="F932" t="str">
        <f>"BOX CULVERT GUARD RAIL/PCT#2"</f>
        <v>BOX CULVERT GUARD RAIL/PCT#2</v>
      </c>
      <c r="G932" s="5">
        <v>5000</v>
      </c>
      <c r="H932" t="str">
        <f>"BOX CULVERT GUARD RAIL/PCT#2"</f>
        <v>BOX CULVERT GUARD RAIL/PCT#2</v>
      </c>
    </row>
    <row r="933" spans="1:8" x14ac:dyDescent="0.25">
      <c r="A933" t="s">
        <v>291</v>
      </c>
      <c r="B933">
        <v>131893</v>
      </c>
      <c r="C933" s="5">
        <v>298.66000000000003</v>
      </c>
      <c r="D933" s="1">
        <v>43962</v>
      </c>
      <c r="E933" t="str">
        <f>"508796"</f>
        <v>508796</v>
      </c>
      <c r="F933" t="str">
        <f>"ORDER ID 508796"</f>
        <v>ORDER ID 508796</v>
      </c>
      <c r="G933" s="5">
        <v>298.66000000000003</v>
      </c>
      <c r="H933" t="str">
        <f>"ORDER ID 508796"</f>
        <v>ORDER ID 508796</v>
      </c>
    </row>
    <row r="934" spans="1:8" x14ac:dyDescent="0.25">
      <c r="A934" t="s">
        <v>292</v>
      </c>
      <c r="B934">
        <v>132008</v>
      </c>
      <c r="C934" s="5">
        <v>78.290000000000006</v>
      </c>
      <c r="D934" s="1">
        <v>43977</v>
      </c>
      <c r="E934" t="str">
        <f>"9005143698"</f>
        <v>9005143698</v>
      </c>
      <c r="F934" t="str">
        <f>"CUST#31041143/PCT#2"</f>
        <v>CUST#31041143/PCT#2</v>
      </c>
      <c r="G934" s="5">
        <v>78.290000000000006</v>
      </c>
      <c r="H934" t="str">
        <f>"CUST#31041143/PCT#2"</f>
        <v>CUST#31041143/PCT#2</v>
      </c>
    </row>
    <row r="935" spans="1:8" x14ac:dyDescent="0.25">
      <c r="A935" t="s">
        <v>293</v>
      </c>
      <c r="B935">
        <v>132009</v>
      </c>
      <c r="C935" s="5">
        <v>3308.4</v>
      </c>
      <c r="D935" s="1">
        <v>43977</v>
      </c>
      <c r="E935" t="str">
        <f>"9010362789"</f>
        <v>9010362789</v>
      </c>
      <c r="F935" t="str">
        <f>"CUST#2000053103/ANIMAL SHELTER"</f>
        <v>CUST#2000053103/ANIMAL SHELTER</v>
      </c>
      <c r="G935" s="5">
        <v>1902</v>
      </c>
      <c r="H935" t="str">
        <f>"CUST#2000053103/ANIMAL SHELTER"</f>
        <v>CUST#2000053103/ANIMAL SHELTER</v>
      </c>
    </row>
    <row r="936" spans="1:8" x14ac:dyDescent="0.25">
      <c r="E936" t="str">
        <f>"9010375484"</f>
        <v>9010375484</v>
      </c>
      <c r="F936" t="str">
        <f>"CUST#2000053103/ANIMAL SHELTER"</f>
        <v>CUST#2000053103/ANIMAL SHELTER</v>
      </c>
      <c r="G936" s="5">
        <v>222</v>
      </c>
      <c r="H936" t="str">
        <f>"CUST#2000053103/ANIMAL SHELTER"</f>
        <v>CUST#2000053103/ANIMAL SHELTER</v>
      </c>
    </row>
    <row r="937" spans="1:8" x14ac:dyDescent="0.25">
      <c r="E937" t="str">
        <f>"9010375512"</f>
        <v>9010375512</v>
      </c>
      <c r="F937" t="str">
        <f>"CUST#2000053103/ANIMAL SHELTER"</f>
        <v>CUST#2000053103/ANIMAL SHELTER</v>
      </c>
      <c r="G937" s="5">
        <v>153.5</v>
      </c>
      <c r="H937" t="str">
        <f>"CUST#2000053103/ANIMAL SHELTER"</f>
        <v>CUST#2000053103/ANIMAL SHELTER</v>
      </c>
    </row>
    <row r="938" spans="1:8" x14ac:dyDescent="0.25">
      <c r="E938" t="str">
        <f>"9010440843"</f>
        <v>9010440843</v>
      </c>
      <c r="F938" t="str">
        <f>"CUST#200053103/ANIMAL SHELTER"</f>
        <v>CUST#200053103/ANIMAL SHELTER</v>
      </c>
      <c r="G938" s="5">
        <v>1030.9000000000001</v>
      </c>
      <c r="H938" t="str">
        <f>"CUST#200053103/ANIMAL SHELTER"</f>
        <v>CUST#200053103/ANIMAL SHELTER</v>
      </c>
    </row>
    <row r="939" spans="1:8" x14ac:dyDescent="0.25">
      <c r="A939" t="s">
        <v>19</v>
      </c>
      <c r="B939">
        <v>2599</v>
      </c>
      <c r="C939" s="5">
        <v>311.75</v>
      </c>
      <c r="D939" s="1">
        <v>43963</v>
      </c>
      <c r="E939" t="str">
        <f>"111-2834671-745303"</f>
        <v>111-2834671-745303</v>
      </c>
      <c r="F939" t="str">
        <f>"AMAZON CAPITAL SERVICES INC"</f>
        <v>AMAZON CAPITAL SERVICES INC</v>
      </c>
      <c r="G939" s="5">
        <v>299.75</v>
      </c>
      <c r="H939" t="str">
        <f>"Digital Thermometers"</f>
        <v>Digital Thermometers</v>
      </c>
    </row>
    <row r="940" spans="1:8" x14ac:dyDescent="0.25">
      <c r="E940" t="str">
        <f>"202005056710"</f>
        <v>202005056710</v>
      </c>
      <c r="F940" t="str">
        <f>"inv# 19FP-FCPP-MFKX"</f>
        <v>inv# 19FP-FCPP-MFKX</v>
      </c>
      <c r="G940" s="5">
        <v>12</v>
      </c>
      <c r="H940" t="str">
        <f>"inv# 19FP-FCPP-MFKX"</f>
        <v>inv# 19FP-FCPP-MFKX</v>
      </c>
    </row>
    <row r="941" spans="1:8" x14ac:dyDescent="0.25">
      <c r="A941" t="s">
        <v>19</v>
      </c>
      <c r="B941">
        <v>2659</v>
      </c>
      <c r="C941" s="5">
        <v>663</v>
      </c>
      <c r="D941" s="1">
        <v>43978</v>
      </c>
      <c r="E941" t="str">
        <f>"1KJR-J1YC-7X69"</f>
        <v>1KJR-J1YC-7X69</v>
      </c>
      <c r="F941" t="str">
        <f>"AMAZON CAPITAL SERVICES INC"</f>
        <v>AMAZON CAPITAL SERVICES INC</v>
      </c>
      <c r="G941" s="5">
        <v>663</v>
      </c>
      <c r="H941" t="str">
        <f>"Hand Sanitizer"</f>
        <v>Hand Sanitizer</v>
      </c>
    </row>
    <row r="942" spans="1:8" x14ac:dyDescent="0.25">
      <c r="A942" t="s">
        <v>27</v>
      </c>
      <c r="B942">
        <v>131768</v>
      </c>
      <c r="C942" s="5">
        <v>18</v>
      </c>
      <c r="D942" s="1">
        <v>43962</v>
      </c>
      <c r="E942" t="str">
        <f>"202005066714"</f>
        <v>202005066714</v>
      </c>
      <c r="F942" t="str">
        <f>"ACCT#015397/JUVENILE BOOT CAMP"</f>
        <v>ACCT#015397/JUVENILE BOOT CAMP</v>
      </c>
      <c r="G942" s="5">
        <v>18</v>
      </c>
      <c r="H942" t="str">
        <f>"ACCT#015397/JUVENILE BOOT CAMP"</f>
        <v>ACCT#015397/JUVENILE BOOT CAMP</v>
      </c>
    </row>
    <row r="943" spans="1:8" x14ac:dyDescent="0.25">
      <c r="A943" t="s">
        <v>32</v>
      </c>
      <c r="B943">
        <v>131769</v>
      </c>
      <c r="C943" s="5">
        <v>27.37</v>
      </c>
      <c r="D943" s="1">
        <v>43962</v>
      </c>
      <c r="E943" t="str">
        <f>"290524359X04272020"</f>
        <v>290524359X04272020</v>
      </c>
      <c r="F943" t="str">
        <f>"ACCT#287290524359"</f>
        <v>ACCT#287290524359</v>
      </c>
      <c r="G943" s="5">
        <v>27.37</v>
      </c>
      <c r="H943" t="str">
        <f>"ACCT#287290524359"</f>
        <v>ACCT#287290524359</v>
      </c>
    </row>
    <row r="944" spans="1:8" x14ac:dyDescent="0.25">
      <c r="A944" t="s">
        <v>52</v>
      </c>
      <c r="B944">
        <v>131903</v>
      </c>
      <c r="C944" s="5">
        <v>151.91999999999999</v>
      </c>
      <c r="D944" s="1">
        <v>43971</v>
      </c>
      <c r="E944" t="str">
        <f>"202005206970"</f>
        <v>202005206970</v>
      </c>
      <c r="F944" t="str">
        <f>"ACCT#5000057374 / 05042020"</f>
        <v>ACCT#5000057374 / 05042020</v>
      </c>
      <c r="G944" s="5">
        <v>151.91999999999999</v>
      </c>
      <c r="H944" t="str">
        <f>"ACCT#5000057374 / 05042020"</f>
        <v>ACCT#5000057374 / 05042020</v>
      </c>
    </row>
    <row r="945" spans="1:8" x14ac:dyDescent="0.25">
      <c r="A945" t="s">
        <v>58</v>
      </c>
      <c r="B945">
        <v>508</v>
      </c>
      <c r="C945" s="5">
        <v>3207.75</v>
      </c>
      <c r="D945" s="1">
        <v>43962</v>
      </c>
      <c r="E945" t="str">
        <f>"202005076745"</f>
        <v>202005076745</v>
      </c>
      <c r="F945" t="str">
        <f>"Monthly Statement"</f>
        <v>Monthly Statement</v>
      </c>
      <c r="G945" s="5">
        <v>3207.75</v>
      </c>
      <c r="H945" t="str">
        <f>"Home Deopt"</f>
        <v>Home Deopt</v>
      </c>
    </row>
    <row r="946" spans="1:8" x14ac:dyDescent="0.25">
      <c r="E946" t="str">
        <f>""</f>
        <v/>
      </c>
      <c r="F946" t="str">
        <f>""</f>
        <v/>
      </c>
      <c r="H946" t="str">
        <f>"Horn Medical"</f>
        <v>Horn Medical</v>
      </c>
    </row>
    <row r="947" spans="1:8" x14ac:dyDescent="0.25">
      <c r="E947" t="str">
        <f>""</f>
        <v/>
      </c>
      <c r="F947" t="str">
        <f>""</f>
        <v/>
      </c>
      <c r="H947" t="str">
        <f>"Fun Town RV"</f>
        <v>Fun Town RV</v>
      </c>
    </row>
    <row r="948" spans="1:8" x14ac:dyDescent="0.25">
      <c r="E948" t="str">
        <f>""</f>
        <v/>
      </c>
      <c r="F948" t="str">
        <f>""</f>
        <v/>
      </c>
      <c r="H948" t="str">
        <f>"Staples"</f>
        <v>Staples</v>
      </c>
    </row>
    <row r="949" spans="1:8" x14ac:dyDescent="0.25">
      <c r="E949" t="str">
        <f>""</f>
        <v/>
      </c>
      <c r="F949" t="str">
        <f>""</f>
        <v/>
      </c>
      <c r="H949" t="str">
        <f>"Horns Medical"</f>
        <v>Horns Medical</v>
      </c>
    </row>
    <row r="950" spans="1:8" x14ac:dyDescent="0.25">
      <c r="E950" t="str">
        <f>""</f>
        <v/>
      </c>
      <c r="F950" t="str">
        <f>""</f>
        <v/>
      </c>
      <c r="H950" t="str">
        <f>"CoolVest"</f>
        <v>CoolVest</v>
      </c>
    </row>
    <row r="951" spans="1:8" x14ac:dyDescent="0.25">
      <c r="A951" t="s">
        <v>294</v>
      </c>
      <c r="B951">
        <v>131770</v>
      </c>
      <c r="C951" s="5">
        <v>534933.13</v>
      </c>
      <c r="D951" s="1">
        <v>43962</v>
      </c>
      <c r="E951" t="str">
        <f>"202005056659"</f>
        <v>202005056659</v>
      </c>
      <c r="F951" t="str">
        <f>"PROJ#20-19073/TAHITIAN INGRESS"</f>
        <v>PROJ#20-19073/TAHITIAN INGRESS</v>
      </c>
      <c r="G951" s="5">
        <v>534933.13</v>
      </c>
      <c r="H951" t="str">
        <f>"PROJ#20-19073/TAHITIAN INGRESS"</f>
        <v>PROJ#20-19073/TAHITIAN INGRESS</v>
      </c>
    </row>
    <row r="952" spans="1:8" x14ac:dyDescent="0.25">
      <c r="A952" t="s">
        <v>71</v>
      </c>
      <c r="B952">
        <v>131906</v>
      </c>
      <c r="C952" s="5">
        <v>8320.3700000000008</v>
      </c>
      <c r="D952" s="1">
        <v>43972</v>
      </c>
      <c r="E952" t="str">
        <f>"202005216994"</f>
        <v>202005216994</v>
      </c>
      <c r="F952" t="str">
        <f>"ACCT#72-5613 / 05302020"</f>
        <v>ACCT#72-5613 / 05302020</v>
      </c>
      <c r="G952" s="5">
        <v>8320.3700000000008</v>
      </c>
      <c r="H952" t="str">
        <f>"ACCT#72-5613 / 05302020"</f>
        <v>ACCT#72-5613 / 05302020</v>
      </c>
    </row>
    <row r="953" spans="1:8" x14ac:dyDescent="0.25">
      <c r="E953" t="str">
        <f>""</f>
        <v/>
      </c>
      <c r="F953" t="str">
        <f>""</f>
        <v/>
      </c>
      <c r="H953" t="str">
        <f>"ACCT#72-5613 / 05302020"</f>
        <v>ACCT#72-5613 / 05302020</v>
      </c>
    </row>
    <row r="954" spans="1:8" x14ac:dyDescent="0.25">
      <c r="A954" t="s">
        <v>295</v>
      </c>
      <c r="B954">
        <v>132010</v>
      </c>
      <c r="C954" s="5">
        <v>2000</v>
      </c>
      <c r="D954" s="1">
        <v>43977</v>
      </c>
      <c r="E954" t="str">
        <f>"202005186918"</f>
        <v>202005186918</v>
      </c>
      <c r="F954" t="str">
        <f>"19-20028"</f>
        <v>19-20028</v>
      </c>
      <c r="G954" s="5">
        <v>2000</v>
      </c>
      <c r="H954" t="str">
        <f>"19-20028"</f>
        <v>19-20028</v>
      </c>
    </row>
    <row r="955" spans="1:8" x14ac:dyDescent="0.25">
      <c r="A955" t="s">
        <v>296</v>
      </c>
      <c r="B955">
        <v>132011</v>
      </c>
      <c r="C955" s="5">
        <v>15000</v>
      </c>
      <c r="D955" s="1">
        <v>43977</v>
      </c>
      <c r="E955" t="str">
        <f>"202005186914"</f>
        <v>202005186914</v>
      </c>
      <c r="F955" t="str">
        <f>"MED ADVICE &amp; SVCS/04/17-05/16"</f>
        <v>MED ADVICE &amp; SVCS/04/17-05/16</v>
      </c>
      <c r="G955" s="5">
        <v>15000</v>
      </c>
      <c r="H955" t="str">
        <f>"MED ADVICE &amp; SVCS/04/17-05/16"</f>
        <v>MED ADVICE &amp; SVCS/04/17-05/16</v>
      </c>
    </row>
    <row r="956" spans="1:8" x14ac:dyDescent="0.25">
      <c r="A956" t="s">
        <v>297</v>
      </c>
      <c r="B956">
        <v>132012</v>
      </c>
      <c r="C956" s="5">
        <v>203.7</v>
      </c>
      <c r="D956" s="1">
        <v>43977</v>
      </c>
      <c r="E956" t="str">
        <f>"74563"</f>
        <v>74563</v>
      </c>
      <c r="F956" t="str">
        <f>"GLOVES/MASKS/HAND SANITIZER"</f>
        <v>GLOVES/MASKS/HAND SANITIZER</v>
      </c>
      <c r="G956" s="5">
        <v>203.7</v>
      </c>
      <c r="H956" t="str">
        <f>"GLOVES/MASKS/HAND SANITIZER"</f>
        <v>GLOVES/MASKS/HAND SANITIZER</v>
      </c>
    </row>
    <row r="957" spans="1:8" x14ac:dyDescent="0.25">
      <c r="A957" t="s">
        <v>104</v>
      </c>
      <c r="B957">
        <v>2660</v>
      </c>
      <c r="C957" s="5">
        <v>1268.25</v>
      </c>
      <c r="D957" s="1">
        <v>43978</v>
      </c>
      <c r="E957" t="str">
        <f>"202005216995"</f>
        <v>202005216995</v>
      </c>
      <c r="F957" t="str">
        <f>"INV 6254861183"</f>
        <v>INV 6254861183</v>
      </c>
      <c r="G957" s="5">
        <v>1268.25</v>
      </c>
      <c r="H957" t="str">
        <f>"INV 6254861183"</f>
        <v>INV 6254861183</v>
      </c>
    </row>
    <row r="958" spans="1:8" x14ac:dyDescent="0.25">
      <c r="E958" t="str">
        <f>""</f>
        <v/>
      </c>
      <c r="F958" t="str">
        <f>""</f>
        <v/>
      </c>
      <c r="H958" t="str">
        <f>"INV 6254818209"</f>
        <v>INV 6254818209</v>
      </c>
    </row>
    <row r="959" spans="1:8" x14ac:dyDescent="0.25">
      <c r="E959" t="str">
        <f>""</f>
        <v/>
      </c>
      <c r="F959" t="str">
        <f>""</f>
        <v/>
      </c>
      <c r="H959" t="str">
        <f>"INV 6255499038"</f>
        <v>INV 6255499038</v>
      </c>
    </row>
    <row r="960" spans="1:8" x14ac:dyDescent="0.25">
      <c r="A960" t="s">
        <v>112</v>
      </c>
      <c r="B960">
        <v>533</v>
      </c>
      <c r="C960" s="5">
        <v>1716712.5</v>
      </c>
      <c r="D960" s="1">
        <v>43977</v>
      </c>
      <c r="E960" t="str">
        <f>"252-2286583"</f>
        <v>252-2286583</v>
      </c>
      <c r="F960" t="str">
        <f>"DEBT SERVICE PMT - SERIES 2012"</f>
        <v>DEBT SERVICE PMT - SERIES 2012</v>
      </c>
      <c r="G960" s="5">
        <v>500</v>
      </c>
      <c r="H960" t="str">
        <f>"DEBT SERVICE PMT - SERIES 2012"</f>
        <v>DEBT SERVICE PMT - SERIES 2012</v>
      </c>
    </row>
    <row r="961" spans="1:8" x14ac:dyDescent="0.25">
      <c r="E961" t="str">
        <f>"252-2286590"</f>
        <v>252-2286590</v>
      </c>
      <c r="F961" t="str">
        <f>"DEBT SERVICE PMT - SERIES 2013"</f>
        <v>DEBT SERVICE PMT - SERIES 2013</v>
      </c>
      <c r="G961" s="5">
        <v>500</v>
      </c>
      <c r="H961" t="str">
        <f>"DEBT SERVICE PMT - SERIES 2013"</f>
        <v>DEBT SERVICE PMT - SERIES 2013</v>
      </c>
    </row>
    <row r="962" spans="1:8" x14ac:dyDescent="0.25">
      <c r="E962" t="str">
        <f>"LOAN#BASTROP 12"</f>
        <v>LOAN#BASTROP 12</v>
      </c>
      <c r="F962" t="str">
        <f>"DEBT SERVICE PMT - SERIES 2012"</f>
        <v>DEBT SERVICE PMT - SERIES 2012</v>
      </c>
      <c r="G962" s="5">
        <v>652387.5</v>
      </c>
      <c r="H962" t="str">
        <f>"DEBT SERVICE PMT - SERIES 2012"</f>
        <v>DEBT SERVICE PMT - SERIES 2012</v>
      </c>
    </row>
    <row r="963" spans="1:8" x14ac:dyDescent="0.25">
      <c r="E963" t="str">
        <f>""</f>
        <v/>
      </c>
      <c r="F963" t="str">
        <f>""</f>
        <v/>
      </c>
      <c r="H963" t="str">
        <f>"DEBT SERVICE PMT - SERIES 2012"</f>
        <v>DEBT SERVICE PMT - SERIES 2012</v>
      </c>
    </row>
    <row r="964" spans="1:8" x14ac:dyDescent="0.25">
      <c r="E964" t="str">
        <f>"LOAN#BASTROP 13"</f>
        <v>LOAN#BASTROP 13</v>
      </c>
      <c r="F964" t="str">
        <f>"DEBT SERVICE PMT - SERIES 2013"</f>
        <v>DEBT SERVICE PMT - SERIES 2013</v>
      </c>
      <c r="G964" s="5">
        <v>1063325</v>
      </c>
      <c r="H964" t="str">
        <f>"DEBT SERVICE PMT - SERIES 2013"</f>
        <v>DEBT SERVICE PMT - SERIES 2013</v>
      </c>
    </row>
    <row r="965" spans="1:8" x14ac:dyDescent="0.25">
      <c r="E965" t="str">
        <f>""</f>
        <v/>
      </c>
      <c r="F965" t="str">
        <f>""</f>
        <v/>
      </c>
      <c r="H965" t="str">
        <f>"DEBT SERVICE PMT - SERIES 2013"</f>
        <v>DEBT SERVICE PMT - SERIES 2013</v>
      </c>
    </row>
    <row r="966" spans="1:8" x14ac:dyDescent="0.25">
      <c r="A966" t="s">
        <v>298</v>
      </c>
      <c r="B966">
        <v>131771</v>
      </c>
      <c r="C966" s="5">
        <v>3700</v>
      </c>
      <c r="D966" s="1">
        <v>43962</v>
      </c>
      <c r="E966" t="str">
        <f>"202005056709"</f>
        <v>202005056709</v>
      </c>
      <c r="F966" t="str">
        <f>"Lease"</f>
        <v>Lease</v>
      </c>
      <c r="G966" s="5">
        <v>3700</v>
      </c>
      <c r="H966" t="str">
        <f>"Lease"</f>
        <v>Lease</v>
      </c>
    </row>
    <row r="967" spans="1:8" x14ac:dyDescent="0.25">
      <c r="A967" t="s">
        <v>123</v>
      </c>
      <c r="B967">
        <v>2600</v>
      </c>
      <c r="C967" s="5">
        <v>540</v>
      </c>
      <c r="D967" s="1">
        <v>43963</v>
      </c>
      <c r="E967" t="str">
        <f>"RB492"</f>
        <v>RB492</v>
      </c>
      <c r="F967" t="str">
        <f>"EOC Order"</f>
        <v>EOC Order</v>
      </c>
      <c r="G967" s="5">
        <v>540</v>
      </c>
      <c r="H967" t="str">
        <f>"N105FM"</f>
        <v>N105FM</v>
      </c>
    </row>
    <row r="968" spans="1:8" x14ac:dyDescent="0.25">
      <c r="E968" t="str">
        <f>""</f>
        <v/>
      </c>
      <c r="F968" t="str">
        <f>""</f>
        <v/>
      </c>
      <c r="H968" t="str">
        <f>"N105FXL"</f>
        <v>N105FXL</v>
      </c>
    </row>
    <row r="969" spans="1:8" x14ac:dyDescent="0.25">
      <c r="E969" t="str">
        <f>""</f>
        <v/>
      </c>
      <c r="F969" t="str">
        <f>""</f>
        <v/>
      </c>
      <c r="H969" t="str">
        <f>"N105FL"</f>
        <v>N105FL</v>
      </c>
    </row>
    <row r="970" spans="1:8" x14ac:dyDescent="0.25">
      <c r="A970" t="s">
        <v>299</v>
      </c>
      <c r="B970">
        <v>2601</v>
      </c>
      <c r="C970" s="5">
        <v>22854.5</v>
      </c>
      <c r="D970" s="1">
        <v>43963</v>
      </c>
      <c r="E970" t="str">
        <f>"101831 102187 1025"</f>
        <v>101831 102187 1025</v>
      </c>
      <c r="F970" t="str">
        <f>"IN 101831  102187  102503"</f>
        <v>IN 101831  102187  102503</v>
      </c>
      <c r="G970" s="5">
        <v>22854.5</v>
      </c>
      <c r="H970" t="str">
        <f>"IN 101831"</f>
        <v>IN 101831</v>
      </c>
    </row>
    <row r="971" spans="1:8" x14ac:dyDescent="0.25">
      <c r="E971" t="str">
        <f>""</f>
        <v/>
      </c>
      <c r="F971" t="str">
        <f>""</f>
        <v/>
      </c>
      <c r="H971" t="str">
        <f>"IN 102187"</f>
        <v>IN 102187</v>
      </c>
    </row>
    <row r="972" spans="1:8" x14ac:dyDescent="0.25">
      <c r="E972" t="str">
        <f>""</f>
        <v/>
      </c>
      <c r="F972" t="str">
        <f>""</f>
        <v/>
      </c>
      <c r="H972" t="str">
        <f>"IN 102503"</f>
        <v>IN 102503</v>
      </c>
    </row>
    <row r="973" spans="1:8" x14ac:dyDescent="0.25">
      <c r="A973" t="s">
        <v>162</v>
      </c>
      <c r="B973">
        <v>131772</v>
      </c>
      <c r="C973" s="5">
        <v>14486.76</v>
      </c>
      <c r="D973" s="1">
        <v>43962</v>
      </c>
      <c r="E973" t="str">
        <f>"3967"</f>
        <v>3967</v>
      </c>
      <c r="F973" t="str">
        <f>"ADMIN FEE/TAHITIAN VILLAGE"</f>
        <v>ADMIN FEE/TAHITIAN VILLAGE</v>
      </c>
      <c r="G973" s="5">
        <v>14486.76</v>
      </c>
      <c r="H973" t="str">
        <f>"ADMIN FEE/TAHITIAN VILLAGE"</f>
        <v>ADMIN FEE/TAHITIAN VILLAGE</v>
      </c>
    </row>
    <row r="974" spans="1:8" x14ac:dyDescent="0.25">
      <c r="A974" t="s">
        <v>162</v>
      </c>
      <c r="B974">
        <v>132013</v>
      </c>
      <c r="C974" s="5">
        <v>10774.5</v>
      </c>
      <c r="D974" s="1">
        <v>43977</v>
      </c>
      <c r="E974" t="str">
        <f>"3973"</f>
        <v>3973</v>
      </c>
      <c r="F974" t="str">
        <f>"ADMIN FEES/TAHITIAN VILLAGE"</f>
        <v>ADMIN FEES/TAHITIAN VILLAGE</v>
      </c>
      <c r="G974" s="5">
        <v>10774.5</v>
      </c>
      <c r="H974" t="str">
        <f>"ADMIN FEES/TAHITIAN VILLAGE"</f>
        <v>ADMIN FEES/TAHITIAN VILLAGE</v>
      </c>
    </row>
    <row r="975" spans="1:8" x14ac:dyDescent="0.25">
      <c r="A975" t="s">
        <v>300</v>
      </c>
      <c r="B975">
        <v>131773</v>
      </c>
      <c r="C975" s="5">
        <v>204.15</v>
      </c>
      <c r="D975" s="1">
        <v>43962</v>
      </c>
      <c r="E975" t="str">
        <f>"202005066725"</f>
        <v>202005066725</v>
      </c>
      <c r="F975" t="str">
        <f>"REIMBURSE SUPPLIES"</f>
        <v>REIMBURSE SUPPLIES</v>
      </c>
      <c r="G975" s="5">
        <v>204.15</v>
      </c>
      <c r="H975" t="str">
        <f>"REIMBURSE SUPPLIES"</f>
        <v>REIMBURSE SUPPLIES</v>
      </c>
    </row>
    <row r="976" spans="1:8" x14ac:dyDescent="0.25">
      <c r="A976" t="s">
        <v>301</v>
      </c>
      <c r="B976">
        <v>132014</v>
      </c>
      <c r="C976" s="5">
        <v>33183.25</v>
      </c>
      <c r="D976" s="1">
        <v>43977</v>
      </c>
      <c r="E976" t="str">
        <f>"190000100-0420"</f>
        <v>190000100-0420</v>
      </c>
      <c r="F976" t="str">
        <f>"PROJ#19000010"</f>
        <v>PROJ#19000010</v>
      </c>
      <c r="G976" s="5">
        <v>33183.25</v>
      </c>
      <c r="H976" t="str">
        <f>"PROJ#19000010"</f>
        <v>PROJ#19000010</v>
      </c>
    </row>
    <row r="977" spans="1:8" x14ac:dyDescent="0.25">
      <c r="A977" t="s">
        <v>216</v>
      </c>
      <c r="B977">
        <v>2658</v>
      </c>
      <c r="C977" s="5">
        <v>1314.27</v>
      </c>
      <c r="D977" s="1">
        <v>43978</v>
      </c>
      <c r="E977" t="str">
        <f>"5059468207-APTF"</f>
        <v>5059468207-APTF</v>
      </c>
      <c r="F977" t="str">
        <f>"CUST#12847097/CONT#4896380"</f>
        <v>CUST#12847097/CONT#4896380</v>
      </c>
      <c r="G977" s="5">
        <v>1314.27</v>
      </c>
      <c r="H977" t="str">
        <f>"CUST#12847097/CONT#4896380"</f>
        <v>CUST#12847097/CONT#4896380</v>
      </c>
    </row>
    <row r="978" spans="1:8" x14ac:dyDescent="0.25">
      <c r="A978" t="s">
        <v>302</v>
      </c>
      <c r="B978">
        <v>131774</v>
      </c>
      <c r="C978" s="5">
        <v>122.1</v>
      </c>
      <c r="D978" s="1">
        <v>43962</v>
      </c>
      <c r="E978" t="str">
        <f>"4910001"</f>
        <v>4910001</v>
      </c>
      <c r="F978" t="str">
        <f>"inv# 4910001"</f>
        <v>inv# 4910001</v>
      </c>
      <c r="G978" s="5">
        <v>122.1</v>
      </c>
      <c r="H978" t="str">
        <f>"inv# 4910001"</f>
        <v>inv# 4910001</v>
      </c>
    </row>
    <row r="979" spans="1:8" x14ac:dyDescent="0.25">
      <c r="A979" t="s">
        <v>247</v>
      </c>
      <c r="B979">
        <v>131775</v>
      </c>
      <c r="C979" s="5">
        <v>132.12</v>
      </c>
      <c r="D979" s="1">
        <v>43962</v>
      </c>
      <c r="E979" t="str">
        <f>"3445143761"</f>
        <v>3445143761</v>
      </c>
      <c r="F979" t="str">
        <f>"Monthly Statement"</f>
        <v>Monthly Statement</v>
      </c>
      <c r="G979" s="5">
        <v>132.12</v>
      </c>
      <c r="H979" t="str">
        <f>"inv #3445143761"</f>
        <v>inv #3445143761</v>
      </c>
    </row>
    <row r="980" spans="1:8" x14ac:dyDescent="0.25">
      <c r="A980" t="s">
        <v>260</v>
      </c>
      <c r="B980">
        <v>132015</v>
      </c>
      <c r="C980" s="5">
        <v>72.09</v>
      </c>
      <c r="D980" s="1">
        <v>43977</v>
      </c>
      <c r="E980" t="str">
        <f>"DP-2019-4-0110APTF"</f>
        <v>DP-2019-4-0110APTF</v>
      </c>
      <c r="F980" t="str">
        <f>"DEFICIT BILLING 2019"</f>
        <v>DEFICIT BILLING 2019</v>
      </c>
      <c r="G980" s="5">
        <v>72.09</v>
      </c>
      <c r="H980" t="str">
        <f>"DEFICIT BILLING 2019"</f>
        <v>DEFICIT BILLING 2019</v>
      </c>
    </row>
    <row r="981" spans="1:8" x14ac:dyDescent="0.25">
      <c r="A981" t="s">
        <v>303</v>
      </c>
      <c r="B981">
        <v>531</v>
      </c>
      <c r="C981" s="5">
        <v>4939.1000000000004</v>
      </c>
      <c r="D981" s="1">
        <v>43978</v>
      </c>
      <c r="E981" t="str">
        <f>"202005257003"</f>
        <v>202005257003</v>
      </c>
      <c r="F981" t="str">
        <f>"ALLSTATE-AMERICAN HERITAGE LIF"</f>
        <v>ALLSTATE-AMERICAN HERITAGE LIF</v>
      </c>
      <c r="G981" s="5">
        <v>0.04</v>
      </c>
      <c r="H981" t="str">
        <f>"ALLSTATE-AMERICAN HERITAGE LIF"</f>
        <v>ALLSTATE-AMERICAN HERITAGE LIF</v>
      </c>
    </row>
    <row r="982" spans="1:8" x14ac:dyDescent="0.25">
      <c r="E982" t="str">
        <f>"AS 202004296628"</f>
        <v>AS 202004296628</v>
      </c>
      <c r="F982" t="str">
        <f t="shared" ref="F982:F995" si="15">"ALLSTATE"</f>
        <v>ALLSTATE</v>
      </c>
      <c r="G982" s="5">
        <v>478.93</v>
      </c>
      <c r="H982" t="str">
        <f t="shared" ref="H982:H995" si="16">"ALLSTATE"</f>
        <v>ALLSTATE</v>
      </c>
    </row>
    <row r="983" spans="1:8" x14ac:dyDescent="0.25">
      <c r="E983" t="str">
        <f>"AS 202004296629"</f>
        <v>AS 202004296629</v>
      </c>
      <c r="F983" t="str">
        <f t="shared" si="15"/>
        <v>ALLSTATE</v>
      </c>
      <c r="G983" s="5">
        <v>27.14</v>
      </c>
      <c r="H983" t="str">
        <f t="shared" si="16"/>
        <v>ALLSTATE</v>
      </c>
    </row>
    <row r="984" spans="1:8" x14ac:dyDescent="0.25">
      <c r="E984" t="str">
        <f>"AS 202005126839"</f>
        <v>AS 202005126839</v>
      </c>
      <c r="F984" t="str">
        <f t="shared" si="15"/>
        <v>ALLSTATE</v>
      </c>
      <c r="G984" s="5">
        <v>478.93</v>
      </c>
      <c r="H984" t="str">
        <f t="shared" si="16"/>
        <v>ALLSTATE</v>
      </c>
    </row>
    <row r="985" spans="1:8" x14ac:dyDescent="0.25">
      <c r="E985" t="str">
        <f>"AS 202005126840"</f>
        <v>AS 202005126840</v>
      </c>
      <c r="F985" t="str">
        <f t="shared" si="15"/>
        <v>ALLSTATE</v>
      </c>
      <c r="G985" s="5">
        <v>27.14</v>
      </c>
      <c r="H985" t="str">
        <f t="shared" si="16"/>
        <v>ALLSTATE</v>
      </c>
    </row>
    <row r="986" spans="1:8" x14ac:dyDescent="0.25">
      <c r="E986" t="str">
        <f>"ASD202004296628"</f>
        <v>ASD202004296628</v>
      </c>
      <c r="F986" t="str">
        <f t="shared" si="15"/>
        <v>ALLSTATE</v>
      </c>
      <c r="G986" s="5">
        <v>170.21</v>
      </c>
      <c r="H986" t="str">
        <f t="shared" si="16"/>
        <v>ALLSTATE</v>
      </c>
    </row>
    <row r="987" spans="1:8" x14ac:dyDescent="0.25">
      <c r="E987" t="str">
        <f>"ASD202005126839"</f>
        <v>ASD202005126839</v>
      </c>
      <c r="F987" t="str">
        <f t="shared" si="15"/>
        <v>ALLSTATE</v>
      </c>
      <c r="G987" s="5">
        <v>170.21</v>
      </c>
      <c r="H987" t="str">
        <f t="shared" si="16"/>
        <v>ALLSTATE</v>
      </c>
    </row>
    <row r="988" spans="1:8" x14ac:dyDescent="0.25">
      <c r="E988" t="str">
        <f>"ASI202004296628"</f>
        <v>ASI202004296628</v>
      </c>
      <c r="F988" t="str">
        <f t="shared" si="15"/>
        <v>ALLSTATE</v>
      </c>
      <c r="G988" s="5">
        <v>592.16</v>
      </c>
      <c r="H988" t="str">
        <f t="shared" si="16"/>
        <v>ALLSTATE</v>
      </c>
    </row>
    <row r="989" spans="1:8" x14ac:dyDescent="0.25">
      <c r="E989" t="str">
        <f>"ASI202004296629"</f>
        <v>ASI202004296629</v>
      </c>
      <c r="F989" t="str">
        <f t="shared" si="15"/>
        <v>ALLSTATE</v>
      </c>
      <c r="G989" s="5">
        <v>67.150000000000006</v>
      </c>
      <c r="H989" t="str">
        <f t="shared" si="16"/>
        <v>ALLSTATE</v>
      </c>
    </row>
    <row r="990" spans="1:8" x14ac:dyDescent="0.25">
      <c r="E990" t="str">
        <f>"ASI202005126839"</f>
        <v>ASI202005126839</v>
      </c>
      <c r="F990" t="str">
        <f t="shared" si="15"/>
        <v>ALLSTATE</v>
      </c>
      <c r="G990" s="5">
        <v>592.16</v>
      </c>
      <c r="H990" t="str">
        <f t="shared" si="16"/>
        <v>ALLSTATE</v>
      </c>
    </row>
    <row r="991" spans="1:8" x14ac:dyDescent="0.25">
      <c r="E991" t="str">
        <f>"ASI202005126840"</f>
        <v>ASI202005126840</v>
      </c>
      <c r="F991" t="str">
        <f t="shared" si="15"/>
        <v>ALLSTATE</v>
      </c>
      <c r="G991" s="5">
        <v>67.150000000000006</v>
      </c>
      <c r="H991" t="str">
        <f t="shared" si="16"/>
        <v>ALLSTATE</v>
      </c>
    </row>
    <row r="992" spans="1:8" x14ac:dyDescent="0.25">
      <c r="E992" t="str">
        <f>"AST202004296628"</f>
        <v>AST202004296628</v>
      </c>
      <c r="F992" t="str">
        <f t="shared" si="15"/>
        <v>ALLSTATE</v>
      </c>
      <c r="G992" s="5">
        <v>1135.3</v>
      </c>
      <c r="H992" t="str">
        <f t="shared" si="16"/>
        <v>ALLSTATE</v>
      </c>
    </row>
    <row r="993" spans="1:8" x14ac:dyDescent="0.25">
      <c r="E993" t="str">
        <f>"AST202004296629"</f>
        <v>AST202004296629</v>
      </c>
      <c r="F993" t="str">
        <f t="shared" si="15"/>
        <v>ALLSTATE</v>
      </c>
      <c r="G993" s="5">
        <v>42.61</v>
      </c>
      <c r="H993" t="str">
        <f t="shared" si="16"/>
        <v>ALLSTATE</v>
      </c>
    </row>
    <row r="994" spans="1:8" x14ac:dyDescent="0.25">
      <c r="E994" t="str">
        <f>"AST202005126839"</f>
        <v>AST202005126839</v>
      </c>
      <c r="F994" t="str">
        <f t="shared" si="15"/>
        <v>ALLSTATE</v>
      </c>
      <c r="G994" s="5">
        <v>1047.3599999999999</v>
      </c>
      <c r="H994" t="str">
        <f t="shared" si="16"/>
        <v>ALLSTATE</v>
      </c>
    </row>
    <row r="995" spans="1:8" x14ac:dyDescent="0.25">
      <c r="E995" t="str">
        <f>"AST202005126840"</f>
        <v>AST202005126840</v>
      </c>
      <c r="F995" t="str">
        <f t="shared" si="15"/>
        <v>ALLSTATE</v>
      </c>
      <c r="G995" s="5">
        <v>42.61</v>
      </c>
      <c r="H995" t="str">
        <f t="shared" si="16"/>
        <v>ALLSTATE</v>
      </c>
    </row>
    <row r="996" spans="1:8" x14ac:dyDescent="0.25">
      <c r="A996" t="s">
        <v>304</v>
      </c>
      <c r="B996">
        <v>527</v>
      </c>
      <c r="C996" s="5">
        <v>28003.06</v>
      </c>
      <c r="D996" s="1">
        <v>43978</v>
      </c>
      <c r="E996" t="str">
        <f>"202005256997"</f>
        <v>202005256997</v>
      </c>
      <c r="F996" t="str">
        <f>"AmWINS Group Benefits  Inc."</f>
        <v>AmWINS Group Benefits  Inc.</v>
      </c>
      <c r="G996" s="5">
        <v>28003.06</v>
      </c>
      <c r="H996" t="str">
        <f>"AmWINS Group Benefits  Inc."</f>
        <v>AmWINS Group Benefits  Inc.</v>
      </c>
    </row>
    <row r="997" spans="1:8" x14ac:dyDescent="0.25">
      <c r="A997" t="s">
        <v>305</v>
      </c>
      <c r="B997">
        <v>504</v>
      </c>
      <c r="C997" s="5">
        <v>2378.08</v>
      </c>
      <c r="D997" s="1">
        <v>43952</v>
      </c>
      <c r="E997" t="str">
        <f>"DHM202004296630"</f>
        <v>DHM202004296630</v>
      </c>
      <c r="F997" t="str">
        <f>"AP - DENTAL HMO"</f>
        <v>AP - DENTAL HMO</v>
      </c>
      <c r="G997" s="5">
        <v>45.09</v>
      </c>
      <c r="H997" t="str">
        <f>"AP - DENTAL HMO"</f>
        <v>AP - DENTAL HMO</v>
      </c>
    </row>
    <row r="998" spans="1:8" x14ac:dyDescent="0.25">
      <c r="E998" t="str">
        <f>"DTX202004296630"</f>
        <v>DTX202004296630</v>
      </c>
      <c r="F998" t="str">
        <f>"AP - TEXAS DENTAL"</f>
        <v>AP - TEXAS DENTAL</v>
      </c>
      <c r="G998" s="5">
        <v>405.38</v>
      </c>
      <c r="H998" t="str">
        <f>"AP - TEXAS DENTAL"</f>
        <v>AP - TEXAS DENTAL</v>
      </c>
    </row>
    <row r="999" spans="1:8" x14ac:dyDescent="0.25">
      <c r="E999" t="str">
        <f>"FD 202004296630"</f>
        <v>FD 202004296630</v>
      </c>
      <c r="F999" t="str">
        <f>"AP - FT DEARBORN PRE-TAX"</f>
        <v>AP - FT DEARBORN PRE-TAX</v>
      </c>
      <c r="G999" s="5">
        <v>80.09</v>
      </c>
      <c r="H999" t="str">
        <f>"AP - FT DEARBORN PRE-TAX"</f>
        <v>AP - FT DEARBORN PRE-TAX</v>
      </c>
    </row>
    <row r="1000" spans="1:8" x14ac:dyDescent="0.25">
      <c r="E1000" t="str">
        <f>"FDT202004296630"</f>
        <v>FDT202004296630</v>
      </c>
      <c r="F1000" t="str">
        <f>"AP - FT DEARBORN AFTER TAX"</f>
        <v>AP - FT DEARBORN AFTER TAX</v>
      </c>
      <c r="G1000" s="5">
        <v>68.44</v>
      </c>
      <c r="H1000" t="str">
        <f>"AP - FT DEARBORN AFTER TAX"</f>
        <v>AP - FT DEARBORN AFTER TAX</v>
      </c>
    </row>
    <row r="1001" spans="1:8" x14ac:dyDescent="0.25">
      <c r="E1001" t="str">
        <f>"FLX202004296630"</f>
        <v>FLX202004296630</v>
      </c>
      <c r="F1001" t="str">
        <f>"AP - TEX FLEX"</f>
        <v>AP - TEX FLEX</v>
      </c>
      <c r="G1001" s="5">
        <v>80.5</v>
      </c>
      <c r="H1001" t="str">
        <f>"AP - TEX FLEX"</f>
        <v>AP - TEX FLEX</v>
      </c>
    </row>
    <row r="1002" spans="1:8" x14ac:dyDescent="0.25">
      <c r="E1002" t="str">
        <f>"HSA202004296630"</f>
        <v>HSA202004296630</v>
      </c>
      <c r="F1002" t="str">
        <f>"AP- HSA"</f>
        <v>AP- HSA</v>
      </c>
      <c r="G1002" s="5">
        <v>20</v>
      </c>
      <c r="H1002" t="str">
        <f>"AP- HSA"</f>
        <v>AP- HSA</v>
      </c>
    </row>
    <row r="1003" spans="1:8" x14ac:dyDescent="0.25">
      <c r="E1003" t="str">
        <f>"MHS202004296630"</f>
        <v>MHS202004296630</v>
      </c>
      <c r="F1003" t="str">
        <f>"AP - HEALTH SELECT MEDICAL"</f>
        <v>AP - HEALTH SELECT MEDICAL</v>
      </c>
      <c r="G1003" s="5">
        <v>1257.6500000000001</v>
      </c>
      <c r="H1003" t="str">
        <f>"AP - HEALTH SELECT MEDICAL"</f>
        <v>AP - HEALTH SELECT MEDICAL</v>
      </c>
    </row>
    <row r="1004" spans="1:8" x14ac:dyDescent="0.25">
      <c r="E1004" t="str">
        <f>"MSW202004296630"</f>
        <v>MSW202004296630</v>
      </c>
      <c r="F1004" t="str">
        <f>"AP - SCOTT &amp; WHITE MEDICAL"</f>
        <v>AP - SCOTT &amp; WHITE MEDICAL</v>
      </c>
      <c r="G1004" s="5">
        <v>372.9</v>
      </c>
      <c r="H1004" t="str">
        <f>"AP - SCOTT &amp; WHITE MEDICAL"</f>
        <v>AP - SCOTT &amp; WHITE MEDICAL</v>
      </c>
    </row>
    <row r="1005" spans="1:8" x14ac:dyDescent="0.25">
      <c r="E1005" t="str">
        <f>"SPE202004296630"</f>
        <v>SPE202004296630</v>
      </c>
      <c r="F1005" t="str">
        <f>"AP - STATE VISION"</f>
        <v>AP - STATE VISION</v>
      </c>
      <c r="G1005" s="5">
        <v>48.03</v>
      </c>
      <c r="H1005" t="str">
        <f>"AP - STATE VISION"</f>
        <v>AP - STATE VISION</v>
      </c>
    </row>
    <row r="1006" spans="1:8" x14ac:dyDescent="0.25">
      <c r="A1006" t="s">
        <v>305</v>
      </c>
      <c r="B1006">
        <v>512</v>
      </c>
      <c r="C1006" s="5">
        <v>2378.08</v>
      </c>
      <c r="D1006" s="1">
        <v>43966</v>
      </c>
      <c r="E1006" t="str">
        <f>"DHM202005126841"</f>
        <v>DHM202005126841</v>
      </c>
      <c r="F1006" t="str">
        <f>"AP - DENTAL HMO"</f>
        <v>AP - DENTAL HMO</v>
      </c>
      <c r="G1006" s="5">
        <v>45.09</v>
      </c>
      <c r="H1006" t="str">
        <f>"AP - DENTAL HMO"</f>
        <v>AP - DENTAL HMO</v>
      </c>
    </row>
    <row r="1007" spans="1:8" x14ac:dyDescent="0.25">
      <c r="E1007" t="str">
        <f>"DTX202005126841"</f>
        <v>DTX202005126841</v>
      </c>
      <c r="F1007" t="str">
        <f>"AP - TEXAS DENTAL"</f>
        <v>AP - TEXAS DENTAL</v>
      </c>
      <c r="G1007" s="5">
        <v>405.38</v>
      </c>
      <c r="H1007" t="str">
        <f>"AP - TEXAS DENTAL"</f>
        <v>AP - TEXAS DENTAL</v>
      </c>
    </row>
    <row r="1008" spans="1:8" x14ac:dyDescent="0.25">
      <c r="E1008" t="str">
        <f>"FD 202005126841"</f>
        <v>FD 202005126841</v>
      </c>
      <c r="F1008" t="str">
        <f>"AP - FT DEARBORN PRE-TAX"</f>
        <v>AP - FT DEARBORN PRE-TAX</v>
      </c>
      <c r="G1008" s="5">
        <v>80.09</v>
      </c>
      <c r="H1008" t="str">
        <f>"AP - FT DEARBORN PRE-TAX"</f>
        <v>AP - FT DEARBORN PRE-TAX</v>
      </c>
    </row>
    <row r="1009" spans="1:8" x14ac:dyDescent="0.25">
      <c r="E1009" t="str">
        <f>"FDT202005126841"</f>
        <v>FDT202005126841</v>
      </c>
      <c r="F1009" t="str">
        <f>"AP - FT DEARBORN AFTER TAX"</f>
        <v>AP - FT DEARBORN AFTER TAX</v>
      </c>
      <c r="G1009" s="5">
        <v>68.44</v>
      </c>
      <c r="H1009" t="str">
        <f>"AP - FT DEARBORN AFTER TAX"</f>
        <v>AP - FT DEARBORN AFTER TAX</v>
      </c>
    </row>
    <row r="1010" spans="1:8" x14ac:dyDescent="0.25">
      <c r="E1010" t="str">
        <f>"FLX202005126841"</f>
        <v>FLX202005126841</v>
      </c>
      <c r="F1010" t="str">
        <f>"AP - TEX FLEX"</f>
        <v>AP - TEX FLEX</v>
      </c>
      <c r="G1010" s="5">
        <v>80.5</v>
      </c>
      <c r="H1010" t="str">
        <f>"AP - TEX FLEX"</f>
        <v>AP - TEX FLEX</v>
      </c>
    </row>
    <row r="1011" spans="1:8" x14ac:dyDescent="0.25">
      <c r="E1011" t="str">
        <f>"HSA202005126841"</f>
        <v>HSA202005126841</v>
      </c>
      <c r="F1011" t="str">
        <f>"AP- HSA"</f>
        <v>AP- HSA</v>
      </c>
      <c r="G1011" s="5">
        <v>20</v>
      </c>
      <c r="H1011" t="str">
        <f>"AP- HSA"</f>
        <v>AP- HSA</v>
      </c>
    </row>
    <row r="1012" spans="1:8" x14ac:dyDescent="0.25">
      <c r="E1012" t="str">
        <f>"MHS202005126841"</f>
        <v>MHS202005126841</v>
      </c>
      <c r="F1012" t="str">
        <f>"AP - HEALTH SELECT MEDICAL"</f>
        <v>AP - HEALTH SELECT MEDICAL</v>
      </c>
      <c r="G1012" s="5">
        <v>1257.6500000000001</v>
      </c>
      <c r="H1012" t="str">
        <f>"AP - HEALTH SELECT MEDICAL"</f>
        <v>AP - HEALTH SELECT MEDICAL</v>
      </c>
    </row>
    <row r="1013" spans="1:8" x14ac:dyDescent="0.25">
      <c r="E1013" t="str">
        <f>"MSW202005126841"</f>
        <v>MSW202005126841</v>
      </c>
      <c r="F1013" t="str">
        <f>"AP - SCOTT &amp; WHITE MEDICAL"</f>
        <v>AP - SCOTT &amp; WHITE MEDICAL</v>
      </c>
      <c r="G1013" s="5">
        <v>372.9</v>
      </c>
      <c r="H1013" t="str">
        <f>"AP - SCOTT &amp; WHITE MEDICAL"</f>
        <v>AP - SCOTT &amp; WHITE MEDICAL</v>
      </c>
    </row>
    <row r="1014" spans="1:8" x14ac:dyDescent="0.25">
      <c r="E1014" t="str">
        <f>"SPE202005126841"</f>
        <v>SPE202005126841</v>
      </c>
      <c r="F1014" t="str">
        <f>"AP - STATE VISION"</f>
        <v>AP - STATE VISION</v>
      </c>
      <c r="G1014" s="5">
        <v>48.03</v>
      </c>
      <c r="H1014" t="str">
        <f>"AP - STATE VISION"</f>
        <v>AP - STATE VISION</v>
      </c>
    </row>
    <row r="1015" spans="1:8" x14ac:dyDescent="0.25">
      <c r="A1015" t="s">
        <v>306</v>
      </c>
      <c r="B1015">
        <v>532</v>
      </c>
      <c r="C1015" s="5">
        <v>4806.5</v>
      </c>
      <c r="D1015" s="1">
        <v>43978</v>
      </c>
      <c r="E1015" t="str">
        <f>"202005257004"</f>
        <v>202005257004</v>
      </c>
      <c r="F1015" t="str">
        <f>"COLONIAL LIFE &amp; ACCIDENT INS."</f>
        <v>COLONIAL LIFE &amp; ACCIDENT INS.</v>
      </c>
      <c r="G1015" s="5">
        <v>0.46</v>
      </c>
      <c r="H1015" t="str">
        <f>"COLONIAL LIFE &amp; ACCIDENT INS."</f>
        <v>COLONIAL LIFE &amp; ACCIDENT INS.</v>
      </c>
    </row>
    <row r="1016" spans="1:8" x14ac:dyDescent="0.25">
      <c r="E1016" t="str">
        <f>"CL 202004296628"</f>
        <v>CL 202004296628</v>
      </c>
      <c r="F1016" t="str">
        <f t="shared" ref="F1016:F1035" si="17">"COLONIAL"</f>
        <v>COLONIAL</v>
      </c>
      <c r="G1016" s="5">
        <v>596.15</v>
      </c>
      <c r="H1016" t="str">
        <f t="shared" ref="H1016:H1035" si="18">"COLONIAL"</f>
        <v>COLONIAL</v>
      </c>
    </row>
    <row r="1017" spans="1:8" x14ac:dyDescent="0.25">
      <c r="E1017" t="str">
        <f>"CL 202004296629"</f>
        <v>CL 202004296629</v>
      </c>
      <c r="F1017" t="str">
        <f t="shared" si="17"/>
        <v>COLONIAL</v>
      </c>
      <c r="G1017" s="5">
        <v>14.49</v>
      </c>
      <c r="H1017" t="str">
        <f t="shared" si="18"/>
        <v>COLONIAL</v>
      </c>
    </row>
    <row r="1018" spans="1:8" x14ac:dyDescent="0.25">
      <c r="E1018" t="str">
        <f>"CL 202005126839"</f>
        <v>CL 202005126839</v>
      </c>
      <c r="F1018" t="str">
        <f t="shared" si="17"/>
        <v>COLONIAL</v>
      </c>
      <c r="G1018" s="5">
        <v>596.15</v>
      </c>
      <c r="H1018" t="str">
        <f t="shared" si="18"/>
        <v>COLONIAL</v>
      </c>
    </row>
    <row r="1019" spans="1:8" x14ac:dyDescent="0.25">
      <c r="E1019" t="str">
        <f>"CL 202005126840"</f>
        <v>CL 202005126840</v>
      </c>
      <c r="F1019" t="str">
        <f t="shared" si="17"/>
        <v>COLONIAL</v>
      </c>
      <c r="G1019" s="5">
        <v>14.49</v>
      </c>
      <c r="H1019" t="str">
        <f t="shared" si="18"/>
        <v>COLONIAL</v>
      </c>
    </row>
    <row r="1020" spans="1:8" x14ac:dyDescent="0.25">
      <c r="E1020" t="str">
        <f>"CLC202004296628"</f>
        <v>CLC202004296628</v>
      </c>
      <c r="F1020" t="str">
        <f t="shared" si="17"/>
        <v>COLONIAL</v>
      </c>
      <c r="G1020" s="5">
        <v>33.99</v>
      </c>
      <c r="H1020" t="str">
        <f t="shared" si="18"/>
        <v>COLONIAL</v>
      </c>
    </row>
    <row r="1021" spans="1:8" x14ac:dyDescent="0.25">
      <c r="E1021" t="str">
        <f>"CLC202005126839"</f>
        <v>CLC202005126839</v>
      </c>
      <c r="F1021" t="str">
        <f t="shared" si="17"/>
        <v>COLONIAL</v>
      </c>
      <c r="G1021" s="5">
        <v>33.99</v>
      </c>
      <c r="H1021" t="str">
        <f t="shared" si="18"/>
        <v>COLONIAL</v>
      </c>
    </row>
    <row r="1022" spans="1:8" x14ac:dyDescent="0.25">
      <c r="E1022" t="str">
        <f>"CLI202004296628"</f>
        <v>CLI202004296628</v>
      </c>
      <c r="F1022" t="str">
        <f t="shared" si="17"/>
        <v>COLONIAL</v>
      </c>
      <c r="G1022" s="5">
        <v>570.70000000000005</v>
      </c>
      <c r="H1022" t="str">
        <f t="shared" si="18"/>
        <v>COLONIAL</v>
      </c>
    </row>
    <row r="1023" spans="1:8" x14ac:dyDescent="0.25">
      <c r="E1023" t="str">
        <f>"CLI202005126839"</f>
        <v>CLI202005126839</v>
      </c>
      <c r="F1023" t="str">
        <f t="shared" si="17"/>
        <v>COLONIAL</v>
      </c>
      <c r="G1023" s="5">
        <v>570.70000000000005</v>
      </c>
      <c r="H1023" t="str">
        <f t="shared" si="18"/>
        <v>COLONIAL</v>
      </c>
    </row>
    <row r="1024" spans="1:8" x14ac:dyDescent="0.25">
      <c r="E1024" t="str">
        <f>"CLK202004296628"</f>
        <v>CLK202004296628</v>
      </c>
      <c r="F1024" t="str">
        <f t="shared" si="17"/>
        <v>COLONIAL</v>
      </c>
      <c r="G1024" s="5">
        <v>27.09</v>
      </c>
      <c r="H1024" t="str">
        <f t="shared" si="18"/>
        <v>COLONIAL</v>
      </c>
    </row>
    <row r="1025" spans="1:8" x14ac:dyDescent="0.25">
      <c r="E1025" t="str">
        <f>"CLK202005126839"</f>
        <v>CLK202005126839</v>
      </c>
      <c r="F1025" t="str">
        <f t="shared" si="17"/>
        <v>COLONIAL</v>
      </c>
      <c r="G1025" s="5">
        <v>27.09</v>
      </c>
      <c r="H1025" t="str">
        <f t="shared" si="18"/>
        <v>COLONIAL</v>
      </c>
    </row>
    <row r="1026" spans="1:8" x14ac:dyDescent="0.25">
      <c r="E1026" t="str">
        <f>"CLS202004296628"</f>
        <v>CLS202004296628</v>
      </c>
      <c r="F1026" t="str">
        <f t="shared" si="17"/>
        <v>COLONIAL</v>
      </c>
      <c r="G1026" s="5">
        <v>359.43</v>
      </c>
      <c r="H1026" t="str">
        <f t="shared" si="18"/>
        <v>COLONIAL</v>
      </c>
    </row>
    <row r="1027" spans="1:8" x14ac:dyDescent="0.25">
      <c r="E1027" t="str">
        <f>"CLS202004296629"</f>
        <v>CLS202004296629</v>
      </c>
      <c r="F1027" t="str">
        <f t="shared" si="17"/>
        <v>COLONIAL</v>
      </c>
      <c r="G1027" s="5">
        <v>15.73</v>
      </c>
      <c r="H1027" t="str">
        <f t="shared" si="18"/>
        <v>COLONIAL</v>
      </c>
    </row>
    <row r="1028" spans="1:8" x14ac:dyDescent="0.25">
      <c r="E1028" t="str">
        <f>"CLS202005126839"</f>
        <v>CLS202005126839</v>
      </c>
      <c r="F1028" t="str">
        <f t="shared" si="17"/>
        <v>COLONIAL</v>
      </c>
      <c r="G1028" s="5">
        <v>359.43</v>
      </c>
      <c r="H1028" t="str">
        <f t="shared" si="18"/>
        <v>COLONIAL</v>
      </c>
    </row>
    <row r="1029" spans="1:8" x14ac:dyDescent="0.25">
      <c r="E1029" t="str">
        <f>"CLS202005126840"</f>
        <v>CLS202005126840</v>
      </c>
      <c r="F1029" t="str">
        <f t="shared" si="17"/>
        <v>COLONIAL</v>
      </c>
      <c r="G1029" s="5">
        <v>15.73</v>
      </c>
      <c r="H1029" t="str">
        <f t="shared" si="18"/>
        <v>COLONIAL</v>
      </c>
    </row>
    <row r="1030" spans="1:8" x14ac:dyDescent="0.25">
      <c r="E1030" t="str">
        <f>"CLT202004296628"</f>
        <v>CLT202004296628</v>
      </c>
      <c r="F1030" t="str">
        <f t="shared" si="17"/>
        <v>COLONIAL</v>
      </c>
      <c r="G1030" s="5">
        <v>365.09</v>
      </c>
      <c r="H1030" t="str">
        <f t="shared" si="18"/>
        <v>COLONIAL</v>
      </c>
    </row>
    <row r="1031" spans="1:8" x14ac:dyDescent="0.25">
      <c r="E1031" t="str">
        <f>"CLT202005126839"</f>
        <v>CLT202005126839</v>
      </c>
      <c r="F1031" t="str">
        <f t="shared" si="17"/>
        <v>COLONIAL</v>
      </c>
      <c r="G1031" s="5">
        <v>365.09</v>
      </c>
      <c r="H1031" t="str">
        <f t="shared" si="18"/>
        <v>COLONIAL</v>
      </c>
    </row>
    <row r="1032" spans="1:8" x14ac:dyDescent="0.25">
      <c r="E1032" t="str">
        <f>"CLU202004296628"</f>
        <v>CLU202004296628</v>
      </c>
      <c r="F1032" t="str">
        <f t="shared" si="17"/>
        <v>COLONIAL</v>
      </c>
      <c r="G1032" s="5">
        <v>111.55</v>
      </c>
      <c r="H1032" t="str">
        <f t="shared" si="18"/>
        <v>COLONIAL</v>
      </c>
    </row>
    <row r="1033" spans="1:8" x14ac:dyDescent="0.25">
      <c r="E1033" t="str">
        <f>"CLU202005126839"</f>
        <v>CLU202005126839</v>
      </c>
      <c r="F1033" t="str">
        <f t="shared" si="17"/>
        <v>COLONIAL</v>
      </c>
      <c r="G1033" s="5">
        <v>111.55</v>
      </c>
      <c r="H1033" t="str">
        <f t="shared" si="18"/>
        <v>COLONIAL</v>
      </c>
    </row>
    <row r="1034" spans="1:8" x14ac:dyDescent="0.25">
      <c r="E1034" t="str">
        <f>"CLW202004296628"</f>
        <v>CLW202004296628</v>
      </c>
      <c r="F1034" t="str">
        <f t="shared" si="17"/>
        <v>COLONIAL</v>
      </c>
      <c r="G1034" s="5">
        <v>308.8</v>
      </c>
      <c r="H1034" t="str">
        <f t="shared" si="18"/>
        <v>COLONIAL</v>
      </c>
    </row>
    <row r="1035" spans="1:8" x14ac:dyDescent="0.25">
      <c r="E1035" t="str">
        <f>"CLW202005126839"</f>
        <v>CLW202005126839</v>
      </c>
      <c r="F1035" t="str">
        <f t="shared" si="17"/>
        <v>COLONIAL</v>
      </c>
      <c r="G1035" s="5">
        <v>308.8</v>
      </c>
      <c r="H1035" t="str">
        <f t="shared" si="18"/>
        <v>COLONIAL</v>
      </c>
    </row>
    <row r="1036" spans="1:8" x14ac:dyDescent="0.25">
      <c r="A1036" t="s">
        <v>88</v>
      </c>
      <c r="B1036">
        <v>505</v>
      </c>
      <c r="C1036" s="5">
        <v>7250.03</v>
      </c>
      <c r="D1036" s="1">
        <v>43952</v>
      </c>
      <c r="E1036" t="str">
        <f>"CPI202004296628"</f>
        <v>CPI202004296628</v>
      </c>
      <c r="F1036" t="str">
        <f>"DEFERRED COMP 457B PAYABLE"</f>
        <v>DEFERRED COMP 457B PAYABLE</v>
      </c>
      <c r="G1036" s="5">
        <v>7142.53</v>
      </c>
      <c r="H1036" t="str">
        <f>"DEFERRED COMP 457B PAYABLE"</f>
        <v>DEFERRED COMP 457B PAYABLE</v>
      </c>
    </row>
    <row r="1037" spans="1:8" x14ac:dyDescent="0.25">
      <c r="E1037" t="str">
        <f>"CPI202004296629"</f>
        <v>CPI202004296629</v>
      </c>
      <c r="F1037" t="str">
        <f>"DEFERRED COMP 457B PAYABLE"</f>
        <v>DEFERRED COMP 457B PAYABLE</v>
      </c>
      <c r="G1037" s="5">
        <v>107.5</v>
      </c>
      <c r="H1037" t="str">
        <f>"DEFERRED COMP 457B PAYABLE"</f>
        <v>DEFERRED COMP 457B PAYABLE</v>
      </c>
    </row>
    <row r="1038" spans="1:8" x14ac:dyDescent="0.25">
      <c r="A1038" t="s">
        <v>88</v>
      </c>
      <c r="B1038">
        <v>513</v>
      </c>
      <c r="C1038" s="5">
        <v>7250.03</v>
      </c>
      <c r="D1038" s="1">
        <v>43966</v>
      </c>
      <c r="E1038" t="str">
        <f>"CPI202005126839"</f>
        <v>CPI202005126839</v>
      </c>
      <c r="F1038" t="str">
        <f>"DEFERRED COMP 457B PAYABLE"</f>
        <v>DEFERRED COMP 457B PAYABLE</v>
      </c>
      <c r="G1038" s="5">
        <v>7142.53</v>
      </c>
      <c r="H1038" t="str">
        <f>"DEFERRED COMP 457B PAYABLE"</f>
        <v>DEFERRED COMP 457B PAYABLE</v>
      </c>
    </row>
    <row r="1039" spans="1:8" x14ac:dyDescent="0.25">
      <c r="E1039" t="str">
        <f>"CPI202005126840"</f>
        <v>CPI202005126840</v>
      </c>
      <c r="F1039" t="str">
        <f>"DEFERRED COMP 457B PAYABLE"</f>
        <v>DEFERRED COMP 457B PAYABLE</v>
      </c>
      <c r="G1039" s="5">
        <v>107.5</v>
      </c>
      <c r="H1039" t="str">
        <f>"DEFERRED COMP 457B PAYABLE"</f>
        <v>DEFERRED COMP 457B PAYABLE</v>
      </c>
    </row>
    <row r="1040" spans="1:8" x14ac:dyDescent="0.25">
      <c r="A1040" t="s">
        <v>307</v>
      </c>
      <c r="B1040">
        <v>528</v>
      </c>
      <c r="C1040" s="5">
        <v>41396.68</v>
      </c>
      <c r="D1040" s="1">
        <v>43978</v>
      </c>
      <c r="E1040" t="str">
        <f>"202005256998"</f>
        <v>202005256998</v>
      </c>
      <c r="F1040" t="str">
        <f>"GUARDIAN May 2020 Retiree"</f>
        <v>GUARDIAN May 2020 Retiree</v>
      </c>
      <c r="G1040" s="5">
        <v>3423.06</v>
      </c>
      <c r="H1040" t="str">
        <f>"GUARDIAN May 2020 Retiree"</f>
        <v>GUARDIAN May 2020 Retiree</v>
      </c>
    </row>
    <row r="1041" spans="5:8" x14ac:dyDescent="0.25">
      <c r="E1041" t="str">
        <f>"202005256999"</f>
        <v>202005256999</v>
      </c>
      <c r="F1041" t="str">
        <f>"GUARDIAN rounding"</f>
        <v>GUARDIAN rounding</v>
      </c>
      <c r="G1041" s="5">
        <v>8.61</v>
      </c>
      <c r="H1041" t="str">
        <f t="shared" ref="H1041:H1104" si="19">"GUARDIAN"</f>
        <v>GUARDIAN</v>
      </c>
    </row>
    <row r="1042" spans="5:8" x14ac:dyDescent="0.25">
      <c r="E1042" t="str">
        <f>"202005257000"</f>
        <v>202005257000</v>
      </c>
      <c r="F1042" t="str">
        <f t="shared" ref="F1042:F1055" si="20">"GUARDIAN"</f>
        <v>GUARDIAN</v>
      </c>
      <c r="G1042" s="5">
        <v>4.5999999999999996</v>
      </c>
      <c r="H1042" t="str">
        <f t="shared" si="19"/>
        <v>GUARDIAN</v>
      </c>
    </row>
    <row r="1043" spans="5:8" x14ac:dyDescent="0.25">
      <c r="E1043" t="str">
        <f>"ADC202004296628"</f>
        <v>ADC202004296628</v>
      </c>
      <c r="F1043" t="str">
        <f t="shared" si="20"/>
        <v>GUARDIAN</v>
      </c>
      <c r="G1043" s="5">
        <v>4.7</v>
      </c>
      <c r="H1043" t="str">
        <f t="shared" si="19"/>
        <v>GUARDIAN</v>
      </c>
    </row>
    <row r="1044" spans="5:8" x14ac:dyDescent="0.25">
      <c r="E1044" t="str">
        <f>"ADC202004296629"</f>
        <v>ADC202004296629</v>
      </c>
      <c r="F1044" t="str">
        <f t="shared" si="20"/>
        <v>GUARDIAN</v>
      </c>
      <c r="G1044" s="5">
        <v>0.16</v>
      </c>
      <c r="H1044" t="str">
        <f t="shared" si="19"/>
        <v>GUARDIAN</v>
      </c>
    </row>
    <row r="1045" spans="5:8" x14ac:dyDescent="0.25">
      <c r="E1045" t="str">
        <f>"ADC202005126839"</f>
        <v>ADC202005126839</v>
      </c>
      <c r="F1045" t="str">
        <f t="shared" si="20"/>
        <v>GUARDIAN</v>
      </c>
      <c r="G1045" s="5">
        <v>4.4000000000000004</v>
      </c>
      <c r="H1045" t="str">
        <f t="shared" si="19"/>
        <v>GUARDIAN</v>
      </c>
    </row>
    <row r="1046" spans="5:8" x14ac:dyDescent="0.25">
      <c r="E1046" t="str">
        <f>"ADC202005126840"</f>
        <v>ADC202005126840</v>
      </c>
      <c r="F1046" t="str">
        <f t="shared" si="20"/>
        <v>GUARDIAN</v>
      </c>
      <c r="G1046" s="5">
        <v>0.16</v>
      </c>
      <c r="H1046" t="str">
        <f t="shared" si="19"/>
        <v>GUARDIAN</v>
      </c>
    </row>
    <row r="1047" spans="5:8" x14ac:dyDescent="0.25">
      <c r="E1047" t="str">
        <f>"ADE202004296628"</f>
        <v>ADE202004296628</v>
      </c>
      <c r="F1047" t="str">
        <f t="shared" si="20"/>
        <v>GUARDIAN</v>
      </c>
      <c r="G1047" s="5">
        <v>228.19</v>
      </c>
      <c r="H1047" t="str">
        <f t="shared" si="19"/>
        <v>GUARDIAN</v>
      </c>
    </row>
    <row r="1048" spans="5:8" x14ac:dyDescent="0.25">
      <c r="E1048" t="str">
        <f>"ADE202004296629"</f>
        <v>ADE202004296629</v>
      </c>
      <c r="F1048" t="str">
        <f t="shared" si="20"/>
        <v>GUARDIAN</v>
      </c>
      <c r="G1048" s="5">
        <v>6.3</v>
      </c>
      <c r="H1048" t="str">
        <f t="shared" si="19"/>
        <v>GUARDIAN</v>
      </c>
    </row>
    <row r="1049" spans="5:8" x14ac:dyDescent="0.25">
      <c r="E1049" t="str">
        <f>"ADE202005126839"</f>
        <v>ADE202005126839</v>
      </c>
      <c r="F1049" t="str">
        <f t="shared" si="20"/>
        <v>GUARDIAN</v>
      </c>
      <c r="G1049" s="5">
        <v>213.33</v>
      </c>
      <c r="H1049" t="str">
        <f t="shared" si="19"/>
        <v>GUARDIAN</v>
      </c>
    </row>
    <row r="1050" spans="5:8" x14ac:dyDescent="0.25">
      <c r="E1050" t="str">
        <f>"ADE202005126840"</f>
        <v>ADE202005126840</v>
      </c>
      <c r="F1050" t="str">
        <f t="shared" si="20"/>
        <v>GUARDIAN</v>
      </c>
      <c r="G1050" s="5">
        <v>6.3</v>
      </c>
      <c r="H1050" t="str">
        <f t="shared" si="19"/>
        <v>GUARDIAN</v>
      </c>
    </row>
    <row r="1051" spans="5:8" x14ac:dyDescent="0.25">
      <c r="E1051" t="str">
        <f>"ADS202004296628"</f>
        <v>ADS202004296628</v>
      </c>
      <c r="F1051" t="str">
        <f t="shared" si="20"/>
        <v>GUARDIAN</v>
      </c>
      <c r="G1051" s="5">
        <v>40.76</v>
      </c>
      <c r="H1051" t="str">
        <f t="shared" si="19"/>
        <v>GUARDIAN</v>
      </c>
    </row>
    <row r="1052" spans="5:8" x14ac:dyDescent="0.25">
      <c r="E1052" t="str">
        <f>"ADS202004296629"</f>
        <v>ADS202004296629</v>
      </c>
      <c r="F1052" t="str">
        <f t="shared" si="20"/>
        <v>GUARDIAN</v>
      </c>
      <c r="G1052" s="5">
        <v>0.53</v>
      </c>
      <c r="H1052" t="str">
        <f t="shared" si="19"/>
        <v>GUARDIAN</v>
      </c>
    </row>
    <row r="1053" spans="5:8" x14ac:dyDescent="0.25">
      <c r="E1053" t="str">
        <f>"ADS202005126839"</f>
        <v>ADS202005126839</v>
      </c>
      <c r="F1053" t="str">
        <f t="shared" si="20"/>
        <v>GUARDIAN</v>
      </c>
      <c r="G1053" s="5">
        <v>33.26</v>
      </c>
      <c r="H1053" t="str">
        <f t="shared" si="19"/>
        <v>GUARDIAN</v>
      </c>
    </row>
    <row r="1054" spans="5:8" x14ac:dyDescent="0.25">
      <c r="E1054" t="str">
        <f>"ADS202005126840"</f>
        <v>ADS202005126840</v>
      </c>
      <c r="F1054" t="str">
        <f t="shared" si="20"/>
        <v>GUARDIAN</v>
      </c>
      <c r="G1054" s="5">
        <v>0.53</v>
      </c>
      <c r="H1054" t="str">
        <f t="shared" si="19"/>
        <v>GUARDIAN</v>
      </c>
    </row>
    <row r="1055" spans="5:8" x14ac:dyDescent="0.25">
      <c r="E1055" t="str">
        <f>"GDC202004296628"</f>
        <v>GDC202004296628</v>
      </c>
      <c r="F1055" t="str">
        <f t="shared" si="20"/>
        <v>GUARDIAN</v>
      </c>
      <c r="G1055" s="5">
        <v>2716.8</v>
      </c>
      <c r="H1055" t="str">
        <f t="shared" si="19"/>
        <v>GUARDIAN</v>
      </c>
    </row>
    <row r="1056" spans="5:8" x14ac:dyDescent="0.25">
      <c r="E1056" t="str">
        <f>""</f>
        <v/>
      </c>
      <c r="F1056" t="str">
        <f>""</f>
        <v/>
      </c>
      <c r="H1056" t="str">
        <f t="shared" si="19"/>
        <v>GUARDIAN</v>
      </c>
    </row>
    <row r="1057" spans="5:8" x14ac:dyDescent="0.25">
      <c r="E1057" t="str">
        <f>""</f>
        <v/>
      </c>
      <c r="F1057" t="str">
        <f>""</f>
        <v/>
      </c>
      <c r="H1057" t="str">
        <f t="shared" si="19"/>
        <v>GUARDIAN</v>
      </c>
    </row>
    <row r="1058" spans="5:8" x14ac:dyDescent="0.25">
      <c r="E1058" t="str">
        <f>""</f>
        <v/>
      </c>
      <c r="F1058" t="str">
        <f>""</f>
        <v/>
      </c>
      <c r="H1058" t="str">
        <f t="shared" si="19"/>
        <v>GUARDIAN</v>
      </c>
    </row>
    <row r="1059" spans="5:8" x14ac:dyDescent="0.25">
      <c r="E1059" t="str">
        <f>""</f>
        <v/>
      </c>
      <c r="F1059" t="str">
        <f>""</f>
        <v/>
      </c>
      <c r="H1059" t="str">
        <f t="shared" si="19"/>
        <v>GUARDIAN</v>
      </c>
    </row>
    <row r="1060" spans="5:8" x14ac:dyDescent="0.25">
      <c r="E1060" t="str">
        <f>""</f>
        <v/>
      </c>
      <c r="F1060" t="str">
        <f>""</f>
        <v/>
      </c>
      <c r="H1060" t="str">
        <f t="shared" si="19"/>
        <v>GUARDIAN</v>
      </c>
    </row>
    <row r="1061" spans="5:8" x14ac:dyDescent="0.25">
      <c r="E1061" t="str">
        <f>""</f>
        <v/>
      </c>
      <c r="F1061" t="str">
        <f>""</f>
        <v/>
      </c>
      <c r="H1061" t="str">
        <f t="shared" si="19"/>
        <v>GUARDIAN</v>
      </c>
    </row>
    <row r="1062" spans="5:8" x14ac:dyDescent="0.25">
      <c r="E1062" t="str">
        <f>""</f>
        <v/>
      </c>
      <c r="F1062" t="str">
        <f>""</f>
        <v/>
      </c>
      <c r="H1062" t="str">
        <f t="shared" si="19"/>
        <v>GUARDIAN</v>
      </c>
    </row>
    <row r="1063" spans="5:8" x14ac:dyDescent="0.25">
      <c r="E1063" t="str">
        <f>""</f>
        <v/>
      </c>
      <c r="F1063" t="str">
        <f>""</f>
        <v/>
      </c>
      <c r="H1063" t="str">
        <f t="shared" si="19"/>
        <v>GUARDIAN</v>
      </c>
    </row>
    <row r="1064" spans="5:8" x14ac:dyDescent="0.25">
      <c r="E1064" t="str">
        <f>""</f>
        <v/>
      </c>
      <c r="F1064" t="str">
        <f>""</f>
        <v/>
      </c>
      <c r="H1064" t="str">
        <f t="shared" si="19"/>
        <v>GUARDIAN</v>
      </c>
    </row>
    <row r="1065" spans="5:8" x14ac:dyDescent="0.25">
      <c r="E1065" t="str">
        <f>""</f>
        <v/>
      </c>
      <c r="F1065" t="str">
        <f>""</f>
        <v/>
      </c>
      <c r="H1065" t="str">
        <f t="shared" si="19"/>
        <v>GUARDIAN</v>
      </c>
    </row>
    <row r="1066" spans="5:8" x14ac:dyDescent="0.25">
      <c r="E1066" t="str">
        <f>""</f>
        <v/>
      </c>
      <c r="F1066" t="str">
        <f>""</f>
        <v/>
      </c>
      <c r="H1066" t="str">
        <f t="shared" si="19"/>
        <v>GUARDIAN</v>
      </c>
    </row>
    <row r="1067" spans="5:8" x14ac:dyDescent="0.25">
      <c r="E1067" t="str">
        <f>""</f>
        <v/>
      </c>
      <c r="F1067" t="str">
        <f>""</f>
        <v/>
      </c>
      <c r="H1067" t="str">
        <f t="shared" si="19"/>
        <v>GUARDIAN</v>
      </c>
    </row>
    <row r="1068" spans="5:8" x14ac:dyDescent="0.25">
      <c r="E1068" t="str">
        <f>""</f>
        <v/>
      </c>
      <c r="F1068" t="str">
        <f>""</f>
        <v/>
      </c>
      <c r="H1068" t="str">
        <f t="shared" si="19"/>
        <v>GUARDIAN</v>
      </c>
    </row>
    <row r="1069" spans="5:8" x14ac:dyDescent="0.25">
      <c r="E1069" t="str">
        <f>""</f>
        <v/>
      </c>
      <c r="F1069" t="str">
        <f>""</f>
        <v/>
      </c>
      <c r="H1069" t="str">
        <f t="shared" si="19"/>
        <v>GUARDIAN</v>
      </c>
    </row>
    <row r="1070" spans="5:8" x14ac:dyDescent="0.25">
      <c r="E1070" t="str">
        <f>""</f>
        <v/>
      </c>
      <c r="F1070" t="str">
        <f>""</f>
        <v/>
      </c>
      <c r="H1070" t="str">
        <f t="shared" si="19"/>
        <v>GUARDIAN</v>
      </c>
    </row>
    <row r="1071" spans="5:8" x14ac:dyDescent="0.25">
      <c r="E1071" t="str">
        <f>""</f>
        <v/>
      </c>
      <c r="F1071" t="str">
        <f>""</f>
        <v/>
      </c>
      <c r="H1071" t="str">
        <f t="shared" si="19"/>
        <v>GUARDIAN</v>
      </c>
    </row>
    <row r="1072" spans="5:8" x14ac:dyDescent="0.25">
      <c r="E1072" t="str">
        <f>""</f>
        <v/>
      </c>
      <c r="F1072" t="str">
        <f>""</f>
        <v/>
      </c>
      <c r="H1072" t="str">
        <f t="shared" si="19"/>
        <v>GUARDIAN</v>
      </c>
    </row>
    <row r="1073" spans="5:8" x14ac:dyDescent="0.25">
      <c r="E1073" t="str">
        <f>""</f>
        <v/>
      </c>
      <c r="F1073" t="str">
        <f>""</f>
        <v/>
      </c>
      <c r="H1073" t="str">
        <f t="shared" si="19"/>
        <v>GUARDIAN</v>
      </c>
    </row>
    <row r="1074" spans="5:8" x14ac:dyDescent="0.25">
      <c r="E1074" t="str">
        <f>""</f>
        <v/>
      </c>
      <c r="F1074" t="str">
        <f>""</f>
        <v/>
      </c>
      <c r="H1074" t="str">
        <f t="shared" si="19"/>
        <v>GUARDIAN</v>
      </c>
    </row>
    <row r="1075" spans="5:8" x14ac:dyDescent="0.25">
      <c r="E1075" t="str">
        <f>""</f>
        <v/>
      </c>
      <c r="F1075" t="str">
        <f>""</f>
        <v/>
      </c>
      <c r="H1075" t="str">
        <f t="shared" si="19"/>
        <v>GUARDIAN</v>
      </c>
    </row>
    <row r="1076" spans="5:8" x14ac:dyDescent="0.25">
      <c r="E1076" t="str">
        <f>""</f>
        <v/>
      </c>
      <c r="F1076" t="str">
        <f>""</f>
        <v/>
      </c>
      <c r="H1076" t="str">
        <f t="shared" si="19"/>
        <v>GUARDIAN</v>
      </c>
    </row>
    <row r="1077" spans="5:8" x14ac:dyDescent="0.25">
      <c r="E1077" t="str">
        <f>""</f>
        <v/>
      </c>
      <c r="F1077" t="str">
        <f>""</f>
        <v/>
      </c>
      <c r="H1077" t="str">
        <f t="shared" si="19"/>
        <v>GUARDIAN</v>
      </c>
    </row>
    <row r="1078" spans="5:8" x14ac:dyDescent="0.25">
      <c r="E1078" t="str">
        <f>""</f>
        <v/>
      </c>
      <c r="F1078" t="str">
        <f>""</f>
        <v/>
      </c>
      <c r="H1078" t="str">
        <f t="shared" si="19"/>
        <v>GUARDIAN</v>
      </c>
    </row>
    <row r="1079" spans="5:8" x14ac:dyDescent="0.25">
      <c r="E1079" t="str">
        <f>""</f>
        <v/>
      </c>
      <c r="F1079" t="str">
        <f>""</f>
        <v/>
      </c>
      <c r="H1079" t="str">
        <f t="shared" si="19"/>
        <v>GUARDIAN</v>
      </c>
    </row>
    <row r="1080" spans="5:8" x14ac:dyDescent="0.25">
      <c r="E1080" t="str">
        <f>""</f>
        <v/>
      </c>
      <c r="F1080" t="str">
        <f>""</f>
        <v/>
      </c>
      <c r="H1080" t="str">
        <f t="shared" si="19"/>
        <v>GUARDIAN</v>
      </c>
    </row>
    <row r="1081" spans="5:8" x14ac:dyDescent="0.25">
      <c r="E1081" t="str">
        <f>""</f>
        <v/>
      </c>
      <c r="F1081" t="str">
        <f>""</f>
        <v/>
      </c>
      <c r="H1081" t="str">
        <f t="shared" si="19"/>
        <v>GUARDIAN</v>
      </c>
    </row>
    <row r="1082" spans="5:8" x14ac:dyDescent="0.25">
      <c r="E1082" t="str">
        <f>""</f>
        <v/>
      </c>
      <c r="F1082" t="str">
        <f>""</f>
        <v/>
      </c>
      <c r="H1082" t="str">
        <f t="shared" si="19"/>
        <v>GUARDIAN</v>
      </c>
    </row>
    <row r="1083" spans="5:8" x14ac:dyDescent="0.25">
      <c r="E1083" t="str">
        <f>""</f>
        <v/>
      </c>
      <c r="F1083" t="str">
        <f>""</f>
        <v/>
      </c>
      <c r="H1083" t="str">
        <f t="shared" si="19"/>
        <v>GUARDIAN</v>
      </c>
    </row>
    <row r="1084" spans="5:8" x14ac:dyDescent="0.25">
      <c r="E1084" t="str">
        <f>"GDC202004296629"</f>
        <v>GDC202004296629</v>
      </c>
      <c r="F1084" t="str">
        <f>"GUARDIAN"</f>
        <v>GUARDIAN</v>
      </c>
      <c r="G1084" s="5">
        <v>135.84</v>
      </c>
      <c r="H1084" t="str">
        <f t="shared" si="19"/>
        <v>GUARDIAN</v>
      </c>
    </row>
    <row r="1085" spans="5:8" x14ac:dyDescent="0.25">
      <c r="E1085" t="str">
        <f>""</f>
        <v/>
      </c>
      <c r="F1085" t="str">
        <f>""</f>
        <v/>
      </c>
      <c r="H1085" t="str">
        <f t="shared" si="19"/>
        <v>GUARDIAN</v>
      </c>
    </row>
    <row r="1086" spans="5:8" x14ac:dyDescent="0.25">
      <c r="E1086" t="str">
        <f>"GDC202005126839"</f>
        <v>GDC202005126839</v>
      </c>
      <c r="F1086" t="str">
        <f>"GUARDIAN"</f>
        <v>GUARDIAN</v>
      </c>
      <c r="G1086" s="5">
        <v>2716.8</v>
      </c>
      <c r="H1086" t="str">
        <f t="shared" si="19"/>
        <v>GUARDIAN</v>
      </c>
    </row>
    <row r="1087" spans="5:8" x14ac:dyDescent="0.25">
      <c r="E1087" t="str">
        <f>""</f>
        <v/>
      </c>
      <c r="F1087" t="str">
        <f>""</f>
        <v/>
      </c>
      <c r="H1087" t="str">
        <f t="shared" si="19"/>
        <v>GUARDIAN</v>
      </c>
    </row>
    <row r="1088" spans="5:8" x14ac:dyDescent="0.25">
      <c r="E1088" t="str">
        <f>""</f>
        <v/>
      </c>
      <c r="F1088" t="str">
        <f>""</f>
        <v/>
      </c>
      <c r="H1088" t="str">
        <f t="shared" si="19"/>
        <v>GUARDIAN</v>
      </c>
    </row>
    <row r="1089" spans="5:8" x14ac:dyDescent="0.25">
      <c r="E1089" t="str">
        <f>""</f>
        <v/>
      </c>
      <c r="F1089" t="str">
        <f>""</f>
        <v/>
      </c>
      <c r="H1089" t="str">
        <f t="shared" si="19"/>
        <v>GUARDIAN</v>
      </c>
    </row>
    <row r="1090" spans="5:8" x14ac:dyDescent="0.25">
      <c r="E1090" t="str">
        <f>""</f>
        <v/>
      </c>
      <c r="F1090" t="str">
        <f>""</f>
        <v/>
      </c>
      <c r="H1090" t="str">
        <f t="shared" si="19"/>
        <v>GUARDIAN</v>
      </c>
    </row>
    <row r="1091" spans="5:8" x14ac:dyDescent="0.25">
      <c r="E1091" t="str">
        <f>""</f>
        <v/>
      </c>
      <c r="F1091" t="str">
        <f>""</f>
        <v/>
      </c>
      <c r="H1091" t="str">
        <f t="shared" si="19"/>
        <v>GUARDIAN</v>
      </c>
    </row>
    <row r="1092" spans="5:8" x14ac:dyDescent="0.25">
      <c r="E1092" t="str">
        <f>""</f>
        <v/>
      </c>
      <c r="F1092" t="str">
        <f>""</f>
        <v/>
      </c>
      <c r="H1092" t="str">
        <f t="shared" si="19"/>
        <v>GUARDIAN</v>
      </c>
    </row>
    <row r="1093" spans="5:8" x14ac:dyDescent="0.25">
      <c r="E1093" t="str">
        <f>""</f>
        <v/>
      </c>
      <c r="F1093" t="str">
        <f>""</f>
        <v/>
      </c>
      <c r="H1093" t="str">
        <f t="shared" si="19"/>
        <v>GUARDIAN</v>
      </c>
    </row>
    <row r="1094" spans="5:8" x14ac:dyDescent="0.25">
      <c r="E1094" t="str">
        <f>""</f>
        <v/>
      </c>
      <c r="F1094" t="str">
        <f>""</f>
        <v/>
      </c>
      <c r="H1094" t="str">
        <f t="shared" si="19"/>
        <v>GUARDIAN</v>
      </c>
    </row>
    <row r="1095" spans="5:8" x14ac:dyDescent="0.25">
      <c r="E1095" t="str">
        <f>""</f>
        <v/>
      </c>
      <c r="F1095" t="str">
        <f>""</f>
        <v/>
      </c>
      <c r="H1095" t="str">
        <f t="shared" si="19"/>
        <v>GUARDIAN</v>
      </c>
    </row>
    <row r="1096" spans="5:8" x14ac:dyDescent="0.25">
      <c r="E1096" t="str">
        <f>""</f>
        <v/>
      </c>
      <c r="F1096" t="str">
        <f>""</f>
        <v/>
      </c>
      <c r="H1096" t="str">
        <f t="shared" si="19"/>
        <v>GUARDIAN</v>
      </c>
    </row>
    <row r="1097" spans="5:8" x14ac:dyDescent="0.25">
      <c r="E1097" t="str">
        <f>""</f>
        <v/>
      </c>
      <c r="F1097" t="str">
        <f>""</f>
        <v/>
      </c>
      <c r="H1097" t="str">
        <f t="shared" si="19"/>
        <v>GUARDIAN</v>
      </c>
    </row>
    <row r="1098" spans="5:8" x14ac:dyDescent="0.25">
      <c r="E1098" t="str">
        <f>""</f>
        <v/>
      </c>
      <c r="F1098" t="str">
        <f>""</f>
        <v/>
      </c>
      <c r="H1098" t="str">
        <f t="shared" si="19"/>
        <v>GUARDIAN</v>
      </c>
    </row>
    <row r="1099" spans="5:8" x14ac:dyDescent="0.25">
      <c r="E1099" t="str">
        <f>""</f>
        <v/>
      </c>
      <c r="F1099" t="str">
        <f>""</f>
        <v/>
      </c>
      <c r="H1099" t="str">
        <f t="shared" si="19"/>
        <v>GUARDIAN</v>
      </c>
    </row>
    <row r="1100" spans="5:8" x14ac:dyDescent="0.25">
      <c r="E1100" t="str">
        <f>""</f>
        <v/>
      </c>
      <c r="F1100" t="str">
        <f>""</f>
        <v/>
      </c>
      <c r="H1100" t="str">
        <f t="shared" si="19"/>
        <v>GUARDIAN</v>
      </c>
    </row>
    <row r="1101" spans="5:8" x14ac:dyDescent="0.25">
      <c r="E1101" t="str">
        <f>""</f>
        <v/>
      </c>
      <c r="F1101" t="str">
        <f>""</f>
        <v/>
      </c>
      <c r="H1101" t="str">
        <f t="shared" si="19"/>
        <v>GUARDIAN</v>
      </c>
    </row>
    <row r="1102" spans="5:8" x14ac:dyDescent="0.25">
      <c r="E1102" t="str">
        <f>""</f>
        <v/>
      </c>
      <c r="F1102" t="str">
        <f>""</f>
        <v/>
      </c>
      <c r="H1102" t="str">
        <f t="shared" si="19"/>
        <v>GUARDIAN</v>
      </c>
    </row>
    <row r="1103" spans="5:8" x14ac:dyDescent="0.25">
      <c r="E1103" t="str">
        <f>""</f>
        <v/>
      </c>
      <c r="F1103" t="str">
        <f>""</f>
        <v/>
      </c>
      <c r="H1103" t="str">
        <f t="shared" si="19"/>
        <v>GUARDIAN</v>
      </c>
    </row>
    <row r="1104" spans="5:8" x14ac:dyDescent="0.25">
      <c r="E1104" t="str">
        <f>""</f>
        <v/>
      </c>
      <c r="F1104" t="str">
        <f>""</f>
        <v/>
      </c>
      <c r="H1104" t="str">
        <f t="shared" si="19"/>
        <v>GUARDIAN</v>
      </c>
    </row>
    <row r="1105" spans="5:8" x14ac:dyDescent="0.25">
      <c r="E1105" t="str">
        <f>""</f>
        <v/>
      </c>
      <c r="F1105" t="str">
        <f>""</f>
        <v/>
      </c>
      <c r="H1105" t="str">
        <f t="shared" ref="H1105:H1168" si="21">"GUARDIAN"</f>
        <v>GUARDIAN</v>
      </c>
    </row>
    <row r="1106" spans="5:8" x14ac:dyDescent="0.25">
      <c r="E1106" t="str">
        <f>""</f>
        <v/>
      </c>
      <c r="F1106" t="str">
        <f>""</f>
        <v/>
      </c>
      <c r="H1106" t="str">
        <f t="shared" si="21"/>
        <v>GUARDIAN</v>
      </c>
    </row>
    <row r="1107" spans="5:8" x14ac:dyDescent="0.25">
      <c r="E1107" t="str">
        <f>""</f>
        <v/>
      </c>
      <c r="F1107" t="str">
        <f>""</f>
        <v/>
      </c>
      <c r="H1107" t="str">
        <f t="shared" si="21"/>
        <v>GUARDIAN</v>
      </c>
    </row>
    <row r="1108" spans="5:8" x14ac:dyDescent="0.25">
      <c r="E1108" t="str">
        <f>""</f>
        <v/>
      </c>
      <c r="F1108" t="str">
        <f>""</f>
        <v/>
      </c>
      <c r="H1108" t="str">
        <f t="shared" si="21"/>
        <v>GUARDIAN</v>
      </c>
    </row>
    <row r="1109" spans="5:8" x14ac:dyDescent="0.25">
      <c r="E1109" t="str">
        <f>""</f>
        <v/>
      </c>
      <c r="F1109" t="str">
        <f>""</f>
        <v/>
      </c>
      <c r="H1109" t="str">
        <f t="shared" si="21"/>
        <v>GUARDIAN</v>
      </c>
    </row>
    <row r="1110" spans="5:8" x14ac:dyDescent="0.25">
      <c r="E1110" t="str">
        <f>""</f>
        <v/>
      </c>
      <c r="F1110" t="str">
        <f>""</f>
        <v/>
      </c>
      <c r="H1110" t="str">
        <f t="shared" si="21"/>
        <v>GUARDIAN</v>
      </c>
    </row>
    <row r="1111" spans="5:8" x14ac:dyDescent="0.25">
      <c r="E1111" t="str">
        <f>""</f>
        <v/>
      </c>
      <c r="F1111" t="str">
        <f>""</f>
        <v/>
      </c>
      <c r="H1111" t="str">
        <f t="shared" si="21"/>
        <v>GUARDIAN</v>
      </c>
    </row>
    <row r="1112" spans="5:8" x14ac:dyDescent="0.25">
      <c r="E1112" t="str">
        <f>""</f>
        <v/>
      </c>
      <c r="F1112" t="str">
        <f>""</f>
        <v/>
      </c>
      <c r="H1112" t="str">
        <f t="shared" si="21"/>
        <v>GUARDIAN</v>
      </c>
    </row>
    <row r="1113" spans="5:8" x14ac:dyDescent="0.25">
      <c r="E1113" t="str">
        <f>""</f>
        <v/>
      </c>
      <c r="F1113" t="str">
        <f>""</f>
        <v/>
      </c>
      <c r="H1113" t="str">
        <f t="shared" si="21"/>
        <v>GUARDIAN</v>
      </c>
    </row>
    <row r="1114" spans="5:8" x14ac:dyDescent="0.25">
      <c r="E1114" t="str">
        <f>""</f>
        <v/>
      </c>
      <c r="F1114" t="str">
        <f>""</f>
        <v/>
      </c>
      <c r="H1114" t="str">
        <f t="shared" si="21"/>
        <v>GUARDIAN</v>
      </c>
    </row>
    <row r="1115" spans="5:8" x14ac:dyDescent="0.25">
      <c r="E1115" t="str">
        <f>"GDC202005126840"</f>
        <v>GDC202005126840</v>
      </c>
      <c r="F1115" t="str">
        <f>"GUARDIAN"</f>
        <v>GUARDIAN</v>
      </c>
      <c r="G1115" s="5">
        <v>135.84</v>
      </c>
      <c r="H1115" t="str">
        <f t="shared" si="21"/>
        <v>GUARDIAN</v>
      </c>
    </row>
    <row r="1116" spans="5:8" x14ac:dyDescent="0.25">
      <c r="E1116" t="str">
        <f>""</f>
        <v/>
      </c>
      <c r="F1116" t="str">
        <f>""</f>
        <v/>
      </c>
      <c r="H1116" t="str">
        <f t="shared" si="21"/>
        <v>GUARDIAN</v>
      </c>
    </row>
    <row r="1117" spans="5:8" x14ac:dyDescent="0.25">
      <c r="E1117" t="str">
        <f>"GDE202004296628"</f>
        <v>GDE202004296628</v>
      </c>
      <c r="F1117" t="str">
        <f>"GUARDIAN"</f>
        <v>GUARDIAN</v>
      </c>
      <c r="G1117" s="5">
        <v>4401.54</v>
      </c>
      <c r="H1117" t="str">
        <f t="shared" si="21"/>
        <v>GUARDIAN</v>
      </c>
    </row>
    <row r="1118" spans="5:8" x14ac:dyDescent="0.25">
      <c r="E1118" t="str">
        <f>""</f>
        <v/>
      </c>
      <c r="F1118" t="str">
        <f>""</f>
        <v/>
      </c>
      <c r="H1118" t="str">
        <f t="shared" si="21"/>
        <v>GUARDIAN</v>
      </c>
    </row>
    <row r="1119" spans="5:8" x14ac:dyDescent="0.25">
      <c r="E1119" t="str">
        <f>""</f>
        <v/>
      </c>
      <c r="F1119" t="str">
        <f>""</f>
        <v/>
      </c>
      <c r="H1119" t="str">
        <f t="shared" si="21"/>
        <v>GUARDIAN</v>
      </c>
    </row>
    <row r="1120" spans="5:8" x14ac:dyDescent="0.25">
      <c r="E1120" t="str">
        <f>""</f>
        <v/>
      </c>
      <c r="F1120" t="str">
        <f>""</f>
        <v/>
      </c>
      <c r="H1120" t="str">
        <f t="shared" si="21"/>
        <v>GUARDIAN</v>
      </c>
    </row>
    <row r="1121" spans="5:8" x14ac:dyDescent="0.25">
      <c r="E1121" t="str">
        <f>""</f>
        <v/>
      </c>
      <c r="F1121" t="str">
        <f>""</f>
        <v/>
      </c>
      <c r="H1121" t="str">
        <f t="shared" si="21"/>
        <v>GUARDIAN</v>
      </c>
    </row>
    <row r="1122" spans="5:8" x14ac:dyDescent="0.25">
      <c r="E1122" t="str">
        <f>""</f>
        <v/>
      </c>
      <c r="F1122" t="str">
        <f>""</f>
        <v/>
      </c>
      <c r="H1122" t="str">
        <f t="shared" si="21"/>
        <v>GUARDIAN</v>
      </c>
    </row>
    <row r="1123" spans="5:8" x14ac:dyDescent="0.25">
      <c r="E1123" t="str">
        <f>""</f>
        <v/>
      </c>
      <c r="F1123" t="str">
        <f>""</f>
        <v/>
      </c>
      <c r="H1123" t="str">
        <f t="shared" si="21"/>
        <v>GUARDIAN</v>
      </c>
    </row>
    <row r="1124" spans="5:8" x14ac:dyDescent="0.25">
      <c r="E1124" t="str">
        <f>""</f>
        <v/>
      </c>
      <c r="F1124" t="str">
        <f>""</f>
        <v/>
      </c>
      <c r="H1124" t="str">
        <f t="shared" si="21"/>
        <v>GUARDIAN</v>
      </c>
    </row>
    <row r="1125" spans="5:8" x14ac:dyDescent="0.25">
      <c r="E1125" t="str">
        <f>""</f>
        <v/>
      </c>
      <c r="F1125" t="str">
        <f>""</f>
        <v/>
      </c>
      <c r="H1125" t="str">
        <f t="shared" si="21"/>
        <v>GUARDIAN</v>
      </c>
    </row>
    <row r="1126" spans="5:8" x14ac:dyDescent="0.25">
      <c r="E1126" t="str">
        <f>""</f>
        <v/>
      </c>
      <c r="F1126" t="str">
        <f>""</f>
        <v/>
      </c>
      <c r="H1126" t="str">
        <f t="shared" si="21"/>
        <v>GUARDIAN</v>
      </c>
    </row>
    <row r="1127" spans="5:8" x14ac:dyDescent="0.25">
      <c r="E1127" t="str">
        <f>""</f>
        <v/>
      </c>
      <c r="F1127" t="str">
        <f>""</f>
        <v/>
      </c>
      <c r="H1127" t="str">
        <f t="shared" si="21"/>
        <v>GUARDIAN</v>
      </c>
    </row>
    <row r="1128" spans="5:8" x14ac:dyDescent="0.25">
      <c r="E1128" t="str">
        <f>""</f>
        <v/>
      </c>
      <c r="F1128" t="str">
        <f>""</f>
        <v/>
      </c>
      <c r="H1128" t="str">
        <f t="shared" si="21"/>
        <v>GUARDIAN</v>
      </c>
    </row>
    <row r="1129" spans="5:8" x14ac:dyDescent="0.25">
      <c r="E1129" t="str">
        <f>""</f>
        <v/>
      </c>
      <c r="F1129" t="str">
        <f>""</f>
        <v/>
      </c>
      <c r="H1129" t="str">
        <f t="shared" si="21"/>
        <v>GUARDIAN</v>
      </c>
    </row>
    <row r="1130" spans="5:8" x14ac:dyDescent="0.25">
      <c r="E1130" t="str">
        <f>""</f>
        <v/>
      </c>
      <c r="F1130" t="str">
        <f>""</f>
        <v/>
      </c>
      <c r="H1130" t="str">
        <f t="shared" si="21"/>
        <v>GUARDIAN</v>
      </c>
    </row>
    <row r="1131" spans="5:8" x14ac:dyDescent="0.25">
      <c r="E1131" t="str">
        <f>""</f>
        <v/>
      </c>
      <c r="F1131" t="str">
        <f>""</f>
        <v/>
      </c>
      <c r="H1131" t="str">
        <f t="shared" si="21"/>
        <v>GUARDIAN</v>
      </c>
    </row>
    <row r="1132" spans="5:8" x14ac:dyDescent="0.25">
      <c r="E1132" t="str">
        <f>""</f>
        <v/>
      </c>
      <c r="F1132" t="str">
        <f>""</f>
        <v/>
      </c>
      <c r="H1132" t="str">
        <f t="shared" si="21"/>
        <v>GUARDIAN</v>
      </c>
    </row>
    <row r="1133" spans="5:8" x14ac:dyDescent="0.25">
      <c r="E1133" t="str">
        <f>""</f>
        <v/>
      </c>
      <c r="F1133" t="str">
        <f>""</f>
        <v/>
      </c>
      <c r="H1133" t="str">
        <f t="shared" si="21"/>
        <v>GUARDIAN</v>
      </c>
    </row>
    <row r="1134" spans="5:8" x14ac:dyDescent="0.25">
      <c r="E1134" t="str">
        <f>""</f>
        <v/>
      </c>
      <c r="F1134" t="str">
        <f>""</f>
        <v/>
      </c>
      <c r="H1134" t="str">
        <f t="shared" si="21"/>
        <v>GUARDIAN</v>
      </c>
    </row>
    <row r="1135" spans="5:8" x14ac:dyDescent="0.25">
      <c r="E1135" t="str">
        <f>""</f>
        <v/>
      </c>
      <c r="F1135" t="str">
        <f>""</f>
        <v/>
      </c>
      <c r="H1135" t="str">
        <f t="shared" si="21"/>
        <v>GUARDIAN</v>
      </c>
    </row>
    <row r="1136" spans="5:8" x14ac:dyDescent="0.25">
      <c r="E1136" t="str">
        <f>""</f>
        <v/>
      </c>
      <c r="F1136" t="str">
        <f>""</f>
        <v/>
      </c>
      <c r="H1136" t="str">
        <f t="shared" si="21"/>
        <v>GUARDIAN</v>
      </c>
    </row>
    <row r="1137" spans="5:8" x14ac:dyDescent="0.25">
      <c r="E1137" t="str">
        <f>""</f>
        <v/>
      </c>
      <c r="F1137" t="str">
        <f>""</f>
        <v/>
      </c>
      <c r="H1137" t="str">
        <f t="shared" si="21"/>
        <v>GUARDIAN</v>
      </c>
    </row>
    <row r="1138" spans="5:8" x14ac:dyDescent="0.25">
      <c r="E1138" t="str">
        <f>""</f>
        <v/>
      </c>
      <c r="F1138" t="str">
        <f>""</f>
        <v/>
      </c>
      <c r="H1138" t="str">
        <f t="shared" si="21"/>
        <v>GUARDIAN</v>
      </c>
    </row>
    <row r="1139" spans="5:8" x14ac:dyDescent="0.25">
      <c r="E1139" t="str">
        <f>""</f>
        <v/>
      </c>
      <c r="F1139" t="str">
        <f>""</f>
        <v/>
      </c>
      <c r="H1139" t="str">
        <f t="shared" si="21"/>
        <v>GUARDIAN</v>
      </c>
    </row>
    <row r="1140" spans="5:8" x14ac:dyDescent="0.25">
      <c r="E1140" t="str">
        <f>""</f>
        <v/>
      </c>
      <c r="F1140" t="str">
        <f>""</f>
        <v/>
      </c>
      <c r="H1140" t="str">
        <f t="shared" si="21"/>
        <v>GUARDIAN</v>
      </c>
    </row>
    <row r="1141" spans="5:8" x14ac:dyDescent="0.25">
      <c r="E1141" t="str">
        <f>""</f>
        <v/>
      </c>
      <c r="F1141" t="str">
        <f>""</f>
        <v/>
      </c>
      <c r="H1141" t="str">
        <f t="shared" si="21"/>
        <v>GUARDIAN</v>
      </c>
    </row>
    <row r="1142" spans="5:8" x14ac:dyDescent="0.25">
      <c r="E1142" t="str">
        <f>""</f>
        <v/>
      </c>
      <c r="F1142" t="str">
        <f>""</f>
        <v/>
      </c>
      <c r="H1142" t="str">
        <f t="shared" si="21"/>
        <v>GUARDIAN</v>
      </c>
    </row>
    <row r="1143" spans="5:8" x14ac:dyDescent="0.25">
      <c r="E1143" t="str">
        <f>""</f>
        <v/>
      </c>
      <c r="F1143" t="str">
        <f>""</f>
        <v/>
      </c>
      <c r="H1143" t="str">
        <f t="shared" si="21"/>
        <v>GUARDIAN</v>
      </c>
    </row>
    <row r="1144" spans="5:8" x14ac:dyDescent="0.25">
      <c r="E1144" t="str">
        <f>""</f>
        <v/>
      </c>
      <c r="F1144" t="str">
        <f>""</f>
        <v/>
      </c>
      <c r="H1144" t="str">
        <f t="shared" si="21"/>
        <v>GUARDIAN</v>
      </c>
    </row>
    <row r="1145" spans="5:8" x14ac:dyDescent="0.25">
      <c r="E1145" t="str">
        <f>""</f>
        <v/>
      </c>
      <c r="F1145" t="str">
        <f>""</f>
        <v/>
      </c>
      <c r="H1145" t="str">
        <f t="shared" si="21"/>
        <v>GUARDIAN</v>
      </c>
    </row>
    <row r="1146" spans="5:8" x14ac:dyDescent="0.25">
      <c r="E1146" t="str">
        <f>""</f>
        <v/>
      </c>
      <c r="F1146" t="str">
        <f>""</f>
        <v/>
      </c>
      <c r="H1146" t="str">
        <f t="shared" si="21"/>
        <v>GUARDIAN</v>
      </c>
    </row>
    <row r="1147" spans="5:8" x14ac:dyDescent="0.25">
      <c r="E1147" t="str">
        <f>""</f>
        <v/>
      </c>
      <c r="F1147" t="str">
        <f>""</f>
        <v/>
      </c>
      <c r="H1147" t="str">
        <f t="shared" si="21"/>
        <v>GUARDIAN</v>
      </c>
    </row>
    <row r="1148" spans="5:8" x14ac:dyDescent="0.25">
      <c r="E1148" t="str">
        <f>""</f>
        <v/>
      </c>
      <c r="F1148" t="str">
        <f>""</f>
        <v/>
      </c>
      <c r="H1148" t="str">
        <f t="shared" si="21"/>
        <v>GUARDIAN</v>
      </c>
    </row>
    <row r="1149" spans="5:8" x14ac:dyDescent="0.25">
      <c r="E1149" t="str">
        <f>""</f>
        <v/>
      </c>
      <c r="F1149" t="str">
        <f>""</f>
        <v/>
      </c>
      <c r="H1149" t="str">
        <f t="shared" si="21"/>
        <v>GUARDIAN</v>
      </c>
    </row>
    <row r="1150" spans="5:8" x14ac:dyDescent="0.25">
      <c r="E1150" t="str">
        <f>""</f>
        <v/>
      </c>
      <c r="F1150" t="str">
        <f>""</f>
        <v/>
      </c>
      <c r="H1150" t="str">
        <f t="shared" si="21"/>
        <v>GUARDIAN</v>
      </c>
    </row>
    <row r="1151" spans="5:8" x14ac:dyDescent="0.25">
      <c r="E1151" t="str">
        <f>""</f>
        <v/>
      </c>
      <c r="F1151" t="str">
        <f>""</f>
        <v/>
      </c>
      <c r="H1151" t="str">
        <f t="shared" si="21"/>
        <v>GUARDIAN</v>
      </c>
    </row>
    <row r="1152" spans="5:8" x14ac:dyDescent="0.25">
      <c r="E1152" t="str">
        <f>""</f>
        <v/>
      </c>
      <c r="F1152" t="str">
        <f>""</f>
        <v/>
      </c>
      <c r="H1152" t="str">
        <f t="shared" si="21"/>
        <v>GUARDIAN</v>
      </c>
    </row>
    <row r="1153" spans="5:8" x14ac:dyDescent="0.25">
      <c r="E1153" t="str">
        <f>""</f>
        <v/>
      </c>
      <c r="F1153" t="str">
        <f>""</f>
        <v/>
      </c>
      <c r="H1153" t="str">
        <f t="shared" si="21"/>
        <v>GUARDIAN</v>
      </c>
    </row>
    <row r="1154" spans="5:8" x14ac:dyDescent="0.25">
      <c r="E1154" t="str">
        <f>""</f>
        <v/>
      </c>
      <c r="F1154" t="str">
        <f>""</f>
        <v/>
      </c>
      <c r="H1154" t="str">
        <f t="shared" si="21"/>
        <v>GUARDIAN</v>
      </c>
    </row>
    <row r="1155" spans="5:8" x14ac:dyDescent="0.25">
      <c r="E1155" t="str">
        <f>""</f>
        <v/>
      </c>
      <c r="F1155" t="str">
        <f>""</f>
        <v/>
      </c>
      <c r="H1155" t="str">
        <f t="shared" si="21"/>
        <v>GUARDIAN</v>
      </c>
    </row>
    <row r="1156" spans="5:8" x14ac:dyDescent="0.25">
      <c r="E1156" t="str">
        <f>""</f>
        <v/>
      </c>
      <c r="F1156" t="str">
        <f>""</f>
        <v/>
      </c>
      <c r="H1156" t="str">
        <f t="shared" si="21"/>
        <v>GUARDIAN</v>
      </c>
    </row>
    <row r="1157" spans="5:8" x14ac:dyDescent="0.25">
      <c r="E1157" t="str">
        <f>""</f>
        <v/>
      </c>
      <c r="F1157" t="str">
        <f>""</f>
        <v/>
      </c>
      <c r="H1157" t="str">
        <f t="shared" si="21"/>
        <v>GUARDIAN</v>
      </c>
    </row>
    <row r="1158" spans="5:8" x14ac:dyDescent="0.25">
      <c r="E1158" t="str">
        <f>""</f>
        <v/>
      </c>
      <c r="F1158" t="str">
        <f>""</f>
        <v/>
      </c>
      <c r="H1158" t="str">
        <f t="shared" si="21"/>
        <v>GUARDIAN</v>
      </c>
    </row>
    <row r="1159" spans="5:8" x14ac:dyDescent="0.25">
      <c r="E1159" t="str">
        <f>""</f>
        <v/>
      </c>
      <c r="F1159" t="str">
        <f>""</f>
        <v/>
      </c>
      <c r="H1159" t="str">
        <f t="shared" si="21"/>
        <v>GUARDIAN</v>
      </c>
    </row>
    <row r="1160" spans="5:8" x14ac:dyDescent="0.25">
      <c r="E1160" t="str">
        <f>""</f>
        <v/>
      </c>
      <c r="F1160" t="str">
        <f>""</f>
        <v/>
      </c>
      <c r="H1160" t="str">
        <f t="shared" si="21"/>
        <v>GUARDIAN</v>
      </c>
    </row>
    <row r="1161" spans="5:8" x14ac:dyDescent="0.25">
      <c r="E1161" t="str">
        <f>"GDE202004296629"</f>
        <v>GDE202004296629</v>
      </c>
      <c r="F1161" t="str">
        <f>"GUARDIAN"</f>
        <v>GUARDIAN</v>
      </c>
      <c r="G1161" s="5">
        <v>184.68</v>
      </c>
      <c r="H1161" t="str">
        <f t="shared" si="21"/>
        <v>GUARDIAN</v>
      </c>
    </row>
    <row r="1162" spans="5:8" x14ac:dyDescent="0.25">
      <c r="E1162" t="str">
        <f>"GDE202005126839"</f>
        <v>GDE202005126839</v>
      </c>
      <c r="F1162" t="str">
        <f>"GUARDIAN"</f>
        <v>GUARDIAN</v>
      </c>
      <c r="G1162" s="5">
        <v>4401.54</v>
      </c>
      <c r="H1162" t="str">
        <f t="shared" si="21"/>
        <v>GUARDIAN</v>
      </c>
    </row>
    <row r="1163" spans="5:8" x14ac:dyDescent="0.25">
      <c r="E1163" t="str">
        <f>""</f>
        <v/>
      </c>
      <c r="F1163" t="str">
        <f>""</f>
        <v/>
      </c>
      <c r="H1163" t="str">
        <f t="shared" si="21"/>
        <v>GUARDIAN</v>
      </c>
    </row>
    <row r="1164" spans="5:8" x14ac:dyDescent="0.25">
      <c r="E1164" t="str">
        <f>""</f>
        <v/>
      </c>
      <c r="F1164" t="str">
        <f>""</f>
        <v/>
      </c>
      <c r="H1164" t="str">
        <f t="shared" si="21"/>
        <v>GUARDIAN</v>
      </c>
    </row>
    <row r="1165" spans="5:8" x14ac:dyDescent="0.25">
      <c r="E1165" t="str">
        <f>""</f>
        <v/>
      </c>
      <c r="F1165" t="str">
        <f>""</f>
        <v/>
      </c>
      <c r="H1165" t="str">
        <f t="shared" si="21"/>
        <v>GUARDIAN</v>
      </c>
    </row>
    <row r="1166" spans="5:8" x14ac:dyDescent="0.25">
      <c r="E1166" t="str">
        <f>""</f>
        <v/>
      </c>
      <c r="F1166" t="str">
        <f>""</f>
        <v/>
      </c>
      <c r="H1166" t="str">
        <f t="shared" si="21"/>
        <v>GUARDIAN</v>
      </c>
    </row>
    <row r="1167" spans="5:8" x14ac:dyDescent="0.25">
      <c r="E1167" t="str">
        <f>""</f>
        <v/>
      </c>
      <c r="F1167" t="str">
        <f>""</f>
        <v/>
      </c>
      <c r="H1167" t="str">
        <f t="shared" si="21"/>
        <v>GUARDIAN</v>
      </c>
    </row>
    <row r="1168" spans="5:8" x14ac:dyDescent="0.25">
      <c r="E1168" t="str">
        <f>""</f>
        <v/>
      </c>
      <c r="F1168" t="str">
        <f>""</f>
        <v/>
      </c>
      <c r="H1168" t="str">
        <f t="shared" si="21"/>
        <v>GUARDIAN</v>
      </c>
    </row>
    <row r="1169" spans="5:8" x14ac:dyDescent="0.25">
      <c r="E1169" t="str">
        <f>""</f>
        <v/>
      </c>
      <c r="F1169" t="str">
        <f>""</f>
        <v/>
      </c>
      <c r="H1169" t="str">
        <f t="shared" ref="H1169:H1232" si="22">"GUARDIAN"</f>
        <v>GUARDIAN</v>
      </c>
    </row>
    <row r="1170" spans="5:8" x14ac:dyDescent="0.25">
      <c r="E1170" t="str">
        <f>""</f>
        <v/>
      </c>
      <c r="F1170" t="str">
        <f>""</f>
        <v/>
      </c>
      <c r="H1170" t="str">
        <f t="shared" si="22"/>
        <v>GUARDIAN</v>
      </c>
    </row>
    <row r="1171" spans="5:8" x14ac:dyDescent="0.25">
      <c r="E1171" t="str">
        <f>""</f>
        <v/>
      </c>
      <c r="F1171" t="str">
        <f>""</f>
        <v/>
      </c>
      <c r="H1171" t="str">
        <f t="shared" si="22"/>
        <v>GUARDIAN</v>
      </c>
    </row>
    <row r="1172" spans="5:8" x14ac:dyDescent="0.25">
      <c r="E1172" t="str">
        <f>""</f>
        <v/>
      </c>
      <c r="F1172" t="str">
        <f>""</f>
        <v/>
      </c>
      <c r="H1172" t="str">
        <f t="shared" si="22"/>
        <v>GUARDIAN</v>
      </c>
    </row>
    <row r="1173" spans="5:8" x14ac:dyDescent="0.25">
      <c r="E1173" t="str">
        <f>""</f>
        <v/>
      </c>
      <c r="F1173" t="str">
        <f>""</f>
        <v/>
      </c>
      <c r="H1173" t="str">
        <f t="shared" si="22"/>
        <v>GUARDIAN</v>
      </c>
    </row>
    <row r="1174" spans="5:8" x14ac:dyDescent="0.25">
      <c r="E1174" t="str">
        <f>""</f>
        <v/>
      </c>
      <c r="F1174" t="str">
        <f>""</f>
        <v/>
      </c>
      <c r="H1174" t="str">
        <f t="shared" si="22"/>
        <v>GUARDIAN</v>
      </c>
    </row>
    <row r="1175" spans="5:8" x14ac:dyDescent="0.25">
      <c r="E1175" t="str">
        <f>""</f>
        <v/>
      </c>
      <c r="F1175" t="str">
        <f>""</f>
        <v/>
      </c>
      <c r="H1175" t="str">
        <f t="shared" si="22"/>
        <v>GUARDIAN</v>
      </c>
    </row>
    <row r="1176" spans="5:8" x14ac:dyDescent="0.25">
      <c r="E1176" t="str">
        <f>""</f>
        <v/>
      </c>
      <c r="F1176" t="str">
        <f>""</f>
        <v/>
      </c>
      <c r="H1176" t="str">
        <f t="shared" si="22"/>
        <v>GUARDIAN</v>
      </c>
    </row>
    <row r="1177" spans="5:8" x14ac:dyDescent="0.25">
      <c r="E1177" t="str">
        <f>""</f>
        <v/>
      </c>
      <c r="F1177" t="str">
        <f>""</f>
        <v/>
      </c>
      <c r="H1177" t="str">
        <f t="shared" si="22"/>
        <v>GUARDIAN</v>
      </c>
    </row>
    <row r="1178" spans="5:8" x14ac:dyDescent="0.25">
      <c r="E1178" t="str">
        <f>""</f>
        <v/>
      </c>
      <c r="F1178" t="str">
        <f>""</f>
        <v/>
      </c>
      <c r="H1178" t="str">
        <f t="shared" si="22"/>
        <v>GUARDIAN</v>
      </c>
    </row>
    <row r="1179" spans="5:8" x14ac:dyDescent="0.25">
      <c r="E1179" t="str">
        <f>""</f>
        <v/>
      </c>
      <c r="F1179" t="str">
        <f>""</f>
        <v/>
      </c>
      <c r="H1179" t="str">
        <f t="shared" si="22"/>
        <v>GUARDIAN</v>
      </c>
    </row>
    <row r="1180" spans="5:8" x14ac:dyDescent="0.25">
      <c r="E1180" t="str">
        <f>""</f>
        <v/>
      </c>
      <c r="F1180" t="str">
        <f>""</f>
        <v/>
      </c>
      <c r="H1180" t="str">
        <f t="shared" si="22"/>
        <v>GUARDIAN</v>
      </c>
    </row>
    <row r="1181" spans="5:8" x14ac:dyDescent="0.25">
      <c r="E1181" t="str">
        <f>""</f>
        <v/>
      </c>
      <c r="F1181" t="str">
        <f>""</f>
        <v/>
      </c>
      <c r="H1181" t="str">
        <f t="shared" si="22"/>
        <v>GUARDIAN</v>
      </c>
    </row>
    <row r="1182" spans="5:8" x14ac:dyDescent="0.25">
      <c r="E1182" t="str">
        <f>""</f>
        <v/>
      </c>
      <c r="F1182" t="str">
        <f>""</f>
        <v/>
      </c>
      <c r="H1182" t="str">
        <f t="shared" si="22"/>
        <v>GUARDIAN</v>
      </c>
    </row>
    <row r="1183" spans="5:8" x14ac:dyDescent="0.25">
      <c r="E1183" t="str">
        <f>""</f>
        <v/>
      </c>
      <c r="F1183" t="str">
        <f>""</f>
        <v/>
      </c>
      <c r="H1183" t="str">
        <f t="shared" si="22"/>
        <v>GUARDIAN</v>
      </c>
    </row>
    <row r="1184" spans="5:8" x14ac:dyDescent="0.25">
      <c r="E1184" t="str">
        <f>""</f>
        <v/>
      </c>
      <c r="F1184" t="str">
        <f>""</f>
        <v/>
      </c>
      <c r="H1184" t="str">
        <f t="shared" si="22"/>
        <v>GUARDIAN</v>
      </c>
    </row>
    <row r="1185" spans="5:8" x14ac:dyDescent="0.25">
      <c r="E1185" t="str">
        <f>""</f>
        <v/>
      </c>
      <c r="F1185" t="str">
        <f>""</f>
        <v/>
      </c>
      <c r="H1185" t="str">
        <f t="shared" si="22"/>
        <v>GUARDIAN</v>
      </c>
    </row>
    <row r="1186" spans="5:8" x14ac:dyDescent="0.25">
      <c r="E1186" t="str">
        <f>""</f>
        <v/>
      </c>
      <c r="F1186" t="str">
        <f>""</f>
        <v/>
      </c>
      <c r="H1186" t="str">
        <f t="shared" si="22"/>
        <v>GUARDIAN</v>
      </c>
    </row>
    <row r="1187" spans="5:8" x14ac:dyDescent="0.25">
      <c r="E1187" t="str">
        <f>""</f>
        <v/>
      </c>
      <c r="F1187" t="str">
        <f>""</f>
        <v/>
      </c>
      <c r="H1187" t="str">
        <f t="shared" si="22"/>
        <v>GUARDIAN</v>
      </c>
    </row>
    <row r="1188" spans="5:8" x14ac:dyDescent="0.25">
      <c r="E1188" t="str">
        <f>""</f>
        <v/>
      </c>
      <c r="F1188" t="str">
        <f>""</f>
        <v/>
      </c>
      <c r="H1188" t="str">
        <f t="shared" si="22"/>
        <v>GUARDIAN</v>
      </c>
    </row>
    <row r="1189" spans="5:8" x14ac:dyDescent="0.25">
      <c r="E1189" t="str">
        <f>""</f>
        <v/>
      </c>
      <c r="F1189" t="str">
        <f>""</f>
        <v/>
      </c>
      <c r="H1189" t="str">
        <f t="shared" si="22"/>
        <v>GUARDIAN</v>
      </c>
    </row>
    <row r="1190" spans="5:8" x14ac:dyDescent="0.25">
      <c r="E1190" t="str">
        <f>""</f>
        <v/>
      </c>
      <c r="F1190" t="str">
        <f>""</f>
        <v/>
      </c>
      <c r="H1190" t="str">
        <f t="shared" si="22"/>
        <v>GUARDIAN</v>
      </c>
    </row>
    <row r="1191" spans="5:8" x14ac:dyDescent="0.25">
      <c r="E1191" t="str">
        <f>""</f>
        <v/>
      </c>
      <c r="F1191" t="str">
        <f>""</f>
        <v/>
      </c>
      <c r="H1191" t="str">
        <f t="shared" si="22"/>
        <v>GUARDIAN</v>
      </c>
    </row>
    <row r="1192" spans="5:8" x14ac:dyDescent="0.25">
      <c r="E1192" t="str">
        <f>""</f>
        <v/>
      </c>
      <c r="F1192" t="str">
        <f>""</f>
        <v/>
      </c>
      <c r="H1192" t="str">
        <f t="shared" si="22"/>
        <v>GUARDIAN</v>
      </c>
    </row>
    <row r="1193" spans="5:8" x14ac:dyDescent="0.25">
      <c r="E1193" t="str">
        <f>""</f>
        <v/>
      </c>
      <c r="F1193" t="str">
        <f>""</f>
        <v/>
      </c>
      <c r="H1193" t="str">
        <f t="shared" si="22"/>
        <v>GUARDIAN</v>
      </c>
    </row>
    <row r="1194" spans="5:8" x14ac:dyDescent="0.25">
      <c r="E1194" t="str">
        <f>""</f>
        <v/>
      </c>
      <c r="F1194" t="str">
        <f>""</f>
        <v/>
      </c>
      <c r="H1194" t="str">
        <f t="shared" si="22"/>
        <v>GUARDIAN</v>
      </c>
    </row>
    <row r="1195" spans="5:8" x14ac:dyDescent="0.25">
      <c r="E1195" t="str">
        <f>""</f>
        <v/>
      </c>
      <c r="F1195" t="str">
        <f>""</f>
        <v/>
      </c>
      <c r="H1195" t="str">
        <f t="shared" si="22"/>
        <v>GUARDIAN</v>
      </c>
    </row>
    <row r="1196" spans="5:8" x14ac:dyDescent="0.25">
      <c r="E1196" t="str">
        <f>""</f>
        <v/>
      </c>
      <c r="F1196" t="str">
        <f>""</f>
        <v/>
      </c>
      <c r="H1196" t="str">
        <f t="shared" si="22"/>
        <v>GUARDIAN</v>
      </c>
    </row>
    <row r="1197" spans="5:8" x14ac:dyDescent="0.25">
      <c r="E1197" t="str">
        <f>""</f>
        <v/>
      </c>
      <c r="F1197" t="str">
        <f>""</f>
        <v/>
      </c>
      <c r="H1197" t="str">
        <f t="shared" si="22"/>
        <v>GUARDIAN</v>
      </c>
    </row>
    <row r="1198" spans="5:8" x14ac:dyDescent="0.25">
      <c r="E1198" t="str">
        <f>""</f>
        <v/>
      </c>
      <c r="F1198" t="str">
        <f>""</f>
        <v/>
      </c>
      <c r="H1198" t="str">
        <f t="shared" si="22"/>
        <v>GUARDIAN</v>
      </c>
    </row>
    <row r="1199" spans="5:8" x14ac:dyDescent="0.25">
      <c r="E1199" t="str">
        <f>""</f>
        <v/>
      </c>
      <c r="F1199" t="str">
        <f>""</f>
        <v/>
      </c>
      <c r="H1199" t="str">
        <f t="shared" si="22"/>
        <v>GUARDIAN</v>
      </c>
    </row>
    <row r="1200" spans="5:8" x14ac:dyDescent="0.25">
      <c r="E1200" t="str">
        <f>""</f>
        <v/>
      </c>
      <c r="F1200" t="str">
        <f>""</f>
        <v/>
      </c>
      <c r="H1200" t="str">
        <f t="shared" si="22"/>
        <v>GUARDIAN</v>
      </c>
    </row>
    <row r="1201" spans="5:8" x14ac:dyDescent="0.25">
      <c r="E1201" t="str">
        <f>""</f>
        <v/>
      </c>
      <c r="F1201" t="str">
        <f>""</f>
        <v/>
      </c>
      <c r="H1201" t="str">
        <f t="shared" si="22"/>
        <v>GUARDIAN</v>
      </c>
    </row>
    <row r="1202" spans="5:8" x14ac:dyDescent="0.25">
      <c r="E1202" t="str">
        <f>""</f>
        <v/>
      </c>
      <c r="F1202" t="str">
        <f>""</f>
        <v/>
      </c>
      <c r="H1202" t="str">
        <f t="shared" si="22"/>
        <v>GUARDIAN</v>
      </c>
    </row>
    <row r="1203" spans="5:8" x14ac:dyDescent="0.25">
      <c r="E1203" t="str">
        <f>""</f>
        <v/>
      </c>
      <c r="F1203" t="str">
        <f>""</f>
        <v/>
      </c>
      <c r="H1203" t="str">
        <f t="shared" si="22"/>
        <v>GUARDIAN</v>
      </c>
    </row>
    <row r="1204" spans="5:8" x14ac:dyDescent="0.25">
      <c r="E1204" t="str">
        <f>""</f>
        <v/>
      </c>
      <c r="F1204" t="str">
        <f>""</f>
        <v/>
      </c>
      <c r="H1204" t="str">
        <f t="shared" si="22"/>
        <v>GUARDIAN</v>
      </c>
    </row>
    <row r="1205" spans="5:8" x14ac:dyDescent="0.25">
      <c r="E1205" t="str">
        <f>""</f>
        <v/>
      </c>
      <c r="F1205" t="str">
        <f>""</f>
        <v/>
      </c>
      <c r="H1205" t="str">
        <f t="shared" si="22"/>
        <v>GUARDIAN</v>
      </c>
    </row>
    <row r="1206" spans="5:8" x14ac:dyDescent="0.25">
      <c r="E1206" t="str">
        <f>"GDE202005126840"</f>
        <v>GDE202005126840</v>
      </c>
      <c r="F1206" t="str">
        <f>"GUARDIAN"</f>
        <v>GUARDIAN</v>
      </c>
      <c r="G1206" s="5">
        <v>184.68</v>
      </c>
      <c r="H1206" t="str">
        <f t="shared" si="22"/>
        <v>GUARDIAN</v>
      </c>
    </row>
    <row r="1207" spans="5:8" x14ac:dyDescent="0.25">
      <c r="E1207" t="str">
        <f>"GDF202004296628"</f>
        <v>GDF202004296628</v>
      </c>
      <c r="F1207" t="str">
        <f>"GUARDIAN"</f>
        <v>GUARDIAN</v>
      </c>
      <c r="G1207" s="5">
        <v>2209.2399999999998</v>
      </c>
      <c r="H1207" t="str">
        <f t="shared" si="22"/>
        <v>GUARDIAN</v>
      </c>
    </row>
    <row r="1208" spans="5:8" x14ac:dyDescent="0.25">
      <c r="E1208" t="str">
        <f>""</f>
        <v/>
      </c>
      <c r="F1208" t="str">
        <f>""</f>
        <v/>
      </c>
      <c r="H1208" t="str">
        <f t="shared" si="22"/>
        <v>GUARDIAN</v>
      </c>
    </row>
    <row r="1209" spans="5:8" x14ac:dyDescent="0.25">
      <c r="E1209" t="str">
        <f>""</f>
        <v/>
      </c>
      <c r="F1209" t="str">
        <f>""</f>
        <v/>
      </c>
      <c r="H1209" t="str">
        <f t="shared" si="22"/>
        <v>GUARDIAN</v>
      </c>
    </row>
    <row r="1210" spans="5:8" x14ac:dyDescent="0.25">
      <c r="E1210" t="str">
        <f>""</f>
        <v/>
      </c>
      <c r="F1210" t="str">
        <f>""</f>
        <v/>
      </c>
      <c r="H1210" t="str">
        <f t="shared" si="22"/>
        <v>GUARDIAN</v>
      </c>
    </row>
    <row r="1211" spans="5:8" x14ac:dyDescent="0.25">
      <c r="E1211" t="str">
        <f>""</f>
        <v/>
      </c>
      <c r="F1211" t="str">
        <f>""</f>
        <v/>
      </c>
      <c r="H1211" t="str">
        <f t="shared" si="22"/>
        <v>GUARDIAN</v>
      </c>
    </row>
    <row r="1212" spans="5:8" x14ac:dyDescent="0.25">
      <c r="E1212" t="str">
        <f>""</f>
        <v/>
      </c>
      <c r="F1212" t="str">
        <f>""</f>
        <v/>
      </c>
      <c r="H1212" t="str">
        <f t="shared" si="22"/>
        <v>GUARDIAN</v>
      </c>
    </row>
    <row r="1213" spans="5:8" x14ac:dyDescent="0.25">
      <c r="E1213" t="str">
        <f>""</f>
        <v/>
      </c>
      <c r="F1213" t="str">
        <f>""</f>
        <v/>
      </c>
      <c r="H1213" t="str">
        <f t="shared" si="22"/>
        <v>GUARDIAN</v>
      </c>
    </row>
    <row r="1214" spans="5:8" x14ac:dyDescent="0.25">
      <c r="E1214" t="str">
        <f>""</f>
        <v/>
      </c>
      <c r="F1214" t="str">
        <f>""</f>
        <v/>
      </c>
      <c r="H1214" t="str">
        <f t="shared" si="22"/>
        <v>GUARDIAN</v>
      </c>
    </row>
    <row r="1215" spans="5:8" x14ac:dyDescent="0.25">
      <c r="E1215" t="str">
        <f>""</f>
        <v/>
      </c>
      <c r="F1215" t="str">
        <f>""</f>
        <v/>
      </c>
      <c r="H1215" t="str">
        <f t="shared" si="22"/>
        <v>GUARDIAN</v>
      </c>
    </row>
    <row r="1216" spans="5:8" x14ac:dyDescent="0.25">
      <c r="E1216" t="str">
        <f>""</f>
        <v/>
      </c>
      <c r="F1216" t="str">
        <f>""</f>
        <v/>
      </c>
      <c r="H1216" t="str">
        <f t="shared" si="22"/>
        <v>GUARDIAN</v>
      </c>
    </row>
    <row r="1217" spans="5:8" x14ac:dyDescent="0.25">
      <c r="E1217" t="str">
        <f>""</f>
        <v/>
      </c>
      <c r="F1217" t="str">
        <f>""</f>
        <v/>
      </c>
      <c r="H1217" t="str">
        <f t="shared" si="22"/>
        <v>GUARDIAN</v>
      </c>
    </row>
    <row r="1218" spans="5:8" x14ac:dyDescent="0.25">
      <c r="E1218" t="str">
        <f>""</f>
        <v/>
      </c>
      <c r="F1218" t="str">
        <f>""</f>
        <v/>
      </c>
      <c r="H1218" t="str">
        <f t="shared" si="22"/>
        <v>GUARDIAN</v>
      </c>
    </row>
    <row r="1219" spans="5:8" x14ac:dyDescent="0.25">
      <c r="E1219" t="str">
        <f>""</f>
        <v/>
      </c>
      <c r="F1219" t="str">
        <f>""</f>
        <v/>
      </c>
      <c r="H1219" t="str">
        <f t="shared" si="22"/>
        <v>GUARDIAN</v>
      </c>
    </row>
    <row r="1220" spans="5:8" x14ac:dyDescent="0.25">
      <c r="E1220" t="str">
        <f>""</f>
        <v/>
      </c>
      <c r="F1220" t="str">
        <f>""</f>
        <v/>
      </c>
      <c r="H1220" t="str">
        <f t="shared" si="22"/>
        <v>GUARDIAN</v>
      </c>
    </row>
    <row r="1221" spans="5:8" x14ac:dyDescent="0.25">
      <c r="E1221" t="str">
        <f>""</f>
        <v/>
      </c>
      <c r="F1221" t="str">
        <f>""</f>
        <v/>
      </c>
      <c r="H1221" t="str">
        <f t="shared" si="22"/>
        <v>GUARDIAN</v>
      </c>
    </row>
    <row r="1222" spans="5:8" x14ac:dyDescent="0.25">
      <c r="E1222" t="str">
        <f>""</f>
        <v/>
      </c>
      <c r="F1222" t="str">
        <f>""</f>
        <v/>
      </c>
      <c r="H1222" t="str">
        <f t="shared" si="22"/>
        <v>GUARDIAN</v>
      </c>
    </row>
    <row r="1223" spans="5:8" x14ac:dyDescent="0.25">
      <c r="E1223" t="str">
        <f>""</f>
        <v/>
      </c>
      <c r="F1223" t="str">
        <f>""</f>
        <v/>
      </c>
      <c r="H1223" t="str">
        <f t="shared" si="22"/>
        <v>GUARDIAN</v>
      </c>
    </row>
    <row r="1224" spans="5:8" x14ac:dyDescent="0.25">
      <c r="E1224" t="str">
        <f>""</f>
        <v/>
      </c>
      <c r="F1224" t="str">
        <f>""</f>
        <v/>
      </c>
      <c r="H1224" t="str">
        <f t="shared" si="22"/>
        <v>GUARDIAN</v>
      </c>
    </row>
    <row r="1225" spans="5:8" x14ac:dyDescent="0.25">
      <c r="E1225" t="str">
        <f>""</f>
        <v/>
      </c>
      <c r="F1225" t="str">
        <f>""</f>
        <v/>
      </c>
      <c r="H1225" t="str">
        <f t="shared" si="22"/>
        <v>GUARDIAN</v>
      </c>
    </row>
    <row r="1226" spans="5:8" x14ac:dyDescent="0.25">
      <c r="E1226" t="str">
        <f>""</f>
        <v/>
      </c>
      <c r="F1226" t="str">
        <f>""</f>
        <v/>
      </c>
      <c r="H1226" t="str">
        <f t="shared" si="22"/>
        <v>GUARDIAN</v>
      </c>
    </row>
    <row r="1227" spans="5:8" x14ac:dyDescent="0.25">
      <c r="E1227" t="str">
        <f>""</f>
        <v/>
      </c>
      <c r="F1227" t="str">
        <f>""</f>
        <v/>
      </c>
      <c r="H1227" t="str">
        <f t="shared" si="22"/>
        <v>GUARDIAN</v>
      </c>
    </row>
    <row r="1228" spans="5:8" x14ac:dyDescent="0.25">
      <c r="E1228" t="str">
        <f>""</f>
        <v/>
      </c>
      <c r="F1228" t="str">
        <f>""</f>
        <v/>
      </c>
      <c r="H1228" t="str">
        <f t="shared" si="22"/>
        <v>GUARDIAN</v>
      </c>
    </row>
    <row r="1229" spans="5:8" x14ac:dyDescent="0.25">
      <c r="E1229" t="str">
        <f>"GDF202004296629"</f>
        <v>GDF202004296629</v>
      </c>
      <c r="F1229" t="str">
        <f>"GUARDIAN"</f>
        <v>GUARDIAN</v>
      </c>
      <c r="G1229" s="5">
        <v>100.42</v>
      </c>
      <c r="H1229" t="str">
        <f t="shared" si="22"/>
        <v>GUARDIAN</v>
      </c>
    </row>
    <row r="1230" spans="5:8" x14ac:dyDescent="0.25">
      <c r="E1230" t="str">
        <f>""</f>
        <v/>
      </c>
      <c r="F1230" t="str">
        <f>""</f>
        <v/>
      </c>
      <c r="H1230" t="str">
        <f t="shared" si="22"/>
        <v>GUARDIAN</v>
      </c>
    </row>
    <row r="1231" spans="5:8" x14ac:dyDescent="0.25">
      <c r="E1231" t="str">
        <f>"GDF202005126839"</f>
        <v>GDF202005126839</v>
      </c>
      <c r="F1231" t="str">
        <f>"GUARDIAN"</f>
        <v>GUARDIAN</v>
      </c>
      <c r="G1231" s="5">
        <v>2108.8200000000002</v>
      </c>
      <c r="H1231" t="str">
        <f t="shared" si="22"/>
        <v>GUARDIAN</v>
      </c>
    </row>
    <row r="1232" spans="5:8" x14ac:dyDescent="0.25">
      <c r="E1232" t="str">
        <f>""</f>
        <v/>
      </c>
      <c r="F1232" t="str">
        <f>""</f>
        <v/>
      </c>
      <c r="H1232" t="str">
        <f t="shared" si="22"/>
        <v>GUARDIAN</v>
      </c>
    </row>
    <row r="1233" spans="5:8" x14ac:dyDescent="0.25">
      <c r="E1233" t="str">
        <f>""</f>
        <v/>
      </c>
      <c r="F1233" t="str">
        <f>""</f>
        <v/>
      </c>
      <c r="H1233" t="str">
        <f t="shared" ref="H1233:H1296" si="23">"GUARDIAN"</f>
        <v>GUARDIAN</v>
      </c>
    </row>
    <row r="1234" spans="5:8" x14ac:dyDescent="0.25">
      <c r="E1234" t="str">
        <f>""</f>
        <v/>
      </c>
      <c r="F1234" t="str">
        <f>""</f>
        <v/>
      </c>
      <c r="H1234" t="str">
        <f t="shared" si="23"/>
        <v>GUARDIAN</v>
      </c>
    </row>
    <row r="1235" spans="5:8" x14ac:dyDescent="0.25">
      <c r="E1235" t="str">
        <f>""</f>
        <v/>
      </c>
      <c r="F1235" t="str">
        <f>""</f>
        <v/>
      </c>
      <c r="H1235" t="str">
        <f t="shared" si="23"/>
        <v>GUARDIAN</v>
      </c>
    </row>
    <row r="1236" spans="5:8" x14ac:dyDescent="0.25">
      <c r="E1236" t="str">
        <f>""</f>
        <v/>
      </c>
      <c r="F1236" t="str">
        <f>""</f>
        <v/>
      </c>
      <c r="H1236" t="str">
        <f t="shared" si="23"/>
        <v>GUARDIAN</v>
      </c>
    </row>
    <row r="1237" spans="5:8" x14ac:dyDescent="0.25">
      <c r="E1237" t="str">
        <f>""</f>
        <v/>
      </c>
      <c r="F1237" t="str">
        <f>""</f>
        <v/>
      </c>
      <c r="H1237" t="str">
        <f t="shared" si="23"/>
        <v>GUARDIAN</v>
      </c>
    </row>
    <row r="1238" spans="5:8" x14ac:dyDescent="0.25">
      <c r="E1238" t="str">
        <f>""</f>
        <v/>
      </c>
      <c r="F1238" t="str">
        <f>""</f>
        <v/>
      </c>
      <c r="H1238" t="str">
        <f t="shared" si="23"/>
        <v>GUARDIAN</v>
      </c>
    </row>
    <row r="1239" spans="5:8" x14ac:dyDescent="0.25">
      <c r="E1239" t="str">
        <f>""</f>
        <v/>
      </c>
      <c r="F1239" t="str">
        <f>""</f>
        <v/>
      </c>
      <c r="H1239" t="str">
        <f t="shared" si="23"/>
        <v>GUARDIAN</v>
      </c>
    </row>
    <row r="1240" spans="5:8" x14ac:dyDescent="0.25">
      <c r="E1240" t="str">
        <f>""</f>
        <v/>
      </c>
      <c r="F1240" t="str">
        <f>""</f>
        <v/>
      </c>
      <c r="H1240" t="str">
        <f t="shared" si="23"/>
        <v>GUARDIAN</v>
      </c>
    </row>
    <row r="1241" spans="5:8" x14ac:dyDescent="0.25">
      <c r="E1241" t="str">
        <f>""</f>
        <v/>
      </c>
      <c r="F1241" t="str">
        <f>""</f>
        <v/>
      </c>
      <c r="H1241" t="str">
        <f t="shared" si="23"/>
        <v>GUARDIAN</v>
      </c>
    </row>
    <row r="1242" spans="5:8" x14ac:dyDescent="0.25">
      <c r="E1242" t="str">
        <f>""</f>
        <v/>
      </c>
      <c r="F1242" t="str">
        <f>""</f>
        <v/>
      </c>
      <c r="H1242" t="str">
        <f t="shared" si="23"/>
        <v>GUARDIAN</v>
      </c>
    </row>
    <row r="1243" spans="5:8" x14ac:dyDescent="0.25">
      <c r="E1243" t="str">
        <f>""</f>
        <v/>
      </c>
      <c r="F1243" t="str">
        <f>""</f>
        <v/>
      </c>
      <c r="H1243" t="str">
        <f t="shared" si="23"/>
        <v>GUARDIAN</v>
      </c>
    </row>
    <row r="1244" spans="5:8" x14ac:dyDescent="0.25">
      <c r="E1244" t="str">
        <f>""</f>
        <v/>
      </c>
      <c r="F1244" t="str">
        <f>""</f>
        <v/>
      </c>
      <c r="H1244" t="str">
        <f t="shared" si="23"/>
        <v>GUARDIAN</v>
      </c>
    </row>
    <row r="1245" spans="5:8" x14ac:dyDescent="0.25">
      <c r="E1245" t="str">
        <f>""</f>
        <v/>
      </c>
      <c r="F1245" t="str">
        <f>""</f>
        <v/>
      </c>
      <c r="H1245" t="str">
        <f t="shared" si="23"/>
        <v>GUARDIAN</v>
      </c>
    </row>
    <row r="1246" spans="5:8" x14ac:dyDescent="0.25">
      <c r="E1246" t="str">
        <f>""</f>
        <v/>
      </c>
      <c r="F1246" t="str">
        <f>""</f>
        <v/>
      </c>
      <c r="H1246" t="str">
        <f t="shared" si="23"/>
        <v>GUARDIAN</v>
      </c>
    </row>
    <row r="1247" spans="5:8" x14ac:dyDescent="0.25">
      <c r="E1247" t="str">
        <f>""</f>
        <v/>
      </c>
      <c r="F1247" t="str">
        <f>""</f>
        <v/>
      </c>
      <c r="H1247" t="str">
        <f t="shared" si="23"/>
        <v>GUARDIAN</v>
      </c>
    </row>
    <row r="1248" spans="5:8" x14ac:dyDescent="0.25">
      <c r="E1248" t="str">
        <f>""</f>
        <v/>
      </c>
      <c r="F1248" t="str">
        <f>""</f>
        <v/>
      </c>
      <c r="H1248" t="str">
        <f t="shared" si="23"/>
        <v>GUARDIAN</v>
      </c>
    </row>
    <row r="1249" spans="5:8" x14ac:dyDescent="0.25">
      <c r="E1249" t="str">
        <f>""</f>
        <v/>
      </c>
      <c r="F1249" t="str">
        <f>""</f>
        <v/>
      </c>
      <c r="H1249" t="str">
        <f t="shared" si="23"/>
        <v>GUARDIAN</v>
      </c>
    </row>
    <row r="1250" spans="5:8" x14ac:dyDescent="0.25">
      <c r="E1250" t="str">
        <f>""</f>
        <v/>
      </c>
      <c r="F1250" t="str">
        <f>""</f>
        <v/>
      </c>
      <c r="H1250" t="str">
        <f t="shared" si="23"/>
        <v>GUARDIAN</v>
      </c>
    </row>
    <row r="1251" spans="5:8" x14ac:dyDescent="0.25">
      <c r="E1251" t="str">
        <f>""</f>
        <v/>
      </c>
      <c r="F1251" t="str">
        <f>""</f>
        <v/>
      </c>
      <c r="H1251" t="str">
        <f t="shared" si="23"/>
        <v>GUARDIAN</v>
      </c>
    </row>
    <row r="1252" spans="5:8" x14ac:dyDescent="0.25">
      <c r="E1252" t="str">
        <f>""</f>
        <v/>
      </c>
      <c r="F1252" t="str">
        <f>""</f>
        <v/>
      </c>
      <c r="H1252" t="str">
        <f t="shared" si="23"/>
        <v>GUARDIAN</v>
      </c>
    </row>
    <row r="1253" spans="5:8" x14ac:dyDescent="0.25">
      <c r="E1253" t="str">
        <f>"GDF202005126840"</f>
        <v>GDF202005126840</v>
      </c>
      <c r="F1253" t="str">
        <f>"GUARDIAN"</f>
        <v>GUARDIAN</v>
      </c>
      <c r="G1253" s="5">
        <v>100.42</v>
      </c>
      <c r="H1253" t="str">
        <f t="shared" si="23"/>
        <v>GUARDIAN</v>
      </c>
    </row>
    <row r="1254" spans="5:8" x14ac:dyDescent="0.25">
      <c r="E1254" t="str">
        <f>""</f>
        <v/>
      </c>
      <c r="F1254" t="str">
        <f>""</f>
        <v/>
      </c>
      <c r="H1254" t="str">
        <f t="shared" si="23"/>
        <v>GUARDIAN</v>
      </c>
    </row>
    <row r="1255" spans="5:8" x14ac:dyDescent="0.25">
      <c r="E1255" t="str">
        <f>"GDS202004296628"</f>
        <v>GDS202004296628</v>
      </c>
      <c r="F1255" t="str">
        <f>"GUARDIAN"</f>
        <v>GUARDIAN</v>
      </c>
      <c r="G1255" s="5">
        <v>1985.28</v>
      </c>
      <c r="H1255" t="str">
        <f t="shared" si="23"/>
        <v>GUARDIAN</v>
      </c>
    </row>
    <row r="1256" spans="5:8" x14ac:dyDescent="0.25">
      <c r="E1256" t="str">
        <f>""</f>
        <v/>
      </c>
      <c r="F1256" t="str">
        <f>""</f>
        <v/>
      </c>
      <c r="H1256" t="str">
        <f t="shared" si="23"/>
        <v>GUARDIAN</v>
      </c>
    </row>
    <row r="1257" spans="5:8" x14ac:dyDescent="0.25">
      <c r="E1257" t="str">
        <f>""</f>
        <v/>
      </c>
      <c r="F1257" t="str">
        <f>""</f>
        <v/>
      </c>
      <c r="H1257" t="str">
        <f t="shared" si="23"/>
        <v>GUARDIAN</v>
      </c>
    </row>
    <row r="1258" spans="5:8" x14ac:dyDescent="0.25">
      <c r="E1258" t="str">
        <f>""</f>
        <v/>
      </c>
      <c r="F1258" t="str">
        <f>""</f>
        <v/>
      </c>
      <c r="H1258" t="str">
        <f t="shared" si="23"/>
        <v>GUARDIAN</v>
      </c>
    </row>
    <row r="1259" spans="5:8" x14ac:dyDescent="0.25">
      <c r="E1259" t="str">
        <f>""</f>
        <v/>
      </c>
      <c r="F1259" t="str">
        <f>""</f>
        <v/>
      </c>
      <c r="H1259" t="str">
        <f t="shared" si="23"/>
        <v>GUARDIAN</v>
      </c>
    </row>
    <row r="1260" spans="5:8" x14ac:dyDescent="0.25">
      <c r="E1260" t="str">
        <f>""</f>
        <v/>
      </c>
      <c r="F1260" t="str">
        <f>""</f>
        <v/>
      </c>
      <c r="H1260" t="str">
        <f t="shared" si="23"/>
        <v>GUARDIAN</v>
      </c>
    </row>
    <row r="1261" spans="5:8" x14ac:dyDescent="0.25">
      <c r="E1261" t="str">
        <f>""</f>
        <v/>
      </c>
      <c r="F1261" t="str">
        <f>""</f>
        <v/>
      </c>
      <c r="H1261" t="str">
        <f t="shared" si="23"/>
        <v>GUARDIAN</v>
      </c>
    </row>
    <row r="1262" spans="5:8" x14ac:dyDescent="0.25">
      <c r="E1262" t="str">
        <f>""</f>
        <v/>
      </c>
      <c r="F1262" t="str">
        <f>""</f>
        <v/>
      </c>
      <c r="H1262" t="str">
        <f t="shared" si="23"/>
        <v>GUARDIAN</v>
      </c>
    </row>
    <row r="1263" spans="5:8" x14ac:dyDescent="0.25">
      <c r="E1263" t="str">
        <f>""</f>
        <v/>
      </c>
      <c r="F1263" t="str">
        <f>""</f>
        <v/>
      </c>
      <c r="H1263" t="str">
        <f t="shared" si="23"/>
        <v>GUARDIAN</v>
      </c>
    </row>
    <row r="1264" spans="5:8" x14ac:dyDescent="0.25">
      <c r="E1264" t="str">
        <f>""</f>
        <v/>
      </c>
      <c r="F1264" t="str">
        <f>""</f>
        <v/>
      </c>
      <c r="H1264" t="str">
        <f t="shared" si="23"/>
        <v>GUARDIAN</v>
      </c>
    </row>
    <row r="1265" spans="5:8" x14ac:dyDescent="0.25">
      <c r="E1265" t="str">
        <f>""</f>
        <v/>
      </c>
      <c r="F1265" t="str">
        <f>""</f>
        <v/>
      </c>
      <c r="H1265" t="str">
        <f t="shared" si="23"/>
        <v>GUARDIAN</v>
      </c>
    </row>
    <row r="1266" spans="5:8" x14ac:dyDescent="0.25">
      <c r="E1266" t="str">
        <f>""</f>
        <v/>
      </c>
      <c r="F1266" t="str">
        <f>""</f>
        <v/>
      </c>
      <c r="H1266" t="str">
        <f t="shared" si="23"/>
        <v>GUARDIAN</v>
      </c>
    </row>
    <row r="1267" spans="5:8" x14ac:dyDescent="0.25">
      <c r="E1267" t="str">
        <f>""</f>
        <v/>
      </c>
      <c r="F1267" t="str">
        <f>""</f>
        <v/>
      </c>
      <c r="H1267" t="str">
        <f t="shared" si="23"/>
        <v>GUARDIAN</v>
      </c>
    </row>
    <row r="1268" spans="5:8" x14ac:dyDescent="0.25">
      <c r="E1268" t="str">
        <f>""</f>
        <v/>
      </c>
      <c r="F1268" t="str">
        <f>""</f>
        <v/>
      </c>
      <c r="H1268" t="str">
        <f t="shared" si="23"/>
        <v>GUARDIAN</v>
      </c>
    </row>
    <row r="1269" spans="5:8" x14ac:dyDescent="0.25">
      <c r="E1269" t="str">
        <f>""</f>
        <v/>
      </c>
      <c r="F1269" t="str">
        <f>""</f>
        <v/>
      </c>
      <c r="H1269" t="str">
        <f t="shared" si="23"/>
        <v>GUARDIAN</v>
      </c>
    </row>
    <row r="1270" spans="5:8" x14ac:dyDescent="0.25">
      <c r="E1270" t="str">
        <f>""</f>
        <v/>
      </c>
      <c r="F1270" t="str">
        <f>""</f>
        <v/>
      </c>
      <c r="H1270" t="str">
        <f t="shared" si="23"/>
        <v>GUARDIAN</v>
      </c>
    </row>
    <row r="1271" spans="5:8" x14ac:dyDescent="0.25">
      <c r="E1271" t="str">
        <f>""</f>
        <v/>
      </c>
      <c r="F1271" t="str">
        <f>""</f>
        <v/>
      </c>
      <c r="H1271" t="str">
        <f t="shared" si="23"/>
        <v>GUARDIAN</v>
      </c>
    </row>
    <row r="1272" spans="5:8" x14ac:dyDescent="0.25">
      <c r="E1272" t="str">
        <f>""</f>
        <v/>
      </c>
      <c r="F1272" t="str">
        <f>""</f>
        <v/>
      </c>
      <c r="H1272" t="str">
        <f t="shared" si="23"/>
        <v>GUARDIAN</v>
      </c>
    </row>
    <row r="1273" spans="5:8" x14ac:dyDescent="0.25">
      <c r="E1273" t="str">
        <f>""</f>
        <v/>
      </c>
      <c r="F1273" t="str">
        <f>""</f>
        <v/>
      </c>
      <c r="H1273" t="str">
        <f t="shared" si="23"/>
        <v>GUARDIAN</v>
      </c>
    </row>
    <row r="1274" spans="5:8" x14ac:dyDescent="0.25">
      <c r="E1274" t="str">
        <f>""</f>
        <v/>
      </c>
      <c r="F1274" t="str">
        <f>""</f>
        <v/>
      </c>
      <c r="H1274" t="str">
        <f t="shared" si="23"/>
        <v>GUARDIAN</v>
      </c>
    </row>
    <row r="1275" spans="5:8" x14ac:dyDescent="0.25">
      <c r="E1275" t="str">
        <f>""</f>
        <v/>
      </c>
      <c r="F1275" t="str">
        <f>""</f>
        <v/>
      </c>
      <c r="H1275" t="str">
        <f t="shared" si="23"/>
        <v>GUARDIAN</v>
      </c>
    </row>
    <row r="1276" spans="5:8" x14ac:dyDescent="0.25">
      <c r="E1276" t="str">
        <f>""</f>
        <v/>
      </c>
      <c r="F1276" t="str">
        <f>""</f>
        <v/>
      </c>
      <c r="H1276" t="str">
        <f t="shared" si="23"/>
        <v>GUARDIAN</v>
      </c>
    </row>
    <row r="1277" spans="5:8" x14ac:dyDescent="0.25">
      <c r="E1277" t="str">
        <f>""</f>
        <v/>
      </c>
      <c r="F1277" t="str">
        <f>""</f>
        <v/>
      </c>
      <c r="H1277" t="str">
        <f t="shared" si="23"/>
        <v>GUARDIAN</v>
      </c>
    </row>
    <row r="1278" spans="5:8" x14ac:dyDescent="0.25">
      <c r="E1278" t="str">
        <f>""</f>
        <v/>
      </c>
      <c r="F1278" t="str">
        <f>""</f>
        <v/>
      </c>
      <c r="H1278" t="str">
        <f t="shared" si="23"/>
        <v>GUARDIAN</v>
      </c>
    </row>
    <row r="1279" spans="5:8" x14ac:dyDescent="0.25">
      <c r="E1279" t="str">
        <f>""</f>
        <v/>
      </c>
      <c r="F1279" t="str">
        <f>""</f>
        <v/>
      </c>
      <c r="H1279" t="str">
        <f t="shared" si="23"/>
        <v>GUARDIAN</v>
      </c>
    </row>
    <row r="1280" spans="5:8" x14ac:dyDescent="0.25">
      <c r="E1280" t="str">
        <f>"GDS202005126839"</f>
        <v>GDS202005126839</v>
      </c>
      <c r="F1280" t="str">
        <f>"GUARDIAN"</f>
        <v>GUARDIAN</v>
      </c>
      <c r="G1280" s="5">
        <v>1923.24</v>
      </c>
      <c r="H1280" t="str">
        <f t="shared" si="23"/>
        <v>GUARDIAN</v>
      </c>
    </row>
    <row r="1281" spans="5:8" x14ac:dyDescent="0.25">
      <c r="E1281" t="str">
        <f>""</f>
        <v/>
      </c>
      <c r="F1281" t="str">
        <f>""</f>
        <v/>
      </c>
      <c r="H1281" t="str">
        <f t="shared" si="23"/>
        <v>GUARDIAN</v>
      </c>
    </row>
    <row r="1282" spans="5:8" x14ac:dyDescent="0.25">
      <c r="E1282" t="str">
        <f>""</f>
        <v/>
      </c>
      <c r="F1282" t="str">
        <f>""</f>
        <v/>
      </c>
      <c r="H1282" t="str">
        <f t="shared" si="23"/>
        <v>GUARDIAN</v>
      </c>
    </row>
    <row r="1283" spans="5:8" x14ac:dyDescent="0.25">
      <c r="E1283" t="str">
        <f>""</f>
        <v/>
      </c>
      <c r="F1283" t="str">
        <f>""</f>
        <v/>
      </c>
      <c r="H1283" t="str">
        <f t="shared" si="23"/>
        <v>GUARDIAN</v>
      </c>
    </row>
    <row r="1284" spans="5:8" x14ac:dyDescent="0.25">
      <c r="E1284" t="str">
        <f>""</f>
        <v/>
      </c>
      <c r="F1284" t="str">
        <f>""</f>
        <v/>
      </c>
      <c r="H1284" t="str">
        <f t="shared" si="23"/>
        <v>GUARDIAN</v>
      </c>
    </row>
    <row r="1285" spans="5:8" x14ac:dyDescent="0.25">
      <c r="E1285" t="str">
        <f>""</f>
        <v/>
      </c>
      <c r="F1285" t="str">
        <f>""</f>
        <v/>
      </c>
      <c r="H1285" t="str">
        <f t="shared" si="23"/>
        <v>GUARDIAN</v>
      </c>
    </row>
    <row r="1286" spans="5:8" x14ac:dyDescent="0.25">
      <c r="E1286" t="str">
        <f>""</f>
        <v/>
      </c>
      <c r="F1286" t="str">
        <f>""</f>
        <v/>
      </c>
      <c r="H1286" t="str">
        <f t="shared" si="23"/>
        <v>GUARDIAN</v>
      </c>
    </row>
    <row r="1287" spans="5:8" x14ac:dyDescent="0.25">
      <c r="E1287" t="str">
        <f>""</f>
        <v/>
      </c>
      <c r="F1287" t="str">
        <f>""</f>
        <v/>
      </c>
      <c r="H1287" t="str">
        <f t="shared" si="23"/>
        <v>GUARDIAN</v>
      </c>
    </row>
    <row r="1288" spans="5:8" x14ac:dyDescent="0.25">
      <c r="E1288" t="str">
        <f>""</f>
        <v/>
      </c>
      <c r="F1288" t="str">
        <f>""</f>
        <v/>
      </c>
      <c r="H1288" t="str">
        <f t="shared" si="23"/>
        <v>GUARDIAN</v>
      </c>
    </row>
    <row r="1289" spans="5:8" x14ac:dyDescent="0.25">
      <c r="E1289" t="str">
        <f>""</f>
        <v/>
      </c>
      <c r="F1289" t="str">
        <f>""</f>
        <v/>
      </c>
      <c r="H1289" t="str">
        <f t="shared" si="23"/>
        <v>GUARDIAN</v>
      </c>
    </row>
    <row r="1290" spans="5:8" x14ac:dyDescent="0.25">
      <c r="E1290" t="str">
        <f>""</f>
        <v/>
      </c>
      <c r="F1290" t="str">
        <f>""</f>
        <v/>
      </c>
      <c r="H1290" t="str">
        <f t="shared" si="23"/>
        <v>GUARDIAN</v>
      </c>
    </row>
    <row r="1291" spans="5:8" x14ac:dyDescent="0.25">
      <c r="E1291" t="str">
        <f>""</f>
        <v/>
      </c>
      <c r="F1291" t="str">
        <f>""</f>
        <v/>
      </c>
      <c r="H1291" t="str">
        <f t="shared" si="23"/>
        <v>GUARDIAN</v>
      </c>
    </row>
    <row r="1292" spans="5:8" x14ac:dyDescent="0.25">
      <c r="E1292" t="str">
        <f>""</f>
        <v/>
      </c>
      <c r="F1292" t="str">
        <f>""</f>
        <v/>
      </c>
      <c r="H1292" t="str">
        <f t="shared" si="23"/>
        <v>GUARDIAN</v>
      </c>
    </row>
    <row r="1293" spans="5:8" x14ac:dyDescent="0.25">
      <c r="E1293" t="str">
        <f>""</f>
        <v/>
      </c>
      <c r="F1293" t="str">
        <f>""</f>
        <v/>
      </c>
      <c r="H1293" t="str">
        <f t="shared" si="23"/>
        <v>GUARDIAN</v>
      </c>
    </row>
    <row r="1294" spans="5:8" x14ac:dyDescent="0.25">
      <c r="E1294" t="str">
        <f>""</f>
        <v/>
      </c>
      <c r="F1294" t="str">
        <f>""</f>
        <v/>
      </c>
      <c r="H1294" t="str">
        <f t="shared" si="23"/>
        <v>GUARDIAN</v>
      </c>
    </row>
    <row r="1295" spans="5:8" x14ac:dyDescent="0.25">
      <c r="E1295" t="str">
        <f>""</f>
        <v/>
      </c>
      <c r="F1295" t="str">
        <f>""</f>
        <v/>
      </c>
      <c r="H1295" t="str">
        <f t="shared" si="23"/>
        <v>GUARDIAN</v>
      </c>
    </row>
    <row r="1296" spans="5:8" x14ac:dyDescent="0.25">
      <c r="E1296" t="str">
        <f>""</f>
        <v/>
      </c>
      <c r="F1296" t="str">
        <f>""</f>
        <v/>
      </c>
      <c r="H1296" t="str">
        <f t="shared" si="23"/>
        <v>GUARDIAN</v>
      </c>
    </row>
    <row r="1297" spans="5:8" x14ac:dyDescent="0.25">
      <c r="E1297" t="str">
        <f>""</f>
        <v/>
      </c>
      <c r="F1297" t="str">
        <f>""</f>
        <v/>
      </c>
      <c r="H1297" t="str">
        <f t="shared" ref="H1297:H1304" si="24">"GUARDIAN"</f>
        <v>GUARDIAN</v>
      </c>
    </row>
    <row r="1298" spans="5:8" x14ac:dyDescent="0.25">
      <c r="E1298" t="str">
        <f>""</f>
        <v/>
      </c>
      <c r="F1298" t="str">
        <f>""</f>
        <v/>
      </c>
      <c r="H1298" t="str">
        <f t="shared" si="24"/>
        <v>GUARDIAN</v>
      </c>
    </row>
    <row r="1299" spans="5:8" x14ac:dyDescent="0.25">
      <c r="E1299" t="str">
        <f>""</f>
        <v/>
      </c>
      <c r="F1299" t="str">
        <f>""</f>
        <v/>
      </c>
      <c r="H1299" t="str">
        <f t="shared" si="24"/>
        <v>GUARDIAN</v>
      </c>
    </row>
    <row r="1300" spans="5:8" x14ac:dyDescent="0.25">
      <c r="E1300" t="str">
        <f>""</f>
        <v/>
      </c>
      <c r="F1300" t="str">
        <f>""</f>
        <v/>
      </c>
      <c r="H1300" t="str">
        <f t="shared" si="24"/>
        <v>GUARDIAN</v>
      </c>
    </row>
    <row r="1301" spans="5:8" x14ac:dyDescent="0.25">
      <c r="E1301" t="str">
        <f>""</f>
        <v/>
      </c>
      <c r="F1301" t="str">
        <f>""</f>
        <v/>
      </c>
      <c r="H1301" t="str">
        <f t="shared" si="24"/>
        <v>GUARDIAN</v>
      </c>
    </row>
    <row r="1302" spans="5:8" x14ac:dyDescent="0.25">
      <c r="E1302" t="str">
        <f>""</f>
        <v/>
      </c>
      <c r="F1302" t="str">
        <f>""</f>
        <v/>
      </c>
      <c r="H1302" t="str">
        <f t="shared" si="24"/>
        <v>GUARDIAN</v>
      </c>
    </row>
    <row r="1303" spans="5:8" x14ac:dyDescent="0.25">
      <c r="E1303" t="str">
        <f>""</f>
        <v/>
      </c>
      <c r="F1303" t="str">
        <f>""</f>
        <v/>
      </c>
      <c r="H1303" t="str">
        <f t="shared" si="24"/>
        <v>GUARDIAN</v>
      </c>
    </row>
    <row r="1304" spans="5:8" x14ac:dyDescent="0.25">
      <c r="E1304" t="str">
        <f>""</f>
        <v/>
      </c>
      <c r="F1304" t="str">
        <f>""</f>
        <v/>
      </c>
      <c r="H1304" t="str">
        <f t="shared" si="24"/>
        <v>GUARDIAN</v>
      </c>
    </row>
    <row r="1305" spans="5:8" x14ac:dyDescent="0.25">
      <c r="E1305" t="str">
        <f>"GV1202004296628"</f>
        <v>GV1202004296628</v>
      </c>
      <c r="F1305" t="str">
        <f>"GUARDIAN VISION"</f>
        <v>GUARDIAN VISION</v>
      </c>
      <c r="G1305" s="5">
        <v>425.6</v>
      </c>
      <c r="H1305" t="str">
        <f>"GUARDIAN VISION"</f>
        <v>GUARDIAN VISION</v>
      </c>
    </row>
    <row r="1306" spans="5:8" x14ac:dyDescent="0.25">
      <c r="E1306" t="str">
        <f>"GV1202005126839"</f>
        <v>GV1202005126839</v>
      </c>
      <c r="F1306" t="str">
        <f>"GUARDIAN VISION"</f>
        <v>GUARDIAN VISION</v>
      </c>
      <c r="G1306" s="5">
        <v>425.6</v>
      </c>
      <c r="H1306" t="str">
        <f>"GUARDIAN VISION"</f>
        <v>GUARDIAN VISION</v>
      </c>
    </row>
    <row r="1307" spans="5:8" x14ac:dyDescent="0.25">
      <c r="E1307" t="str">
        <f>"GVE202004296628"</f>
        <v>GVE202004296628</v>
      </c>
      <c r="F1307" t="str">
        <f>"GUARDIAN VISION VENDOR"</f>
        <v>GUARDIAN VISION VENDOR</v>
      </c>
      <c r="G1307" s="5">
        <v>612.54</v>
      </c>
      <c r="H1307" t="str">
        <f>"GUARDIAN VISION VENDOR"</f>
        <v>GUARDIAN VISION VENDOR</v>
      </c>
    </row>
    <row r="1308" spans="5:8" x14ac:dyDescent="0.25">
      <c r="E1308" t="str">
        <f>"GVE202004296629"</f>
        <v>GVE202004296629</v>
      </c>
      <c r="F1308" t="str">
        <f>"GUARDIAN VISION VENDOR"</f>
        <v>GUARDIAN VISION VENDOR</v>
      </c>
      <c r="G1308" s="5">
        <v>33.21</v>
      </c>
      <c r="H1308" t="str">
        <f>"GUARDIAN VISION VENDOR"</f>
        <v>GUARDIAN VISION VENDOR</v>
      </c>
    </row>
    <row r="1309" spans="5:8" x14ac:dyDescent="0.25">
      <c r="E1309" t="str">
        <f>"GVE202005126839"</f>
        <v>GVE202005126839</v>
      </c>
      <c r="F1309" t="str">
        <f>"GUARDIAN VISION VENDOR"</f>
        <v>GUARDIAN VISION VENDOR</v>
      </c>
      <c r="G1309" s="5">
        <v>605.16</v>
      </c>
      <c r="H1309" t="str">
        <f>"GUARDIAN VISION VENDOR"</f>
        <v>GUARDIAN VISION VENDOR</v>
      </c>
    </row>
    <row r="1310" spans="5:8" x14ac:dyDescent="0.25">
      <c r="E1310" t="str">
        <f>"GVE202005126840"</f>
        <v>GVE202005126840</v>
      </c>
      <c r="F1310" t="str">
        <f>"GUARDIAN VISION VENDOR"</f>
        <v>GUARDIAN VISION VENDOR</v>
      </c>
      <c r="G1310" s="5">
        <v>33.21</v>
      </c>
      <c r="H1310" t="str">
        <f>"GUARDIAN VISION VENDOR"</f>
        <v>GUARDIAN VISION VENDOR</v>
      </c>
    </row>
    <row r="1311" spans="5:8" x14ac:dyDescent="0.25">
      <c r="E1311" t="str">
        <f>"GVF202004296628"</f>
        <v>GVF202004296628</v>
      </c>
      <c r="F1311" t="str">
        <f>"GUARDIAN VISION"</f>
        <v>GUARDIAN VISION</v>
      </c>
      <c r="G1311" s="5">
        <v>551.6</v>
      </c>
      <c r="H1311" t="str">
        <f>"GUARDIAN VISION"</f>
        <v>GUARDIAN VISION</v>
      </c>
    </row>
    <row r="1312" spans="5:8" x14ac:dyDescent="0.25">
      <c r="E1312" t="str">
        <f>"GVF202004296629"</f>
        <v>GVF202004296629</v>
      </c>
      <c r="F1312" t="str">
        <f>"GUARDIAN VISION VENDOR"</f>
        <v>GUARDIAN VISION VENDOR</v>
      </c>
      <c r="G1312" s="5">
        <v>39.4</v>
      </c>
      <c r="H1312" t="str">
        <f>"GUARDIAN VISION VENDOR"</f>
        <v>GUARDIAN VISION VENDOR</v>
      </c>
    </row>
    <row r="1313" spans="5:8" x14ac:dyDescent="0.25">
      <c r="E1313" t="str">
        <f>"GVF202005126839"</f>
        <v>GVF202005126839</v>
      </c>
      <c r="F1313" t="str">
        <f>"GUARDIAN VISION"</f>
        <v>GUARDIAN VISION</v>
      </c>
      <c r="G1313" s="5">
        <v>531.9</v>
      </c>
      <c r="H1313" t="str">
        <f>"GUARDIAN VISION"</f>
        <v>GUARDIAN VISION</v>
      </c>
    </row>
    <row r="1314" spans="5:8" x14ac:dyDescent="0.25">
      <c r="E1314" t="str">
        <f>"GVF202005126840"</f>
        <v>GVF202005126840</v>
      </c>
      <c r="F1314" t="str">
        <f>"GUARDIAN VISION VENDOR"</f>
        <v>GUARDIAN VISION VENDOR</v>
      </c>
      <c r="G1314" s="5">
        <v>39.4</v>
      </c>
      <c r="H1314" t="str">
        <f>"GUARDIAN VISION VENDOR"</f>
        <v>GUARDIAN VISION VENDOR</v>
      </c>
    </row>
    <row r="1315" spans="5:8" x14ac:dyDescent="0.25">
      <c r="E1315" t="str">
        <f>"LIA202004296628"</f>
        <v>LIA202004296628</v>
      </c>
      <c r="F1315" t="str">
        <f>"GUARDIAN"</f>
        <v>GUARDIAN</v>
      </c>
      <c r="G1315" s="5">
        <v>194.49</v>
      </c>
      <c r="H1315" t="str">
        <f t="shared" ref="H1315:H1346" si="25">"GUARDIAN"</f>
        <v>GUARDIAN</v>
      </c>
    </row>
    <row r="1316" spans="5:8" x14ac:dyDescent="0.25">
      <c r="E1316" t="str">
        <f>""</f>
        <v/>
      </c>
      <c r="F1316" t="str">
        <f>""</f>
        <v/>
      </c>
      <c r="H1316" t="str">
        <f t="shared" si="25"/>
        <v>GUARDIAN</v>
      </c>
    </row>
    <row r="1317" spans="5:8" x14ac:dyDescent="0.25">
      <c r="E1317" t="str">
        <f>""</f>
        <v/>
      </c>
      <c r="F1317" t="str">
        <f>""</f>
        <v/>
      </c>
      <c r="H1317" t="str">
        <f t="shared" si="25"/>
        <v>GUARDIAN</v>
      </c>
    </row>
    <row r="1318" spans="5:8" x14ac:dyDescent="0.25">
      <c r="E1318" t="str">
        <f>""</f>
        <v/>
      </c>
      <c r="F1318" t="str">
        <f>""</f>
        <v/>
      </c>
      <c r="H1318" t="str">
        <f t="shared" si="25"/>
        <v>GUARDIAN</v>
      </c>
    </row>
    <row r="1319" spans="5:8" x14ac:dyDescent="0.25">
      <c r="E1319" t="str">
        <f>""</f>
        <v/>
      </c>
      <c r="F1319" t="str">
        <f>""</f>
        <v/>
      </c>
      <c r="H1319" t="str">
        <f t="shared" si="25"/>
        <v>GUARDIAN</v>
      </c>
    </row>
    <row r="1320" spans="5:8" x14ac:dyDescent="0.25">
      <c r="E1320" t="str">
        <f>""</f>
        <v/>
      </c>
      <c r="F1320" t="str">
        <f>""</f>
        <v/>
      </c>
      <c r="H1320" t="str">
        <f t="shared" si="25"/>
        <v>GUARDIAN</v>
      </c>
    </row>
    <row r="1321" spans="5:8" x14ac:dyDescent="0.25">
      <c r="E1321" t="str">
        <f>""</f>
        <v/>
      </c>
      <c r="F1321" t="str">
        <f>""</f>
        <v/>
      </c>
      <c r="H1321" t="str">
        <f t="shared" si="25"/>
        <v>GUARDIAN</v>
      </c>
    </row>
    <row r="1322" spans="5:8" x14ac:dyDescent="0.25">
      <c r="E1322" t="str">
        <f>""</f>
        <v/>
      </c>
      <c r="F1322" t="str">
        <f>""</f>
        <v/>
      </c>
      <c r="H1322" t="str">
        <f t="shared" si="25"/>
        <v>GUARDIAN</v>
      </c>
    </row>
    <row r="1323" spans="5:8" x14ac:dyDescent="0.25">
      <c r="E1323" t="str">
        <f>""</f>
        <v/>
      </c>
      <c r="F1323" t="str">
        <f>""</f>
        <v/>
      </c>
      <c r="H1323" t="str">
        <f t="shared" si="25"/>
        <v>GUARDIAN</v>
      </c>
    </row>
    <row r="1324" spans="5:8" x14ac:dyDescent="0.25">
      <c r="E1324" t="str">
        <f>""</f>
        <v/>
      </c>
      <c r="F1324" t="str">
        <f>""</f>
        <v/>
      </c>
      <c r="H1324" t="str">
        <f t="shared" si="25"/>
        <v>GUARDIAN</v>
      </c>
    </row>
    <row r="1325" spans="5:8" x14ac:dyDescent="0.25">
      <c r="E1325" t="str">
        <f>""</f>
        <v/>
      </c>
      <c r="F1325" t="str">
        <f>""</f>
        <v/>
      </c>
      <c r="H1325" t="str">
        <f t="shared" si="25"/>
        <v>GUARDIAN</v>
      </c>
    </row>
    <row r="1326" spans="5:8" x14ac:dyDescent="0.25">
      <c r="E1326" t="str">
        <f>""</f>
        <v/>
      </c>
      <c r="F1326" t="str">
        <f>""</f>
        <v/>
      </c>
      <c r="H1326" t="str">
        <f t="shared" si="25"/>
        <v>GUARDIAN</v>
      </c>
    </row>
    <row r="1327" spans="5:8" x14ac:dyDescent="0.25">
      <c r="E1327" t="str">
        <f>""</f>
        <v/>
      </c>
      <c r="F1327" t="str">
        <f>""</f>
        <v/>
      </c>
      <c r="H1327" t="str">
        <f t="shared" si="25"/>
        <v>GUARDIAN</v>
      </c>
    </row>
    <row r="1328" spans="5:8" x14ac:dyDescent="0.25">
      <c r="E1328" t="str">
        <f>""</f>
        <v/>
      </c>
      <c r="F1328" t="str">
        <f>""</f>
        <v/>
      </c>
      <c r="H1328" t="str">
        <f t="shared" si="25"/>
        <v>GUARDIAN</v>
      </c>
    </row>
    <row r="1329" spans="5:8" x14ac:dyDescent="0.25">
      <c r="E1329" t="str">
        <f>""</f>
        <v/>
      </c>
      <c r="F1329" t="str">
        <f>""</f>
        <v/>
      </c>
      <c r="H1329" t="str">
        <f t="shared" si="25"/>
        <v>GUARDIAN</v>
      </c>
    </row>
    <row r="1330" spans="5:8" x14ac:dyDescent="0.25">
      <c r="E1330" t="str">
        <f>""</f>
        <v/>
      </c>
      <c r="F1330" t="str">
        <f>""</f>
        <v/>
      </c>
      <c r="H1330" t="str">
        <f t="shared" si="25"/>
        <v>GUARDIAN</v>
      </c>
    </row>
    <row r="1331" spans="5:8" x14ac:dyDescent="0.25">
      <c r="E1331" t="str">
        <f>""</f>
        <v/>
      </c>
      <c r="F1331" t="str">
        <f>""</f>
        <v/>
      </c>
      <c r="H1331" t="str">
        <f t="shared" si="25"/>
        <v>GUARDIAN</v>
      </c>
    </row>
    <row r="1332" spans="5:8" x14ac:dyDescent="0.25">
      <c r="E1332" t="str">
        <f>""</f>
        <v/>
      </c>
      <c r="F1332" t="str">
        <f>""</f>
        <v/>
      </c>
      <c r="H1332" t="str">
        <f t="shared" si="25"/>
        <v>GUARDIAN</v>
      </c>
    </row>
    <row r="1333" spans="5:8" x14ac:dyDescent="0.25">
      <c r="E1333" t="str">
        <f>""</f>
        <v/>
      </c>
      <c r="F1333" t="str">
        <f>""</f>
        <v/>
      </c>
      <c r="H1333" t="str">
        <f t="shared" si="25"/>
        <v>GUARDIAN</v>
      </c>
    </row>
    <row r="1334" spans="5:8" x14ac:dyDescent="0.25">
      <c r="E1334" t="str">
        <f>""</f>
        <v/>
      </c>
      <c r="F1334" t="str">
        <f>""</f>
        <v/>
      </c>
      <c r="H1334" t="str">
        <f t="shared" si="25"/>
        <v>GUARDIAN</v>
      </c>
    </row>
    <row r="1335" spans="5:8" x14ac:dyDescent="0.25">
      <c r="E1335" t="str">
        <f>""</f>
        <v/>
      </c>
      <c r="F1335" t="str">
        <f>""</f>
        <v/>
      </c>
      <c r="H1335" t="str">
        <f t="shared" si="25"/>
        <v>GUARDIAN</v>
      </c>
    </row>
    <row r="1336" spans="5:8" x14ac:dyDescent="0.25">
      <c r="E1336" t="str">
        <f>""</f>
        <v/>
      </c>
      <c r="F1336" t="str">
        <f>""</f>
        <v/>
      </c>
      <c r="H1336" t="str">
        <f t="shared" si="25"/>
        <v>GUARDIAN</v>
      </c>
    </row>
    <row r="1337" spans="5:8" x14ac:dyDescent="0.25">
      <c r="E1337" t="str">
        <f>"LIA202004296629"</f>
        <v>LIA202004296629</v>
      </c>
      <c r="F1337" t="str">
        <f>"GUARDIAN"</f>
        <v>GUARDIAN</v>
      </c>
      <c r="G1337" s="5">
        <v>40.799999999999997</v>
      </c>
      <c r="H1337" t="str">
        <f t="shared" si="25"/>
        <v>GUARDIAN</v>
      </c>
    </row>
    <row r="1338" spans="5:8" x14ac:dyDescent="0.25">
      <c r="E1338" t="str">
        <f>""</f>
        <v/>
      </c>
      <c r="F1338" t="str">
        <f>""</f>
        <v/>
      </c>
      <c r="H1338" t="str">
        <f t="shared" si="25"/>
        <v>GUARDIAN</v>
      </c>
    </row>
    <row r="1339" spans="5:8" x14ac:dyDescent="0.25">
      <c r="E1339" t="str">
        <f>"LIA202005126839"</f>
        <v>LIA202005126839</v>
      </c>
      <c r="F1339" t="str">
        <f>"GUARDIAN"</f>
        <v>GUARDIAN</v>
      </c>
      <c r="G1339" s="5">
        <v>208.2</v>
      </c>
      <c r="H1339" t="str">
        <f t="shared" si="25"/>
        <v>GUARDIAN</v>
      </c>
    </row>
    <row r="1340" spans="5:8" x14ac:dyDescent="0.25">
      <c r="E1340" t="str">
        <f>""</f>
        <v/>
      </c>
      <c r="F1340" t="str">
        <f>""</f>
        <v/>
      </c>
      <c r="H1340" t="str">
        <f t="shared" si="25"/>
        <v>GUARDIAN</v>
      </c>
    </row>
    <row r="1341" spans="5:8" x14ac:dyDescent="0.25">
      <c r="E1341" t="str">
        <f>""</f>
        <v/>
      </c>
      <c r="F1341" t="str">
        <f>""</f>
        <v/>
      </c>
      <c r="H1341" t="str">
        <f t="shared" si="25"/>
        <v>GUARDIAN</v>
      </c>
    </row>
    <row r="1342" spans="5:8" x14ac:dyDescent="0.25">
      <c r="E1342" t="str">
        <f>""</f>
        <v/>
      </c>
      <c r="F1342" t="str">
        <f>""</f>
        <v/>
      </c>
      <c r="H1342" t="str">
        <f t="shared" si="25"/>
        <v>GUARDIAN</v>
      </c>
    </row>
    <row r="1343" spans="5:8" x14ac:dyDescent="0.25">
      <c r="E1343" t="str">
        <f>""</f>
        <v/>
      </c>
      <c r="F1343" t="str">
        <f>""</f>
        <v/>
      </c>
      <c r="H1343" t="str">
        <f t="shared" si="25"/>
        <v>GUARDIAN</v>
      </c>
    </row>
    <row r="1344" spans="5:8" x14ac:dyDescent="0.25">
      <c r="E1344" t="str">
        <f>""</f>
        <v/>
      </c>
      <c r="F1344" t="str">
        <f>""</f>
        <v/>
      </c>
      <c r="H1344" t="str">
        <f t="shared" si="25"/>
        <v>GUARDIAN</v>
      </c>
    </row>
    <row r="1345" spans="5:8" x14ac:dyDescent="0.25">
      <c r="E1345" t="str">
        <f>""</f>
        <v/>
      </c>
      <c r="F1345" t="str">
        <f>""</f>
        <v/>
      </c>
      <c r="H1345" t="str">
        <f t="shared" si="25"/>
        <v>GUARDIAN</v>
      </c>
    </row>
    <row r="1346" spans="5:8" x14ac:dyDescent="0.25">
      <c r="E1346" t="str">
        <f>""</f>
        <v/>
      </c>
      <c r="F1346" t="str">
        <f>""</f>
        <v/>
      </c>
      <c r="H1346" t="str">
        <f t="shared" si="25"/>
        <v>GUARDIAN</v>
      </c>
    </row>
    <row r="1347" spans="5:8" x14ac:dyDescent="0.25">
      <c r="E1347" t="str">
        <f>""</f>
        <v/>
      </c>
      <c r="F1347" t="str">
        <f>""</f>
        <v/>
      </c>
      <c r="H1347" t="str">
        <f t="shared" ref="H1347:H1378" si="26">"GUARDIAN"</f>
        <v>GUARDIAN</v>
      </c>
    </row>
    <row r="1348" spans="5:8" x14ac:dyDescent="0.25">
      <c r="E1348" t="str">
        <f>""</f>
        <v/>
      </c>
      <c r="F1348" t="str">
        <f>""</f>
        <v/>
      </c>
      <c r="H1348" t="str">
        <f t="shared" si="26"/>
        <v>GUARDIAN</v>
      </c>
    </row>
    <row r="1349" spans="5:8" x14ac:dyDescent="0.25">
      <c r="E1349" t="str">
        <f>""</f>
        <v/>
      </c>
      <c r="F1349" t="str">
        <f>""</f>
        <v/>
      </c>
      <c r="H1349" t="str">
        <f t="shared" si="26"/>
        <v>GUARDIAN</v>
      </c>
    </row>
    <row r="1350" spans="5:8" x14ac:dyDescent="0.25">
      <c r="E1350" t="str">
        <f>""</f>
        <v/>
      </c>
      <c r="F1350" t="str">
        <f>""</f>
        <v/>
      </c>
      <c r="H1350" t="str">
        <f t="shared" si="26"/>
        <v>GUARDIAN</v>
      </c>
    </row>
    <row r="1351" spans="5:8" x14ac:dyDescent="0.25">
      <c r="E1351" t="str">
        <f>""</f>
        <v/>
      </c>
      <c r="F1351" t="str">
        <f>""</f>
        <v/>
      </c>
      <c r="H1351" t="str">
        <f t="shared" si="26"/>
        <v>GUARDIAN</v>
      </c>
    </row>
    <row r="1352" spans="5:8" x14ac:dyDescent="0.25">
      <c r="E1352" t="str">
        <f>""</f>
        <v/>
      </c>
      <c r="F1352" t="str">
        <f>""</f>
        <v/>
      </c>
      <c r="H1352" t="str">
        <f t="shared" si="26"/>
        <v>GUARDIAN</v>
      </c>
    </row>
    <row r="1353" spans="5:8" x14ac:dyDescent="0.25">
      <c r="E1353" t="str">
        <f>""</f>
        <v/>
      </c>
      <c r="F1353" t="str">
        <f>""</f>
        <v/>
      </c>
      <c r="H1353" t="str">
        <f t="shared" si="26"/>
        <v>GUARDIAN</v>
      </c>
    </row>
    <row r="1354" spans="5:8" x14ac:dyDescent="0.25">
      <c r="E1354" t="str">
        <f>""</f>
        <v/>
      </c>
      <c r="F1354" t="str">
        <f>""</f>
        <v/>
      </c>
      <c r="H1354" t="str">
        <f t="shared" si="26"/>
        <v>GUARDIAN</v>
      </c>
    </row>
    <row r="1355" spans="5:8" x14ac:dyDescent="0.25">
      <c r="E1355" t="str">
        <f>""</f>
        <v/>
      </c>
      <c r="F1355" t="str">
        <f>""</f>
        <v/>
      </c>
      <c r="H1355" t="str">
        <f t="shared" si="26"/>
        <v>GUARDIAN</v>
      </c>
    </row>
    <row r="1356" spans="5:8" x14ac:dyDescent="0.25">
      <c r="E1356" t="str">
        <f>""</f>
        <v/>
      </c>
      <c r="F1356" t="str">
        <f>""</f>
        <v/>
      </c>
      <c r="H1356" t="str">
        <f t="shared" si="26"/>
        <v>GUARDIAN</v>
      </c>
    </row>
    <row r="1357" spans="5:8" x14ac:dyDescent="0.25">
      <c r="E1357" t="str">
        <f>""</f>
        <v/>
      </c>
      <c r="F1357" t="str">
        <f>""</f>
        <v/>
      </c>
      <c r="H1357" t="str">
        <f t="shared" si="26"/>
        <v>GUARDIAN</v>
      </c>
    </row>
    <row r="1358" spans="5:8" x14ac:dyDescent="0.25">
      <c r="E1358" t="str">
        <f>""</f>
        <v/>
      </c>
      <c r="F1358" t="str">
        <f>""</f>
        <v/>
      </c>
      <c r="H1358" t="str">
        <f t="shared" si="26"/>
        <v>GUARDIAN</v>
      </c>
    </row>
    <row r="1359" spans="5:8" x14ac:dyDescent="0.25">
      <c r="E1359" t="str">
        <f>""</f>
        <v/>
      </c>
      <c r="F1359" t="str">
        <f>""</f>
        <v/>
      </c>
      <c r="H1359" t="str">
        <f t="shared" si="26"/>
        <v>GUARDIAN</v>
      </c>
    </row>
    <row r="1360" spans="5:8" x14ac:dyDescent="0.25">
      <c r="E1360" t="str">
        <f>""</f>
        <v/>
      </c>
      <c r="F1360" t="str">
        <f>""</f>
        <v/>
      </c>
      <c r="H1360" t="str">
        <f t="shared" si="26"/>
        <v>GUARDIAN</v>
      </c>
    </row>
    <row r="1361" spans="5:8" x14ac:dyDescent="0.25">
      <c r="E1361" t="str">
        <f>"LIA202005126840"</f>
        <v>LIA202005126840</v>
      </c>
      <c r="F1361" t="str">
        <f>"GUARDIAN"</f>
        <v>GUARDIAN</v>
      </c>
      <c r="G1361" s="5">
        <v>40.799999999999997</v>
      </c>
      <c r="H1361" t="str">
        <f t="shared" si="26"/>
        <v>GUARDIAN</v>
      </c>
    </row>
    <row r="1362" spans="5:8" x14ac:dyDescent="0.25">
      <c r="E1362" t="str">
        <f>""</f>
        <v/>
      </c>
      <c r="F1362" t="str">
        <f>""</f>
        <v/>
      </c>
      <c r="H1362" t="str">
        <f t="shared" si="26"/>
        <v>GUARDIAN</v>
      </c>
    </row>
    <row r="1363" spans="5:8" x14ac:dyDescent="0.25">
      <c r="E1363" t="str">
        <f>"LIC202004296628"</f>
        <v>LIC202004296628</v>
      </c>
      <c r="F1363" t="str">
        <f>"GUARDIAN"</f>
        <v>GUARDIAN</v>
      </c>
      <c r="G1363" s="5">
        <v>32.57</v>
      </c>
      <c r="H1363" t="str">
        <f t="shared" si="26"/>
        <v>GUARDIAN</v>
      </c>
    </row>
    <row r="1364" spans="5:8" x14ac:dyDescent="0.25">
      <c r="E1364" t="str">
        <f>"LIC202004296629"</f>
        <v>LIC202004296629</v>
      </c>
      <c r="F1364" t="str">
        <f>"GUARDIAN"</f>
        <v>GUARDIAN</v>
      </c>
      <c r="G1364" s="5">
        <v>1.05</v>
      </c>
      <c r="H1364" t="str">
        <f t="shared" si="26"/>
        <v>GUARDIAN</v>
      </c>
    </row>
    <row r="1365" spans="5:8" x14ac:dyDescent="0.25">
      <c r="E1365" t="str">
        <f>"LIC202005126839"</f>
        <v>LIC202005126839</v>
      </c>
      <c r="F1365" t="str">
        <f>"GUARDIAN"</f>
        <v>GUARDIAN</v>
      </c>
      <c r="G1365" s="5">
        <v>31.17</v>
      </c>
      <c r="H1365" t="str">
        <f t="shared" si="26"/>
        <v>GUARDIAN</v>
      </c>
    </row>
    <row r="1366" spans="5:8" x14ac:dyDescent="0.25">
      <c r="E1366" t="str">
        <f>"LIC202005126840"</f>
        <v>LIC202005126840</v>
      </c>
      <c r="F1366" t="str">
        <f>"GUARDIAN"</f>
        <v>GUARDIAN</v>
      </c>
      <c r="G1366" s="5">
        <v>1.05</v>
      </c>
      <c r="H1366" t="str">
        <f t="shared" si="26"/>
        <v>GUARDIAN</v>
      </c>
    </row>
    <row r="1367" spans="5:8" x14ac:dyDescent="0.25">
      <c r="E1367" t="str">
        <f>"LIE202004296628"</f>
        <v>LIE202004296628</v>
      </c>
      <c r="F1367" t="str">
        <f>"GUARDIAN"</f>
        <v>GUARDIAN</v>
      </c>
      <c r="G1367" s="5">
        <v>3702.2</v>
      </c>
      <c r="H1367" t="str">
        <f t="shared" si="26"/>
        <v>GUARDIAN</v>
      </c>
    </row>
    <row r="1368" spans="5:8" x14ac:dyDescent="0.25">
      <c r="E1368" t="str">
        <f>""</f>
        <v/>
      </c>
      <c r="F1368" t="str">
        <f>""</f>
        <v/>
      </c>
      <c r="H1368" t="str">
        <f t="shared" si="26"/>
        <v>GUARDIAN</v>
      </c>
    </row>
    <row r="1369" spans="5:8" x14ac:dyDescent="0.25">
      <c r="E1369" t="str">
        <f>""</f>
        <v/>
      </c>
      <c r="F1369" t="str">
        <f>""</f>
        <v/>
      </c>
      <c r="H1369" t="str">
        <f t="shared" si="26"/>
        <v>GUARDIAN</v>
      </c>
    </row>
    <row r="1370" spans="5:8" x14ac:dyDescent="0.25">
      <c r="E1370" t="str">
        <f>""</f>
        <v/>
      </c>
      <c r="F1370" t="str">
        <f>""</f>
        <v/>
      </c>
      <c r="H1370" t="str">
        <f t="shared" si="26"/>
        <v>GUARDIAN</v>
      </c>
    </row>
    <row r="1371" spans="5:8" x14ac:dyDescent="0.25">
      <c r="E1371" t="str">
        <f>""</f>
        <v/>
      </c>
      <c r="F1371" t="str">
        <f>""</f>
        <v/>
      </c>
      <c r="H1371" t="str">
        <f t="shared" si="26"/>
        <v>GUARDIAN</v>
      </c>
    </row>
    <row r="1372" spans="5:8" x14ac:dyDescent="0.25">
      <c r="E1372" t="str">
        <f>""</f>
        <v/>
      </c>
      <c r="F1372" t="str">
        <f>""</f>
        <v/>
      </c>
      <c r="H1372" t="str">
        <f t="shared" si="26"/>
        <v>GUARDIAN</v>
      </c>
    </row>
    <row r="1373" spans="5:8" x14ac:dyDescent="0.25">
      <c r="E1373" t="str">
        <f>""</f>
        <v/>
      </c>
      <c r="F1373" t="str">
        <f>""</f>
        <v/>
      </c>
      <c r="H1373" t="str">
        <f t="shared" si="26"/>
        <v>GUARDIAN</v>
      </c>
    </row>
    <row r="1374" spans="5:8" x14ac:dyDescent="0.25">
      <c r="E1374" t="str">
        <f>""</f>
        <v/>
      </c>
      <c r="F1374" t="str">
        <f>""</f>
        <v/>
      </c>
      <c r="H1374" t="str">
        <f t="shared" si="26"/>
        <v>GUARDIAN</v>
      </c>
    </row>
    <row r="1375" spans="5:8" x14ac:dyDescent="0.25">
      <c r="E1375" t="str">
        <f>""</f>
        <v/>
      </c>
      <c r="F1375" t="str">
        <f>""</f>
        <v/>
      </c>
      <c r="H1375" t="str">
        <f t="shared" si="26"/>
        <v>GUARDIAN</v>
      </c>
    </row>
    <row r="1376" spans="5:8" x14ac:dyDescent="0.25">
      <c r="E1376" t="str">
        <f>""</f>
        <v/>
      </c>
      <c r="F1376" t="str">
        <f>""</f>
        <v/>
      </c>
      <c r="H1376" t="str">
        <f t="shared" si="26"/>
        <v>GUARDIAN</v>
      </c>
    </row>
    <row r="1377" spans="5:8" x14ac:dyDescent="0.25">
      <c r="E1377" t="str">
        <f>""</f>
        <v/>
      </c>
      <c r="F1377" t="str">
        <f>""</f>
        <v/>
      </c>
      <c r="H1377" t="str">
        <f t="shared" si="26"/>
        <v>GUARDIAN</v>
      </c>
    </row>
    <row r="1378" spans="5:8" x14ac:dyDescent="0.25">
      <c r="E1378" t="str">
        <f>""</f>
        <v/>
      </c>
      <c r="F1378" t="str">
        <f>""</f>
        <v/>
      </c>
      <c r="H1378" t="str">
        <f t="shared" si="26"/>
        <v>GUARDIAN</v>
      </c>
    </row>
    <row r="1379" spans="5:8" x14ac:dyDescent="0.25">
      <c r="E1379" t="str">
        <f>""</f>
        <v/>
      </c>
      <c r="F1379" t="str">
        <f>""</f>
        <v/>
      </c>
      <c r="H1379" t="str">
        <f t="shared" ref="H1379:H1410" si="27">"GUARDIAN"</f>
        <v>GUARDIAN</v>
      </c>
    </row>
    <row r="1380" spans="5:8" x14ac:dyDescent="0.25">
      <c r="E1380" t="str">
        <f>""</f>
        <v/>
      </c>
      <c r="F1380" t="str">
        <f>""</f>
        <v/>
      </c>
      <c r="H1380" t="str">
        <f t="shared" si="27"/>
        <v>GUARDIAN</v>
      </c>
    </row>
    <row r="1381" spans="5:8" x14ac:dyDescent="0.25">
      <c r="E1381" t="str">
        <f>""</f>
        <v/>
      </c>
      <c r="F1381" t="str">
        <f>""</f>
        <v/>
      </c>
      <c r="H1381" t="str">
        <f t="shared" si="27"/>
        <v>GUARDIAN</v>
      </c>
    </row>
    <row r="1382" spans="5:8" x14ac:dyDescent="0.25">
      <c r="E1382" t="str">
        <f>""</f>
        <v/>
      </c>
      <c r="F1382" t="str">
        <f>""</f>
        <v/>
      </c>
      <c r="H1382" t="str">
        <f t="shared" si="27"/>
        <v>GUARDIAN</v>
      </c>
    </row>
    <row r="1383" spans="5:8" x14ac:dyDescent="0.25">
      <c r="E1383" t="str">
        <f>""</f>
        <v/>
      </c>
      <c r="F1383" t="str">
        <f>""</f>
        <v/>
      </c>
      <c r="H1383" t="str">
        <f t="shared" si="27"/>
        <v>GUARDIAN</v>
      </c>
    </row>
    <row r="1384" spans="5:8" x14ac:dyDescent="0.25">
      <c r="E1384" t="str">
        <f>""</f>
        <v/>
      </c>
      <c r="F1384" t="str">
        <f>""</f>
        <v/>
      </c>
      <c r="H1384" t="str">
        <f t="shared" si="27"/>
        <v>GUARDIAN</v>
      </c>
    </row>
    <row r="1385" spans="5:8" x14ac:dyDescent="0.25">
      <c r="E1385" t="str">
        <f>""</f>
        <v/>
      </c>
      <c r="F1385" t="str">
        <f>""</f>
        <v/>
      </c>
      <c r="H1385" t="str">
        <f t="shared" si="27"/>
        <v>GUARDIAN</v>
      </c>
    </row>
    <row r="1386" spans="5:8" x14ac:dyDescent="0.25">
      <c r="E1386" t="str">
        <f>""</f>
        <v/>
      </c>
      <c r="F1386" t="str">
        <f>""</f>
        <v/>
      </c>
      <c r="H1386" t="str">
        <f t="shared" si="27"/>
        <v>GUARDIAN</v>
      </c>
    </row>
    <row r="1387" spans="5:8" x14ac:dyDescent="0.25">
      <c r="E1387" t="str">
        <f>""</f>
        <v/>
      </c>
      <c r="F1387" t="str">
        <f>""</f>
        <v/>
      </c>
      <c r="H1387" t="str">
        <f t="shared" si="27"/>
        <v>GUARDIAN</v>
      </c>
    </row>
    <row r="1388" spans="5:8" x14ac:dyDescent="0.25">
      <c r="E1388" t="str">
        <f>""</f>
        <v/>
      </c>
      <c r="F1388" t="str">
        <f>""</f>
        <v/>
      </c>
      <c r="H1388" t="str">
        <f t="shared" si="27"/>
        <v>GUARDIAN</v>
      </c>
    </row>
    <row r="1389" spans="5:8" x14ac:dyDescent="0.25">
      <c r="E1389" t="str">
        <f>""</f>
        <v/>
      </c>
      <c r="F1389" t="str">
        <f>""</f>
        <v/>
      </c>
      <c r="H1389" t="str">
        <f t="shared" si="27"/>
        <v>GUARDIAN</v>
      </c>
    </row>
    <row r="1390" spans="5:8" x14ac:dyDescent="0.25">
      <c r="E1390" t="str">
        <f>""</f>
        <v/>
      </c>
      <c r="F1390" t="str">
        <f>""</f>
        <v/>
      </c>
      <c r="H1390" t="str">
        <f t="shared" si="27"/>
        <v>GUARDIAN</v>
      </c>
    </row>
    <row r="1391" spans="5:8" x14ac:dyDescent="0.25">
      <c r="E1391" t="str">
        <f>""</f>
        <v/>
      </c>
      <c r="F1391" t="str">
        <f>""</f>
        <v/>
      </c>
      <c r="H1391" t="str">
        <f t="shared" si="27"/>
        <v>GUARDIAN</v>
      </c>
    </row>
    <row r="1392" spans="5:8" x14ac:dyDescent="0.25">
      <c r="E1392" t="str">
        <f>""</f>
        <v/>
      </c>
      <c r="F1392" t="str">
        <f>""</f>
        <v/>
      </c>
      <c r="H1392" t="str">
        <f t="shared" si="27"/>
        <v>GUARDIAN</v>
      </c>
    </row>
    <row r="1393" spans="5:8" x14ac:dyDescent="0.25">
      <c r="E1393" t="str">
        <f>""</f>
        <v/>
      </c>
      <c r="F1393" t="str">
        <f>""</f>
        <v/>
      </c>
      <c r="H1393" t="str">
        <f t="shared" si="27"/>
        <v>GUARDIAN</v>
      </c>
    </row>
    <row r="1394" spans="5:8" x14ac:dyDescent="0.25">
      <c r="E1394" t="str">
        <f>""</f>
        <v/>
      </c>
      <c r="F1394" t="str">
        <f>""</f>
        <v/>
      </c>
      <c r="H1394" t="str">
        <f t="shared" si="27"/>
        <v>GUARDIAN</v>
      </c>
    </row>
    <row r="1395" spans="5:8" x14ac:dyDescent="0.25">
      <c r="E1395" t="str">
        <f>""</f>
        <v/>
      </c>
      <c r="F1395" t="str">
        <f>""</f>
        <v/>
      </c>
      <c r="H1395" t="str">
        <f t="shared" si="27"/>
        <v>GUARDIAN</v>
      </c>
    </row>
    <row r="1396" spans="5:8" x14ac:dyDescent="0.25">
      <c r="E1396" t="str">
        <f>""</f>
        <v/>
      </c>
      <c r="F1396" t="str">
        <f>""</f>
        <v/>
      </c>
      <c r="H1396" t="str">
        <f t="shared" si="27"/>
        <v>GUARDIAN</v>
      </c>
    </row>
    <row r="1397" spans="5:8" x14ac:dyDescent="0.25">
      <c r="E1397" t="str">
        <f>""</f>
        <v/>
      </c>
      <c r="F1397" t="str">
        <f>""</f>
        <v/>
      </c>
      <c r="H1397" t="str">
        <f t="shared" si="27"/>
        <v>GUARDIAN</v>
      </c>
    </row>
    <row r="1398" spans="5:8" x14ac:dyDescent="0.25">
      <c r="E1398" t="str">
        <f>""</f>
        <v/>
      </c>
      <c r="F1398" t="str">
        <f>""</f>
        <v/>
      </c>
      <c r="H1398" t="str">
        <f t="shared" si="27"/>
        <v>GUARDIAN</v>
      </c>
    </row>
    <row r="1399" spans="5:8" x14ac:dyDescent="0.25">
      <c r="E1399" t="str">
        <f>""</f>
        <v/>
      </c>
      <c r="F1399" t="str">
        <f>""</f>
        <v/>
      </c>
      <c r="H1399" t="str">
        <f t="shared" si="27"/>
        <v>GUARDIAN</v>
      </c>
    </row>
    <row r="1400" spans="5:8" x14ac:dyDescent="0.25">
      <c r="E1400" t="str">
        <f>""</f>
        <v/>
      </c>
      <c r="F1400" t="str">
        <f>""</f>
        <v/>
      </c>
      <c r="H1400" t="str">
        <f t="shared" si="27"/>
        <v>GUARDIAN</v>
      </c>
    </row>
    <row r="1401" spans="5:8" x14ac:dyDescent="0.25">
      <c r="E1401" t="str">
        <f>""</f>
        <v/>
      </c>
      <c r="F1401" t="str">
        <f>""</f>
        <v/>
      </c>
      <c r="H1401" t="str">
        <f t="shared" si="27"/>
        <v>GUARDIAN</v>
      </c>
    </row>
    <row r="1402" spans="5:8" x14ac:dyDescent="0.25">
      <c r="E1402" t="str">
        <f>""</f>
        <v/>
      </c>
      <c r="F1402" t="str">
        <f>""</f>
        <v/>
      </c>
      <c r="H1402" t="str">
        <f t="shared" si="27"/>
        <v>GUARDIAN</v>
      </c>
    </row>
    <row r="1403" spans="5:8" x14ac:dyDescent="0.25">
      <c r="E1403" t="str">
        <f>""</f>
        <v/>
      </c>
      <c r="F1403" t="str">
        <f>""</f>
        <v/>
      </c>
      <c r="H1403" t="str">
        <f t="shared" si="27"/>
        <v>GUARDIAN</v>
      </c>
    </row>
    <row r="1404" spans="5:8" x14ac:dyDescent="0.25">
      <c r="E1404" t="str">
        <f>""</f>
        <v/>
      </c>
      <c r="F1404" t="str">
        <f>""</f>
        <v/>
      </c>
      <c r="H1404" t="str">
        <f t="shared" si="27"/>
        <v>GUARDIAN</v>
      </c>
    </row>
    <row r="1405" spans="5:8" x14ac:dyDescent="0.25">
      <c r="E1405" t="str">
        <f>""</f>
        <v/>
      </c>
      <c r="F1405" t="str">
        <f>""</f>
        <v/>
      </c>
      <c r="H1405" t="str">
        <f t="shared" si="27"/>
        <v>GUARDIAN</v>
      </c>
    </row>
    <row r="1406" spans="5:8" x14ac:dyDescent="0.25">
      <c r="E1406" t="str">
        <f>""</f>
        <v/>
      </c>
      <c r="F1406" t="str">
        <f>""</f>
        <v/>
      </c>
      <c r="H1406" t="str">
        <f t="shared" si="27"/>
        <v>GUARDIAN</v>
      </c>
    </row>
    <row r="1407" spans="5:8" x14ac:dyDescent="0.25">
      <c r="E1407" t="str">
        <f>""</f>
        <v/>
      </c>
      <c r="F1407" t="str">
        <f>""</f>
        <v/>
      </c>
      <c r="H1407" t="str">
        <f t="shared" si="27"/>
        <v>GUARDIAN</v>
      </c>
    </row>
    <row r="1408" spans="5:8" x14ac:dyDescent="0.25">
      <c r="E1408" t="str">
        <f>""</f>
        <v/>
      </c>
      <c r="F1408" t="str">
        <f>""</f>
        <v/>
      </c>
      <c r="H1408" t="str">
        <f t="shared" si="27"/>
        <v>GUARDIAN</v>
      </c>
    </row>
    <row r="1409" spans="5:8" x14ac:dyDescent="0.25">
      <c r="E1409" t="str">
        <f>""</f>
        <v/>
      </c>
      <c r="F1409" t="str">
        <f>""</f>
        <v/>
      </c>
      <c r="H1409" t="str">
        <f t="shared" si="27"/>
        <v>GUARDIAN</v>
      </c>
    </row>
    <row r="1410" spans="5:8" x14ac:dyDescent="0.25">
      <c r="E1410" t="str">
        <f>""</f>
        <v/>
      </c>
      <c r="F1410" t="str">
        <f>""</f>
        <v/>
      </c>
      <c r="H1410" t="str">
        <f t="shared" si="27"/>
        <v>GUARDIAN</v>
      </c>
    </row>
    <row r="1411" spans="5:8" x14ac:dyDescent="0.25">
      <c r="E1411" t="str">
        <f>""</f>
        <v/>
      </c>
      <c r="F1411" t="str">
        <f>""</f>
        <v/>
      </c>
      <c r="H1411" t="str">
        <f t="shared" ref="H1411:H1442" si="28">"GUARDIAN"</f>
        <v>GUARDIAN</v>
      </c>
    </row>
    <row r="1412" spans="5:8" x14ac:dyDescent="0.25">
      <c r="E1412" t="str">
        <f>""</f>
        <v/>
      </c>
      <c r="F1412" t="str">
        <f>""</f>
        <v/>
      </c>
      <c r="H1412" t="str">
        <f t="shared" si="28"/>
        <v>GUARDIAN</v>
      </c>
    </row>
    <row r="1413" spans="5:8" x14ac:dyDescent="0.25">
      <c r="E1413" t="str">
        <f>""</f>
        <v/>
      </c>
      <c r="F1413" t="str">
        <f>""</f>
        <v/>
      </c>
      <c r="H1413" t="str">
        <f t="shared" si="28"/>
        <v>GUARDIAN</v>
      </c>
    </row>
    <row r="1414" spans="5:8" x14ac:dyDescent="0.25">
      <c r="E1414" t="str">
        <f>""</f>
        <v/>
      </c>
      <c r="F1414" t="str">
        <f>""</f>
        <v/>
      </c>
      <c r="H1414" t="str">
        <f t="shared" si="28"/>
        <v>GUARDIAN</v>
      </c>
    </row>
    <row r="1415" spans="5:8" x14ac:dyDescent="0.25">
      <c r="E1415" t="str">
        <f>""</f>
        <v/>
      </c>
      <c r="F1415" t="str">
        <f>""</f>
        <v/>
      </c>
      <c r="H1415" t="str">
        <f t="shared" si="28"/>
        <v>GUARDIAN</v>
      </c>
    </row>
    <row r="1416" spans="5:8" x14ac:dyDescent="0.25">
      <c r="E1416" t="str">
        <f>""</f>
        <v/>
      </c>
      <c r="F1416" t="str">
        <f>""</f>
        <v/>
      </c>
      <c r="H1416" t="str">
        <f t="shared" si="28"/>
        <v>GUARDIAN</v>
      </c>
    </row>
    <row r="1417" spans="5:8" x14ac:dyDescent="0.25">
      <c r="E1417" t="str">
        <f>""</f>
        <v/>
      </c>
      <c r="F1417" t="str">
        <f>""</f>
        <v/>
      </c>
      <c r="H1417" t="str">
        <f t="shared" si="28"/>
        <v>GUARDIAN</v>
      </c>
    </row>
    <row r="1418" spans="5:8" x14ac:dyDescent="0.25">
      <c r="E1418" t="str">
        <f>"LIE202004296629"</f>
        <v>LIE202004296629</v>
      </c>
      <c r="F1418" t="str">
        <f>"GUARDIAN"</f>
        <v>GUARDIAN</v>
      </c>
      <c r="G1418" s="5">
        <v>90.2</v>
      </c>
      <c r="H1418" t="str">
        <f t="shared" si="28"/>
        <v>GUARDIAN</v>
      </c>
    </row>
    <row r="1419" spans="5:8" x14ac:dyDescent="0.25">
      <c r="E1419" t="str">
        <f>""</f>
        <v/>
      </c>
      <c r="F1419" t="str">
        <f>""</f>
        <v/>
      </c>
      <c r="H1419" t="str">
        <f t="shared" si="28"/>
        <v>GUARDIAN</v>
      </c>
    </row>
    <row r="1420" spans="5:8" x14ac:dyDescent="0.25">
      <c r="E1420" t="str">
        <f>"LIE202005126839"</f>
        <v>LIE202005126839</v>
      </c>
      <c r="F1420" t="str">
        <f>"GUARDIAN"</f>
        <v>GUARDIAN</v>
      </c>
      <c r="G1420" s="5">
        <v>3646.5</v>
      </c>
      <c r="H1420" t="str">
        <f t="shared" si="28"/>
        <v>GUARDIAN</v>
      </c>
    </row>
    <row r="1421" spans="5:8" x14ac:dyDescent="0.25">
      <c r="E1421" t="str">
        <f>""</f>
        <v/>
      </c>
      <c r="F1421" t="str">
        <f>""</f>
        <v/>
      </c>
      <c r="H1421" t="str">
        <f t="shared" si="28"/>
        <v>GUARDIAN</v>
      </c>
    </row>
    <row r="1422" spans="5:8" x14ac:dyDescent="0.25">
      <c r="E1422" t="str">
        <f>""</f>
        <v/>
      </c>
      <c r="F1422" t="str">
        <f>""</f>
        <v/>
      </c>
      <c r="H1422" t="str">
        <f t="shared" si="28"/>
        <v>GUARDIAN</v>
      </c>
    </row>
    <row r="1423" spans="5:8" x14ac:dyDescent="0.25">
      <c r="E1423" t="str">
        <f>""</f>
        <v/>
      </c>
      <c r="F1423" t="str">
        <f>""</f>
        <v/>
      </c>
      <c r="H1423" t="str">
        <f t="shared" si="28"/>
        <v>GUARDIAN</v>
      </c>
    </row>
    <row r="1424" spans="5:8" x14ac:dyDescent="0.25">
      <c r="E1424" t="str">
        <f>""</f>
        <v/>
      </c>
      <c r="F1424" t="str">
        <f>""</f>
        <v/>
      </c>
      <c r="H1424" t="str">
        <f t="shared" si="28"/>
        <v>GUARDIAN</v>
      </c>
    </row>
    <row r="1425" spans="5:8" x14ac:dyDescent="0.25">
      <c r="E1425" t="str">
        <f>""</f>
        <v/>
      </c>
      <c r="F1425" t="str">
        <f>""</f>
        <v/>
      </c>
      <c r="H1425" t="str">
        <f t="shared" si="28"/>
        <v>GUARDIAN</v>
      </c>
    </row>
    <row r="1426" spans="5:8" x14ac:dyDescent="0.25">
      <c r="E1426" t="str">
        <f>""</f>
        <v/>
      </c>
      <c r="F1426" t="str">
        <f>""</f>
        <v/>
      </c>
      <c r="H1426" t="str">
        <f t="shared" si="28"/>
        <v>GUARDIAN</v>
      </c>
    </row>
    <row r="1427" spans="5:8" x14ac:dyDescent="0.25">
      <c r="E1427" t="str">
        <f>""</f>
        <v/>
      </c>
      <c r="F1427" t="str">
        <f>""</f>
        <v/>
      </c>
      <c r="H1427" t="str">
        <f t="shared" si="28"/>
        <v>GUARDIAN</v>
      </c>
    </row>
    <row r="1428" spans="5:8" x14ac:dyDescent="0.25">
      <c r="E1428" t="str">
        <f>""</f>
        <v/>
      </c>
      <c r="F1428" t="str">
        <f>""</f>
        <v/>
      </c>
      <c r="H1428" t="str">
        <f t="shared" si="28"/>
        <v>GUARDIAN</v>
      </c>
    </row>
    <row r="1429" spans="5:8" x14ac:dyDescent="0.25">
      <c r="E1429" t="str">
        <f>""</f>
        <v/>
      </c>
      <c r="F1429" t="str">
        <f>""</f>
        <v/>
      </c>
      <c r="H1429" t="str">
        <f t="shared" si="28"/>
        <v>GUARDIAN</v>
      </c>
    </row>
    <row r="1430" spans="5:8" x14ac:dyDescent="0.25">
      <c r="E1430" t="str">
        <f>""</f>
        <v/>
      </c>
      <c r="F1430" t="str">
        <f>""</f>
        <v/>
      </c>
      <c r="H1430" t="str">
        <f t="shared" si="28"/>
        <v>GUARDIAN</v>
      </c>
    </row>
    <row r="1431" spans="5:8" x14ac:dyDescent="0.25">
      <c r="E1431" t="str">
        <f>""</f>
        <v/>
      </c>
      <c r="F1431" t="str">
        <f>""</f>
        <v/>
      </c>
      <c r="H1431" t="str">
        <f t="shared" si="28"/>
        <v>GUARDIAN</v>
      </c>
    </row>
    <row r="1432" spans="5:8" x14ac:dyDescent="0.25">
      <c r="E1432" t="str">
        <f>""</f>
        <v/>
      </c>
      <c r="F1432" t="str">
        <f>""</f>
        <v/>
      </c>
      <c r="H1432" t="str">
        <f t="shared" si="28"/>
        <v>GUARDIAN</v>
      </c>
    </row>
    <row r="1433" spans="5:8" x14ac:dyDescent="0.25">
      <c r="E1433" t="str">
        <f>""</f>
        <v/>
      </c>
      <c r="F1433" t="str">
        <f>""</f>
        <v/>
      </c>
      <c r="H1433" t="str">
        <f t="shared" si="28"/>
        <v>GUARDIAN</v>
      </c>
    </row>
    <row r="1434" spans="5:8" x14ac:dyDescent="0.25">
      <c r="E1434" t="str">
        <f>""</f>
        <v/>
      </c>
      <c r="F1434" t="str">
        <f>""</f>
        <v/>
      </c>
      <c r="H1434" t="str">
        <f t="shared" si="28"/>
        <v>GUARDIAN</v>
      </c>
    </row>
    <row r="1435" spans="5:8" x14ac:dyDescent="0.25">
      <c r="E1435" t="str">
        <f>""</f>
        <v/>
      </c>
      <c r="F1435" t="str">
        <f>""</f>
        <v/>
      </c>
      <c r="H1435" t="str">
        <f t="shared" si="28"/>
        <v>GUARDIAN</v>
      </c>
    </row>
    <row r="1436" spans="5:8" x14ac:dyDescent="0.25">
      <c r="E1436" t="str">
        <f>""</f>
        <v/>
      </c>
      <c r="F1436" t="str">
        <f>""</f>
        <v/>
      </c>
      <c r="H1436" t="str">
        <f t="shared" si="28"/>
        <v>GUARDIAN</v>
      </c>
    </row>
    <row r="1437" spans="5:8" x14ac:dyDescent="0.25">
      <c r="E1437" t="str">
        <f>""</f>
        <v/>
      </c>
      <c r="F1437" t="str">
        <f>""</f>
        <v/>
      </c>
      <c r="H1437" t="str">
        <f t="shared" si="28"/>
        <v>GUARDIAN</v>
      </c>
    </row>
    <row r="1438" spans="5:8" x14ac:dyDescent="0.25">
      <c r="E1438" t="str">
        <f>""</f>
        <v/>
      </c>
      <c r="F1438" t="str">
        <f>""</f>
        <v/>
      </c>
      <c r="H1438" t="str">
        <f t="shared" si="28"/>
        <v>GUARDIAN</v>
      </c>
    </row>
    <row r="1439" spans="5:8" x14ac:dyDescent="0.25">
      <c r="E1439" t="str">
        <f>""</f>
        <v/>
      </c>
      <c r="F1439" t="str">
        <f>""</f>
        <v/>
      </c>
      <c r="H1439" t="str">
        <f t="shared" si="28"/>
        <v>GUARDIAN</v>
      </c>
    </row>
    <row r="1440" spans="5:8" x14ac:dyDescent="0.25">
      <c r="E1440" t="str">
        <f>""</f>
        <v/>
      </c>
      <c r="F1440" t="str">
        <f>""</f>
        <v/>
      </c>
      <c r="H1440" t="str">
        <f t="shared" si="28"/>
        <v>GUARDIAN</v>
      </c>
    </row>
    <row r="1441" spans="5:8" x14ac:dyDescent="0.25">
      <c r="E1441" t="str">
        <f>""</f>
        <v/>
      </c>
      <c r="F1441" t="str">
        <f>""</f>
        <v/>
      </c>
      <c r="H1441" t="str">
        <f t="shared" si="28"/>
        <v>GUARDIAN</v>
      </c>
    </row>
    <row r="1442" spans="5:8" x14ac:dyDescent="0.25">
      <c r="E1442" t="str">
        <f>""</f>
        <v/>
      </c>
      <c r="F1442" t="str">
        <f>""</f>
        <v/>
      </c>
      <c r="H1442" t="str">
        <f t="shared" si="28"/>
        <v>GUARDIAN</v>
      </c>
    </row>
    <row r="1443" spans="5:8" x14ac:dyDescent="0.25">
      <c r="E1443" t="str">
        <f>""</f>
        <v/>
      </c>
      <c r="F1443" t="str">
        <f>""</f>
        <v/>
      </c>
      <c r="H1443" t="str">
        <f t="shared" ref="H1443:H1474" si="29">"GUARDIAN"</f>
        <v>GUARDIAN</v>
      </c>
    </row>
    <row r="1444" spans="5:8" x14ac:dyDescent="0.25">
      <c r="E1444" t="str">
        <f>""</f>
        <v/>
      </c>
      <c r="F1444" t="str">
        <f>""</f>
        <v/>
      </c>
      <c r="H1444" t="str">
        <f t="shared" si="29"/>
        <v>GUARDIAN</v>
      </c>
    </row>
    <row r="1445" spans="5:8" x14ac:dyDescent="0.25">
      <c r="E1445" t="str">
        <f>""</f>
        <v/>
      </c>
      <c r="F1445" t="str">
        <f>""</f>
        <v/>
      </c>
      <c r="H1445" t="str">
        <f t="shared" si="29"/>
        <v>GUARDIAN</v>
      </c>
    </row>
    <row r="1446" spans="5:8" x14ac:dyDescent="0.25">
      <c r="E1446" t="str">
        <f>""</f>
        <v/>
      </c>
      <c r="F1446" t="str">
        <f>""</f>
        <v/>
      </c>
      <c r="H1446" t="str">
        <f t="shared" si="29"/>
        <v>GUARDIAN</v>
      </c>
    </row>
    <row r="1447" spans="5:8" x14ac:dyDescent="0.25">
      <c r="E1447" t="str">
        <f>""</f>
        <v/>
      </c>
      <c r="F1447" t="str">
        <f>""</f>
        <v/>
      </c>
      <c r="H1447" t="str">
        <f t="shared" si="29"/>
        <v>GUARDIAN</v>
      </c>
    </row>
    <row r="1448" spans="5:8" x14ac:dyDescent="0.25">
      <c r="E1448" t="str">
        <f>""</f>
        <v/>
      </c>
      <c r="F1448" t="str">
        <f>""</f>
        <v/>
      </c>
      <c r="H1448" t="str">
        <f t="shared" si="29"/>
        <v>GUARDIAN</v>
      </c>
    </row>
    <row r="1449" spans="5:8" x14ac:dyDescent="0.25">
      <c r="E1449" t="str">
        <f>""</f>
        <v/>
      </c>
      <c r="F1449" t="str">
        <f>""</f>
        <v/>
      </c>
      <c r="H1449" t="str">
        <f t="shared" si="29"/>
        <v>GUARDIAN</v>
      </c>
    </row>
    <row r="1450" spans="5:8" x14ac:dyDescent="0.25">
      <c r="E1450" t="str">
        <f>""</f>
        <v/>
      </c>
      <c r="F1450" t="str">
        <f>""</f>
        <v/>
      </c>
      <c r="H1450" t="str">
        <f t="shared" si="29"/>
        <v>GUARDIAN</v>
      </c>
    </row>
    <row r="1451" spans="5:8" x14ac:dyDescent="0.25">
      <c r="E1451" t="str">
        <f>""</f>
        <v/>
      </c>
      <c r="F1451" t="str">
        <f>""</f>
        <v/>
      </c>
      <c r="H1451" t="str">
        <f t="shared" si="29"/>
        <v>GUARDIAN</v>
      </c>
    </row>
    <row r="1452" spans="5:8" x14ac:dyDescent="0.25">
      <c r="E1452" t="str">
        <f>""</f>
        <v/>
      </c>
      <c r="F1452" t="str">
        <f>""</f>
        <v/>
      </c>
      <c r="H1452" t="str">
        <f t="shared" si="29"/>
        <v>GUARDIAN</v>
      </c>
    </row>
    <row r="1453" spans="5:8" x14ac:dyDescent="0.25">
      <c r="E1453" t="str">
        <f>""</f>
        <v/>
      </c>
      <c r="F1453" t="str">
        <f>""</f>
        <v/>
      </c>
      <c r="H1453" t="str">
        <f t="shared" si="29"/>
        <v>GUARDIAN</v>
      </c>
    </row>
    <row r="1454" spans="5:8" x14ac:dyDescent="0.25">
      <c r="E1454" t="str">
        <f>""</f>
        <v/>
      </c>
      <c r="F1454" t="str">
        <f>""</f>
        <v/>
      </c>
      <c r="H1454" t="str">
        <f t="shared" si="29"/>
        <v>GUARDIAN</v>
      </c>
    </row>
    <row r="1455" spans="5:8" x14ac:dyDescent="0.25">
      <c r="E1455" t="str">
        <f>""</f>
        <v/>
      </c>
      <c r="F1455" t="str">
        <f>""</f>
        <v/>
      </c>
      <c r="H1455" t="str">
        <f t="shared" si="29"/>
        <v>GUARDIAN</v>
      </c>
    </row>
    <row r="1456" spans="5:8" x14ac:dyDescent="0.25">
      <c r="E1456" t="str">
        <f>""</f>
        <v/>
      </c>
      <c r="F1456" t="str">
        <f>""</f>
        <v/>
      </c>
      <c r="H1456" t="str">
        <f t="shared" si="29"/>
        <v>GUARDIAN</v>
      </c>
    </row>
    <row r="1457" spans="5:8" x14ac:dyDescent="0.25">
      <c r="E1457" t="str">
        <f>""</f>
        <v/>
      </c>
      <c r="F1457" t="str">
        <f>""</f>
        <v/>
      </c>
      <c r="H1457" t="str">
        <f t="shared" si="29"/>
        <v>GUARDIAN</v>
      </c>
    </row>
    <row r="1458" spans="5:8" x14ac:dyDescent="0.25">
      <c r="E1458" t="str">
        <f>""</f>
        <v/>
      </c>
      <c r="F1458" t="str">
        <f>""</f>
        <v/>
      </c>
      <c r="H1458" t="str">
        <f t="shared" si="29"/>
        <v>GUARDIAN</v>
      </c>
    </row>
    <row r="1459" spans="5:8" x14ac:dyDescent="0.25">
      <c r="E1459" t="str">
        <f>""</f>
        <v/>
      </c>
      <c r="F1459" t="str">
        <f>""</f>
        <v/>
      </c>
      <c r="H1459" t="str">
        <f t="shared" si="29"/>
        <v>GUARDIAN</v>
      </c>
    </row>
    <row r="1460" spans="5:8" x14ac:dyDescent="0.25">
      <c r="E1460" t="str">
        <f>""</f>
        <v/>
      </c>
      <c r="F1460" t="str">
        <f>""</f>
        <v/>
      </c>
      <c r="H1460" t="str">
        <f t="shared" si="29"/>
        <v>GUARDIAN</v>
      </c>
    </row>
    <row r="1461" spans="5:8" x14ac:dyDescent="0.25">
      <c r="E1461" t="str">
        <f>""</f>
        <v/>
      </c>
      <c r="F1461" t="str">
        <f>""</f>
        <v/>
      </c>
      <c r="H1461" t="str">
        <f t="shared" si="29"/>
        <v>GUARDIAN</v>
      </c>
    </row>
    <row r="1462" spans="5:8" x14ac:dyDescent="0.25">
      <c r="E1462" t="str">
        <f>""</f>
        <v/>
      </c>
      <c r="F1462" t="str">
        <f>""</f>
        <v/>
      </c>
      <c r="H1462" t="str">
        <f t="shared" si="29"/>
        <v>GUARDIAN</v>
      </c>
    </row>
    <row r="1463" spans="5:8" x14ac:dyDescent="0.25">
      <c r="E1463" t="str">
        <f>""</f>
        <v/>
      </c>
      <c r="F1463" t="str">
        <f>""</f>
        <v/>
      </c>
      <c r="H1463" t="str">
        <f t="shared" si="29"/>
        <v>GUARDIAN</v>
      </c>
    </row>
    <row r="1464" spans="5:8" x14ac:dyDescent="0.25">
      <c r="E1464" t="str">
        <f>""</f>
        <v/>
      </c>
      <c r="F1464" t="str">
        <f>""</f>
        <v/>
      </c>
      <c r="H1464" t="str">
        <f t="shared" si="29"/>
        <v>GUARDIAN</v>
      </c>
    </row>
    <row r="1465" spans="5:8" x14ac:dyDescent="0.25">
      <c r="E1465" t="str">
        <f>""</f>
        <v/>
      </c>
      <c r="F1465" t="str">
        <f>""</f>
        <v/>
      </c>
      <c r="H1465" t="str">
        <f t="shared" si="29"/>
        <v>GUARDIAN</v>
      </c>
    </row>
    <row r="1466" spans="5:8" x14ac:dyDescent="0.25">
      <c r="E1466" t="str">
        <f>""</f>
        <v/>
      </c>
      <c r="F1466" t="str">
        <f>""</f>
        <v/>
      </c>
      <c r="H1466" t="str">
        <f t="shared" si="29"/>
        <v>GUARDIAN</v>
      </c>
    </row>
    <row r="1467" spans="5:8" x14ac:dyDescent="0.25">
      <c r="E1467" t="str">
        <f>""</f>
        <v/>
      </c>
      <c r="F1467" t="str">
        <f>""</f>
        <v/>
      </c>
      <c r="H1467" t="str">
        <f t="shared" si="29"/>
        <v>GUARDIAN</v>
      </c>
    </row>
    <row r="1468" spans="5:8" x14ac:dyDescent="0.25">
      <c r="E1468" t="str">
        <f>""</f>
        <v/>
      </c>
      <c r="F1468" t="str">
        <f>""</f>
        <v/>
      </c>
      <c r="H1468" t="str">
        <f t="shared" si="29"/>
        <v>GUARDIAN</v>
      </c>
    </row>
    <row r="1469" spans="5:8" x14ac:dyDescent="0.25">
      <c r="E1469" t="str">
        <f>""</f>
        <v/>
      </c>
      <c r="F1469" t="str">
        <f>""</f>
        <v/>
      </c>
      <c r="H1469" t="str">
        <f t="shared" si="29"/>
        <v>GUARDIAN</v>
      </c>
    </row>
    <row r="1470" spans="5:8" x14ac:dyDescent="0.25">
      <c r="E1470" t="str">
        <f>""</f>
        <v/>
      </c>
      <c r="F1470" t="str">
        <f>""</f>
        <v/>
      </c>
      <c r="H1470" t="str">
        <f t="shared" si="29"/>
        <v>GUARDIAN</v>
      </c>
    </row>
    <row r="1471" spans="5:8" x14ac:dyDescent="0.25">
      <c r="E1471" t="str">
        <f>"LIE202005126840"</f>
        <v>LIE202005126840</v>
      </c>
      <c r="F1471" t="str">
        <f>"GUARDIAN"</f>
        <v>GUARDIAN</v>
      </c>
      <c r="G1471" s="5">
        <v>90.2</v>
      </c>
      <c r="H1471" t="str">
        <f t="shared" si="29"/>
        <v>GUARDIAN</v>
      </c>
    </row>
    <row r="1472" spans="5:8" x14ac:dyDescent="0.25">
      <c r="E1472" t="str">
        <f>""</f>
        <v/>
      </c>
      <c r="F1472" t="str">
        <f>""</f>
        <v/>
      </c>
      <c r="H1472" t="str">
        <f t="shared" si="29"/>
        <v>GUARDIAN</v>
      </c>
    </row>
    <row r="1473" spans="1:8" x14ac:dyDescent="0.25">
      <c r="E1473" t="str">
        <f>"LIS202004296628"</f>
        <v>LIS202004296628</v>
      </c>
      <c r="F1473" t="str">
        <f t="shared" ref="F1473:F1484" si="30">"GUARDIAN"</f>
        <v>GUARDIAN</v>
      </c>
      <c r="G1473" s="5">
        <v>502.72</v>
      </c>
      <c r="H1473" t="str">
        <f t="shared" si="29"/>
        <v>GUARDIAN</v>
      </c>
    </row>
    <row r="1474" spans="1:8" x14ac:dyDescent="0.25">
      <c r="E1474" t="str">
        <f>"LIS202004296629"</f>
        <v>LIS202004296629</v>
      </c>
      <c r="F1474" t="str">
        <f t="shared" si="30"/>
        <v>GUARDIAN</v>
      </c>
      <c r="G1474" s="5">
        <v>36.15</v>
      </c>
      <c r="H1474" t="str">
        <f t="shared" si="29"/>
        <v>GUARDIAN</v>
      </c>
    </row>
    <row r="1475" spans="1:8" x14ac:dyDescent="0.25">
      <c r="E1475" t="str">
        <f>"LIS202005126839"</f>
        <v>LIS202005126839</v>
      </c>
      <c r="F1475" t="str">
        <f t="shared" si="30"/>
        <v>GUARDIAN</v>
      </c>
      <c r="G1475" s="5">
        <v>494.92</v>
      </c>
      <c r="H1475" t="str">
        <f t="shared" ref="H1475:H1484" si="31">"GUARDIAN"</f>
        <v>GUARDIAN</v>
      </c>
    </row>
    <row r="1476" spans="1:8" x14ac:dyDescent="0.25">
      <c r="E1476" t="str">
        <f>"LIS202005126840"</f>
        <v>LIS202005126840</v>
      </c>
      <c r="F1476" t="str">
        <f t="shared" si="30"/>
        <v>GUARDIAN</v>
      </c>
      <c r="G1476" s="5">
        <v>36.15</v>
      </c>
      <c r="H1476" t="str">
        <f t="shared" si="31"/>
        <v>GUARDIAN</v>
      </c>
    </row>
    <row r="1477" spans="1:8" x14ac:dyDescent="0.25">
      <c r="E1477" t="str">
        <f>"LTD202004296628"</f>
        <v>LTD202004296628</v>
      </c>
      <c r="F1477" t="str">
        <f t="shared" si="30"/>
        <v>GUARDIAN</v>
      </c>
      <c r="G1477" s="5">
        <v>864.68</v>
      </c>
      <c r="H1477" t="str">
        <f t="shared" si="31"/>
        <v>GUARDIAN</v>
      </c>
    </row>
    <row r="1478" spans="1:8" x14ac:dyDescent="0.25">
      <c r="E1478" t="str">
        <f>"LTD202004296629"</f>
        <v>LTD202004296629</v>
      </c>
      <c r="F1478" t="str">
        <f t="shared" si="30"/>
        <v>GUARDIAN</v>
      </c>
      <c r="G1478" s="5">
        <v>6.11</v>
      </c>
      <c r="H1478" t="str">
        <f t="shared" si="31"/>
        <v>GUARDIAN</v>
      </c>
    </row>
    <row r="1479" spans="1:8" x14ac:dyDescent="0.25">
      <c r="E1479" t="str">
        <f>"LTD202005126839"</f>
        <v>LTD202005126839</v>
      </c>
      <c r="F1479" t="str">
        <f t="shared" si="30"/>
        <v>GUARDIAN</v>
      </c>
      <c r="G1479" s="5">
        <v>792.96</v>
      </c>
      <c r="H1479" t="str">
        <f t="shared" si="31"/>
        <v>GUARDIAN</v>
      </c>
    </row>
    <row r="1480" spans="1:8" x14ac:dyDescent="0.25">
      <c r="E1480" t="str">
        <f>"LTD202005126840"</f>
        <v>LTD202005126840</v>
      </c>
      <c r="F1480" t="str">
        <f t="shared" si="30"/>
        <v>GUARDIAN</v>
      </c>
      <c r="G1480" s="5">
        <v>6.11</v>
      </c>
      <c r="H1480" t="str">
        <f t="shared" si="31"/>
        <v>GUARDIAN</v>
      </c>
    </row>
    <row r="1481" spans="1:8" x14ac:dyDescent="0.25">
      <c r="A1481" t="s">
        <v>307</v>
      </c>
      <c r="B1481">
        <v>529</v>
      </c>
      <c r="C1481" s="5">
        <v>101.2</v>
      </c>
      <c r="D1481" s="1">
        <v>43978</v>
      </c>
      <c r="E1481" t="str">
        <f>"AEG202004296628"</f>
        <v>AEG202004296628</v>
      </c>
      <c r="F1481" t="str">
        <f t="shared" si="30"/>
        <v>GUARDIAN</v>
      </c>
      <c r="G1481" s="5">
        <v>6.66</v>
      </c>
      <c r="H1481" t="str">
        <f t="shared" si="31"/>
        <v>GUARDIAN</v>
      </c>
    </row>
    <row r="1482" spans="1:8" x14ac:dyDescent="0.25">
      <c r="E1482" t="str">
        <f>"AEG202005126839"</f>
        <v>AEG202005126839</v>
      </c>
      <c r="F1482" t="str">
        <f t="shared" si="30"/>
        <v>GUARDIAN</v>
      </c>
      <c r="G1482" s="5">
        <v>6.66</v>
      </c>
      <c r="H1482" t="str">
        <f t="shared" si="31"/>
        <v>GUARDIAN</v>
      </c>
    </row>
    <row r="1483" spans="1:8" x14ac:dyDescent="0.25">
      <c r="E1483" t="str">
        <f>"AFG202004296628"</f>
        <v>AFG202004296628</v>
      </c>
      <c r="F1483" t="str">
        <f t="shared" si="30"/>
        <v>GUARDIAN</v>
      </c>
      <c r="G1483" s="5">
        <v>45.47</v>
      </c>
      <c r="H1483" t="str">
        <f t="shared" si="31"/>
        <v>GUARDIAN</v>
      </c>
    </row>
    <row r="1484" spans="1:8" x14ac:dyDescent="0.25">
      <c r="E1484" t="str">
        <f>"AFG202005126839"</f>
        <v>AFG202005126839</v>
      </c>
      <c r="F1484" t="str">
        <f t="shared" si="30"/>
        <v>GUARDIAN</v>
      </c>
      <c r="G1484" s="5">
        <v>42.41</v>
      </c>
      <c r="H1484" t="str">
        <f t="shared" si="31"/>
        <v>GUARDIAN</v>
      </c>
    </row>
    <row r="1485" spans="1:8" x14ac:dyDescent="0.25">
      <c r="A1485" t="s">
        <v>308</v>
      </c>
      <c r="B1485">
        <v>503</v>
      </c>
      <c r="C1485" s="5">
        <v>243198.35</v>
      </c>
      <c r="D1485" s="1">
        <v>43952</v>
      </c>
      <c r="E1485" t="str">
        <f>"T1 202004296628"</f>
        <v>T1 202004296628</v>
      </c>
      <c r="F1485" t="str">
        <f>"FEDERAL WITHHOLDING"</f>
        <v>FEDERAL WITHHOLDING</v>
      </c>
      <c r="G1485" s="5">
        <v>81493.67</v>
      </c>
      <c r="H1485" t="str">
        <f>"FEDERAL WITHHOLDING"</f>
        <v>FEDERAL WITHHOLDING</v>
      </c>
    </row>
    <row r="1486" spans="1:8" x14ac:dyDescent="0.25">
      <c r="E1486" t="str">
        <f>"T1 202004296629"</f>
        <v>T1 202004296629</v>
      </c>
      <c r="F1486" t="str">
        <f>"FEDERAL WITHHOLDING"</f>
        <v>FEDERAL WITHHOLDING</v>
      </c>
      <c r="G1486" s="5">
        <v>3183.02</v>
      </c>
      <c r="H1486" t="str">
        <f>"FEDERAL WITHHOLDING"</f>
        <v>FEDERAL WITHHOLDING</v>
      </c>
    </row>
    <row r="1487" spans="1:8" x14ac:dyDescent="0.25">
      <c r="E1487" t="str">
        <f>"T1 202004296630"</f>
        <v>T1 202004296630</v>
      </c>
      <c r="F1487" t="str">
        <f>"FEDERAL WITHHOLDING"</f>
        <v>FEDERAL WITHHOLDING</v>
      </c>
      <c r="G1487" s="5">
        <v>3341.56</v>
      </c>
      <c r="H1487" t="str">
        <f>"FEDERAL WITHHOLDING"</f>
        <v>FEDERAL WITHHOLDING</v>
      </c>
    </row>
    <row r="1488" spans="1:8" x14ac:dyDescent="0.25">
      <c r="E1488" t="str">
        <f>"T3 202004296628"</f>
        <v>T3 202004296628</v>
      </c>
      <c r="F1488" t="str">
        <f>"SOCIAL SECURITY TAXES"</f>
        <v>SOCIAL SECURITY TAXES</v>
      </c>
      <c r="G1488" s="5">
        <v>116446.74</v>
      </c>
      <c r="H1488" t="str">
        <f t="shared" ref="H1488:H1519" si="32">"SOCIAL SECURITY TAXES"</f>
        <v>SOCIAL SECURITY TAXES</v>
      </c>
    </row>
    <row r="1489" spans="5:8" x14ac:dyDescent="0.25">
      <c r="E1489" t="str">
        <f>""</f>
        <v/>
      </c>
      <c r="F1489" t="str">
        <f>""</f>
        <v/>
      </c>
      <c r="H1489" t="str">
        <f t="shared" si="32"/>
        <v>SOCIAL SECURITY TAXES</v>
      </c>
    </row>
    <row r="1490" spans="5:8" x14ac:dyDescent="0.25">
      <c r="E1490" t="str">
        <f>""</f>
        <v/>
      </c>
      <c r="F1490" t="str">
        <f>""</f>
        <v/>
      </c>
      <c r="H1490" t="str">
        <f t="shared" si="32"/>
        <v>SOCIAL SECURITY TAXES</v>
      </c>
    </row>
    <row r="1491" spans="5:8" x14ac:dyDescent="0.25">
      <c r="E1491" t="str">
        <f>""</f>
        <v/>
      </c>
      <c r="F1491" t="str">
        <f>""</f>
        <v/>
      </c>
      <c r="H1491" t="str">
        <f t="shared" si="32"/>
        <v>SOCIAL SECURITY TAXES</v>
      </c>
    </row>
    <row r="1492" spans="5:8" x14ac:dyDescent="0.25">
      <c r="E1492" t="str">
        <f>""</f>
        <v/>
      </c>
      <c r="F1492" t="str">
        <f>""</f>
        <v/>
      </c>
      <c r="H1492" t="str">
        <f t="shared" si="32"/>
        <v>SOCIAL SECURITY TAXES</v>
      </c>
    </row>
    <row r="1493" spans="5:8" x14ac:dyDescent="0.25">
      <c r="E1493" t="str">
        <f>""</f>
        <v/>
      </c>
      <c r="F1493" t="str">
        <f>""</f>
        <v/>
      </c>
      <c r="H1493" t="str">
        <f t="shared" si="32"/>
        <v>SOCIAL SECURITY TAXES</v>
      </c>
    </row>
    <row r="1494" spans="5:8" x14ac:dyDescent="0.25">
      <c r="E1494" t="str">
        <f>""</f>
        <v/>
      </c>
      <c r="F1494" t="str">
        <f>""</f>
        <v/>
      </c>
      <c r="H1494" t="str">
        <f t="shared" si="32"/>
        <v>SOCIAL SECURITY TAXES</v>
      </c>
    </row>
    <row r="1495" spans="5:8" x14ac:dyDescent="0.25">
      <c r="E1495" t="str">
        <f>""</f>
        <v/>
      </c>
      <c r="F1495" t="str">
        <f>""</f>
        <v/>
      </c>
      <c r="H1495" t="str">
        <f t="shared" si="32"/>
        <v>SOCIAL SECURITY TAXES</v>
      </c>
    </row>
    <row r="1496" spans="5:8" x14ac:dyDescent="0.25">
      <c r="E1496" t="str">
        <f>""</f>
        <v/>
      </c>
      <c r="F1496" t="str">
        <f>""</f>
        <v/>
      </c>
      <c r="H1496" t="str">
        <f t="shared" si="32"/>
        <v>SOCIAL SECURITY TAXES</v>
      </c>
    </row>
    <row r="1497" spans="5:8" x14ac:dyDescent="0.25">
      <c r="E1497" t="str">
        <f>""</f>
        <v/>
      </c>
      <c r="F1497" t="str">
        <f>""</f>
        <v/>
      </c>
      <c r="H1497" t="str">
        <f t="shared" si="32"/>
        <v>SOCIAL SECURITY TAXES</v>
      </c>
    </row>
    <row r="1498" spans="5:8" x14ac:dyDescent="0.25">
      <c r="E1498" t="str">
        <f>""</f>
        <v/>
      </c>
      <c r="F1498" t="str">
        <f>""</f>
        <v/>
      </c>
      <c r="H1498" t="str">
        <f t="shared" si="32"/>
        <v>SOCIAL SECURITY TAXES</v>
      </c>
    </row>
    <row r="1499" spans="5:8" x14ac:dyDescent="0.25">
      <c r="E1499" t="str">
        <f>""</f>
        <v/>
      </c>
      <c r="F1499" t="str">
        <f>""</f>
        <v/>
      </c>
      <c r="H1499" t="str">
        <f t="shared" si="32"/>
        <v>SOCIAL SECURITY TAXES</v>
      </c>
    </row>
    <row r="1500" spans="5:8" x14ac:dyDescent="0.25">
      <c r="E1500" t="str">
        <f>""</f>
        <v/>
      </c>
      <c r="F1500" t="str">
        <f>""</f>
        <v/>
      </c>
      <c r="H1500" t="str">
        <f t="shared" si="32"/>
        <v>SOCIAL SECURITY TAXES</v>
      </c>
    </row>
    <row r="1501" spans="5:8" x14ac:dyDescent="0.25">
      <c r="E1501" t="str">
        <f>""</f>
        <v/>
      </c>
      <c r="F1501" t="str">
        <f>""</f>
        <v/>
      </c>
      <c r="H1501" t="str">
        <f t="shared" si="32"/>
        <v>SOCIAL SECURITY TAXES</v>
      </c>
    </row>
    <row r="1502" spans="5:8" x14ac:dyDescent="0.25">
      <c r="E1502" t="str">
        <f>""</f>
        <v/>
      </c>
      <c r="F1502" t="str">
        <f>""</f>
        <v/>
      </c>
      <c r="H1502" t="str">
        <f t="shared" si="32"/>
        <v>SOCIAL SECURITY TAXES</v>
      </c>
    </row>
    <row r="1503" spans="5:8" x14ac:dyDescent="0.25">
      <c r="E1503" t="str">
        <f>""</f>
        <v/>
      </c>
      <c r="F1503" t="str">
        <f>""</f>
        <v/>
      </c>
      <c r="H1503" t="str">
        <f t="shared" si="32"/>
        <v>SOCIAL SECURITY TAXES</v>
      </c>
    </row>
    <row r="1504" spans="5:8" x14ac:dyDescent="0.25">
      <c r="E1504" t="str">
        <f>""</f>
        <v/>
      </c>
      <c r="F1504" t="str">
        <f>""</f>
        <v/>
      </c>
      <c r="H1504" t="str">
        <f t="shared" si="32"/>
        <v>SOCIAL SECURITY TAXES</v>
      </c>
    </row>
    <row r="1505" spans="5:8" x14ac:dyDescent="0.25">
      <c r="E1505" t="str">
        <f>""</f>
        <v/>
      </c>
      <c r="F1505" t="str">
        <f>""</f>
        <v/>
      </c>
      <c r="H1505" t="str">
        <f t="shared" si="32"/>
        <v>SOCIAL SECURITY TAXES</v>
      </c>
    </row>
    <row r="1506" spans="5:8" x14ac:dyDescent="0.25">
      <c r="E1506" t="str">
        <f>""</f>
        <v/>
      </c>
      <c r="F1506" t="str">
        <f>""</f>
        <v/>
      </c>
      <c r="H1506" t="str">
        <f t="shared" si="32"/>
        <v>SOCIAL SECURITY TAXES</v>
      </c>
    </row>
    <row r="1507" spans="5:8" x14ac:dyDescent="0.25">
      <c r="E1507" t="str">
        <f>""</f>
        <v/>
      </c>
      <c r="F1507" t="str">
        <f>""</f>
        <v/>
      </c>
      <c r="H1507" t="str">
        <f t="shared" si="32"/>
        <v>SOCIAL SECURITY TAXES</v>
      </c>
    </row>
    <row r="1508" spans="5:8" x14ac:dyDescent="0.25">
      <c r="E1508" t="str">
        <f>""</f>
        <v/>
      </c>
      <c r="F1508" t="str">
        <f>""</f>
        <v/>
      </c>
      <c r="H1508" t="str">
        <f t="shared" si="32"/>
        <v>SOCIAL SECURITY TAXES</v>
      </c>
    </row>
    <row r="1509" spans="5:8" x14ac:dyDescent="0.25">
      <c r="E1509" t="str">
        <f>""</f>
        <v/>
      </c>
      <c r="F1509" t="str">
        <f>""</f>
        <v/>
      </c>
      <c r="H1509" t="str">
        <f t="shared" si="32"/>
        <v>SOCIAL SECURITY TAXES</v>
      </c>
    </row>
    <row r="1510" spans="5:8" x14ac:dyDescent="0.25">
      <c r="E1510" t="str">
        <f>""</f>
        <v/>
      </c>
      <c r="F1510" t="str">
        <f>""</f>
        <v/>
      </c>
      <c r="H1510" t="str">
        <f t="shared" si="32"/>
        <v>SOCIAL SECURITY TAXES</v>
      </c>
    </row>
    <row r="1511" spans="5:8" x14ac:dyDescent="0.25">
      <c r="E1511" t="str">
        <f>""</f>
        <v/>
      </c>
      <c r="F1511" t="str">
        <f>""</f>
        <v/>
      </c>
      <c r="H1511" t="str">
        <f t="shared" si="32"/>
        <v>SOCIAL SECURITY TAXES</v>
      </c>
    </row>
    <row r="1512" spans="5:8" x14ac:dyDescent="0.25">
      <c r="E1512" t="str">
        <f>""</f>
        <v/>
      </c>
      <c r="F1512" t="str">
        <f>""</f>
        <v/>
      </c>
      <c r="H1512" t="str">
        <f t="shared" si="32"/>
        <v>SOCIAL SECURITY TAXES</v>
      </c>
    </row>
    <row r="1513" spans="5:8" x14ac:dyDescent="0.25">
      <c r="E1513" t="str">
        <f>""</f>
        <v/>
      </c>
      <c r="F1513" t="str">
        <f>""</f>
        <v/>
      </c>
      <c r="H1513" t="str">
        <f t="shared" si="32"/>
        <v>SOCIAL SECURITY TAXES</v>
      </c>
    </row>
    <row r="1514" spans="5:8" x14ac:dyDescent="0.25">
      <c r="E1514" t="str">
        <f>""</f>
        <v/>
      </c>
      <c r="F1514" t="str">
        <f>""</f>
        <v/>
      </c>
      <c r="H1514" t="str">
        <f t="shared" si="32"/>
        <v>SOCIAL SECURITY TAXES</v>
      </c>
    </row>
    <row r="1515" spans="5:8" x14ac:dyDescent="0.25">
      <c r="E1515" t="str">
        <f>""</f>
        <v/>
      </c>
      <c r="F1515" t="str">
        <f>""</f>
        <v/>
      </c>
      <c r="H1515" t="str">
        <f t="shared" si="32"/>
        <v>SOCIAL SECURITY TAXES</v>
      </c>
    </row>
    <row r="1516" spans="5:8" x14ac:dyDescent="0.25">
      <c r="E1516" t="str">
        <f>""</f>
        <v/>
      </c>
      <c r="F1516" t="str">
        <f>""</f>
        <v/>
      </c>
      <c r="H1516" t="str">
        <f t="shared" si="32"/>
        <v>SOCIAL SECURITY TAXES</v>
      </c>
    </row>
    <row r="1517" spans="5:8" x14ac:dyDescent="0.25">
      <c r="E1517" t="str">
        <f>""</f>
        <v/>
      </c>
      <c r="F1517" t="str">
        <f>""</f>
        <v/>
      </c>
      <c r="H1517" t="str">
        <f t="shared" si="32"/>
        <v>SOCIAL SECURITY TAXES</v>
      </c>
    </row>
    <row r="1518" spans="5:8" x14ac:dyDescent="0.25">
      <c r="E1518" t="str">
        <f>""</f>
        <v/>
      </c>
      <c r="F1518" t="str">
        <f>""</f>
        <v/>
      </c>
      <c r="H1518" t="str">
        <f t="shared" si="32"/>
        <v>SOCIAL SECURITY TAXES</v>
      </c>
    </row>
    <row r="1519" spans="5:8" x14ac:dyDescent="0.25">
      <c r="E1519" t="str">
        <f>""</f>
        <v/>
      </c>
      <c r="F1519" t="str">
        <f>""</f>
        <v/>
      </c>
      <c r="H1519" t="str">
        <f t="shared" si="32"/>
        <v>SOCIAL SECURITY TAXES</v>
      </c>
    </row>
    <row r="1520" spans="5:8" x14ac:dyDescent="0.25">
      <c r="E1520" t="str">
        <f>""</f>
        <v/>
      </c>
      <c r="F1520" t="str">
        <f>""</f>
        <v/>
      </c>
      <c r="H1520" t="str">
        <f t="shared" ref="H1520:H1544" si="33">"SOCIAL SECURITY TAXES"</f>
        <v>SOCIAL SECURITY TAXES</v>
      </c>
    </row>
    <row r="1521" spans="5:8" x14ac:dyDescent="0.25">
      <c r="E1521" t="str">
        <f>""</f>
        <v/>
      </c>
      <c r="F1521" t="str">
        <f>""</f>
        <v/>
      </c>
      <c r="H1521" t="str">
        <f t="shared" si="33"/>
        <v>SOCIAL SECURITY TAXES</v>
      </c>
    </row>
    <row r="1522" spans="5:8" x14ac:dyDescent="0.25">
      <c r="E1522" t="str">
        <f>""</f>
        <v/>
      </c>
      <c r="F1522" t="str">
        <f>""</f>
        <v/>
      </c>
      <c r="H1522" t="str">
        <f t="shared" si="33"/>
        <v>SOCIAL SECURITY TAXES</v>
      </c>
    </row>
    <row r="1523" spans="5:8" x14ac:dyDescent="0.25">
      <c r="E1523" t="str">
        <f>""</f>
        <v/>
      </c>
      <c r="F1523" t="str">
        <f>""</f>
        <v/>
      </c>
      <c r="H1523" t="str">
        <f t="shared" si="33"/>
        <v>SOCIAL SECURITY TAXES</v>
      </c>
    </row>
    <row r="1524" spans="5:8" x14ac:dyDescent="0.25">
      <c r="E1524" t="str">
        <f>""</f>
        <v/>
      </c>
      <c r="F1524" t="str">
        <f>""</f>
        <v/>
      </c>
      <c r="H1524" t="str">
        <f t="shared" si="33"/>
        <v>SOCIAL SECURITY TAXES</v>
      </c>
    </row>
    <row r="1525" spans="5:8" x14ac:dyDescent="0.25">
      <c r="E1525" t="str">
        <f>""</f>
        <v/>
      </c>
      <c r="F1525" t="str">
        <f>""</f>
        <v/>
      </c>
      <c r="H1525" t="str">
        <f t="shared" si="33"/>
        <v>SOCIAL SECURITY TAXES</v>
      </c>
    </row>
    <row r="1526" spans="5:8" x14ac:dyDescent="0.25">
      <c r="E1526" t="str">
        <f>""</f>
        <v/>
      </c>
      <c r="F1526" t="str">
        <f>""</f>
        <v/>
      </c>
      <c r="H1526" t="str">
        <f t="shared" si="33"/>
        <v>SOCIAL SECURITY TAXES</v>
      </c>
    </row>
    <row r="1527" spans="5:8" x14ac:dyDescent="0.25">
      <c r="E1527" t="str">
        <f>""</f>
        <v/>
      </c>
      <c r="F1527" t="str">
        <f>""</f>
        <v/>
      </c>
      <c r="H1527" t="str">
        <f t="shared" si="33"/>
        <v>SOCIAL SECURITY TAXES</v>
      </c>
    </row>
    <row r="1528" spans="5:8" x14ac:dyDescent="0.25">
      <c r="E1528" t="str">
        <f>""</f>
        <v/>
      </c>
      <c r="F1528" t="str">
        <f>""</f>
        <v/>
      </c>
      <c r="H1528" t="str">
        <f t="shared" si="33"/>
        <v>SOCIAL SECURITY TAXES</v>
      </c>
    </row>
    <row r="1529" spans="5:8" x14ac:dyDescent="0.25">
      <c r="E1529" t="str">
        <f>""</f>
        <v/>
      </c>
      <c r="F1529" t="str">
        <f>""</f>
        <v/>
      </c>
      <c r="H1529" t="str">
        <f t="shared" si="33"/>
        <v>SOCIAL SECURITY TAXES</v>
      </c>
    </row>
    <row r="1530" spans="5:8" x14ac:dyDescent="0.25">
      <c r="E1530" t="str">
        <f>""</f>
        <v/>
      </c>
      <c r="F1530" t="str">
        <f>""</f>
        <v/>
      </c>
      <c r="H1530" t="str">
        <f t="shared" si="33"/>
        <v>SOCIAL SECURITY TAXES</v>
      </c>
    </row>
    <row r="1531" spans="5:8" x14ac:dyDescent="0.25">
      <c r="E1531" t="str">
        <f>""</f>
        <v/>
      </c>
      <c r="F1531" t="str">
        <f>""</f>
        <v/>
      </c>
      <c r="H1531" t="str">
        <f t="shared" si="33"/>
        <v>SOCIAL SECURITY TAXES</v>
      </c>
    </row>
    <row r="1532" spans="5:8" x14ac:dyDescent="0.25">
      <c r="E1532" t="str">
        <f>""</f>
        <v/>
      </c>
      <c r="F1532" t="str">
        <f>""</f>
        <v/>
      </c>
      <c r="H1532" t="str">
        <f t="shared" si="33"/>
        <v>SOCIAL SECURITY TAXES</v>
      </c>
    </row>
    <row r="1533" spans="5:8" x14ac:dyDescent="0.25">
      <c r="E1533" t="str">
        <f>""</f>
        <v/>
      </c>
      <c r="F1533" t="str">
        <f>""</f>
        <v/>
      </c>
      <c r="H1533" t="str">
        <f t="shared" si="33"/>
        <v>SOCIAL SECURITY TAXES</v>
      </c>
    </row>
    <row r="1534" spans="5:8" x14ac:dyDescent="0.25">
      <c r="E1534" t="str">
        <f>""</f>
        <v/>
      </c>
      <c r="F1534" t="str">
        <f>""</f>
        <v/>
      </c>
      <c r="H1534" t="str">
        <f t="shared" si="33"/>
        <v>SOCIAL SECURITY TAXES</v>
      </c>
    </row>
    <row r="1535" spans="5:8" x14ac:dyDescent="0.25">
      <c r="E1535" t="str">
        <f>""</f>
        <v/>
      </c>
      <c r="F1535" t="str">
        <f>""</f>
        <v/>
      </c>
      <c r="H1535" t="str">
        <f t="shared" si="33"/>
        <v>SOCIAL SECURITY TAXES</v>
      </c>
    </row>
    <row r="1536" spans="5:8" x14ac:dyDescent="0.25">
      <c r="E1536" t="str">
        <f>""</f>
        <v/>
      </c>
      <c r="F1536" t="str">
        <f>""</f>
        <v/>
      </c>
      <c r="H1536" t="str">
        <f t="shared" si="33"/>
        <v>SOCIAL SECURITY TAXES</v>
      </c>
    </row>
    <row r="1537" spans="5:8" x14ac:dyDescent="0.25">
      <c r="E1537" t="str">
        <f>""</f>
        <v/>
      </c>
      <c r="F1537" t="str">
        <f>""</f>
        <v/>
      </c>
      <c r="H1537" t="str">
        <f t="shared" si="33"/>
        <v>SOCIAL SECURITY TAXES</v>
      </c>
    </row>
    <row r="1538" spans="5:8" x14ac:dyDescent="0.25">
      <c r="E1538" t="str">
        <f>""</f>
        <v/>
      </c>
      <c r="F1538" t="str">
        <f>""</f>
        <v/>
      </c>
      <c r="H1538" t="str">
        <f t="shared" si="33"/>
        <v>SOCIAL SECURITY TAXES</v>
      </c>
    </row>
    <row r="1539" spans="5:8" x14ac:dyDescent="0.25">
      <c r="E1539" t="str">
        <f>""</f>
        <v/>
      </c>
      <c r="F1539" t="str">
        <f>""</f>
        <v/>
      </c>
      <c r="H1539" t="str">
        <f t="shared" si="33"/>
        <v>SOCIAL SECURITY TAXES</v>
      </c>
    </row>
    <row r="1540" spans="5:8" x14ac:dyDescent="0.25">
      <c r="E1540" t="str">
        <f>""</f>
        <v/>
      </c>
      <c r="F1540" t="str">
        <f>""</f>
        <v/>
      </c>
      <c r="H1540" t="str">
        <f t="shared" si="33"/>
        <v>SOCIAL SECURITY TAXES</v>
      </c>
    </row>
    <row r="1541" spans="5:8" x14ac:dyDescent="0.25">
      <c r="E1541" t="str">
        <f>"T3 202004296629"</f>
        <v>T3 202004296629</v>
      </c>
      <c r="F1541" t="str">
        <f>"SOCIAL SECURITY TAXES"</f>
        <v>SOCIAL SECURITY TAXES</v>
      </c>
      <c r="G1541" s="5">
        <v>4402.46</v>
      </c>
      <c r="H1541" t="str">
        <f t="shared" si="33"/>
        <v>SOCIAL SECURITY TAXES</v>
      </c>
    </row>
    <row r="1542" spans="5:8" x14ac:dyDescent="0.25">
      <c r="E1542" t="str">
        <f>""</f>
        <v/>
      </c>
      <c r="F1542" t="str">
        <f>""</f>
        <v/>
      </c>
      <c r="H1542" t="str">
        <f t="shared" si="33"/>
        <v>SOCIAL SECURITY TAXES</v>
      </c>
    </row>
    <row r="1543" spans="5:8" x14ac:dyDescent="0.25">
      <c r="E1543" t="str">
        <f>"T3 202004296630"</f>
        <v>T3 202004296630</v>
      </c>
      <c r="F1543" t="str">
        <f>"SOCIAL SECURITY TAXES"</f>
        <v>SOCIAL SECURITY TAXES</v>
      </c>
      <c r="G1543" s="5">
        <v>4917.78</v>
      </c>
      <c r="H1543" t="str">
        <f t="shared" si="33"/>
        <v>SOCIAL SECURITY TAXES</v>
      </c>
    </row>
    <row r="1544" spans="5:8" x14ac:dyDescent="0.25">
      <c r="E1544" t="str">
        <f>""</f>
        <v/>
      </c>
      <c r="F1544" t="str">
        <f>""</f>
        <v/>
      </c>
      <c r="H1544" t="str">
        <f t="shared" si="33"/>
        <v>SOCIAL SECURITY TAXES</v>
      </c>
    </row>
    <row r="1545" spans="5:8" x14ac:dyDescent="0.25">
      <c r="E1545" t="str">
        <f>"T4 202004296628"</f>
        <v>T4 202004296628</v>
      </c>
      <c r="F1545" t="str">
        <f>"MEDICARE TAXES"</f>
        <v>MEDICARE TAXES</v>
      </c>
      <c r="G1545" s="5">
        <v>27233.360000000001</v>
      </c>
      <c r="H1545" t="str">
        <f t="shared" ref="H1545:H1576" si="34">"MEDICARE TAXES"</f>
        <v>MEDICARE TAXES</v>
      </c>
    </row>
    <row r="1546" spans="5:8" x14ac:dyDescent="0.25">
      <c r="E1546" t="str">
        <f>""</f>
        <v/>
      </c>
      <c r="F1546" t="str">
        <f>""</f>
        <v/>
      </c>
      <c r="H1546" t="str">
        <f t="shared" si="34"/>
        <v>MEDICARE TAXES</v>
      </c>
    </row>
    <row r="1547" spans="5:8" x14ac:dyDescent="0.25">
      <c r="E1547" t="str">
        <f>""</f>
        <v/>
      </c>
      <c r="F1547" t="str">
        <f>""</f>
        <v/>
      </c>
      <c r="H1547" t="str">
        <f t="shared" si="34"/>
        <v>MEDICARE TAXES</v>
      </c>
    </row>
    <row r="1548" spans="5:8" x14ac:dyDescent="0.25">
      <c r="E1548" t="str">
        <f>""</f>
        <v/>
      </c>
      <c r="F1548" t="str">
        <f>""</f>
        <v/>
      </c>
      <c r="H1548" t="str">
        <f t="shared" si="34"/>
        <v>MEDICARE TAXES</v>
      </c>
    </row>
    <row r="1549" spans="5:8" x14ac:dyDescent="0.25">
      <c r="E1549" t="str">
        <f>""</f>
        <v/>
      </c>
      <c r="F1549" t="str">
        <f>""</f>
        <v/>
      </c>
      <c r="H1549" t="str">
        <f t="shared" si="34"/>
        <v>MEDICARE TAXES</v>
      </c>
    </row>
    <row r="1550" spans="5:8" x14ac:dyDescent="0.25">
      <c r="E1550" t="str">
        <f>""</f>
        <v/>
      </c>
      <c r="F1550" t="str">
        <f>""</f>
        <v/>
      </c>
      <c r="H1550" t="str">
        <f t="shared" si="34"/>
        <v>MEDICARE TAXES</v>
      </c>
    </row>
    <row r="1551" spans="5:8" x14ac:dyDescent="0.25">
      <c r="E1551" t="str">
        <f>""</f>
        <v/>
      </c>
      <c r="F1551" t="str">
        <f>""</f>
        <v/>
      </c>
      <c r="H1551" t="str">
        <f t="shared" si="34"/>
        <v>MEDICARE TAXES</v>
      </c>
    </row>
    <row r="1552" spans="5:8" x14ac:dyDescent="0.25">
      <c r="E1552" t="str">
        <f>""</f>
        <v/>
      </c>
      <c r="F1552" t="str">
        <f>""</f>
        <v/>
      </c>
      <c r="H1552" t="str">
        <f t="shared" si="34"/>
        <v>MEDICARE TAXES</v>
      </c>
    </row>
    <row r="1553" spans="5:8" x14ac:dyDescent="0.25">
      <c r="E1553" t="str">
        <f>""</f>
        <v/>
      </c>
      <c r="F1553" t="str">
        <f>""</f>
        <v/>
      </c>
      <c r="H1553" t="str">
        <f t="shared" si="34"/>
        <v>MEDICARE TAXES</v>
      </c>
    </row>
    <row r="1554" spans="5:8" x14ac:dyDescent="0.25">
      <c r="E1554" t="str">
        <f>""</f>
        <v/>
      </c>
      <c r="F1554" t="str">
        <f>""</f>
        <v/>
      </c>
      <c r="H1554" t="str">
        <f t="shared" si="34"/>
        <v>MEDICARE TAXES</v>
      </c>
    </row>
    <row r="1555" spans="5:8" x14ac:dyDescent="0.25">
      <c r="E1555" t="str">
        <f>""</f>
        <v/>
      </c>
      <c r="F1555" t="str">
        <f>""</f>
        <v/>
      </c>
      <c r="H1555" t="str">
        <f t="shared" si="34"/>
        <v>MEDICARE TAXES</v>
      </c>
    </row>
    <row r="1556" spans="5:8" x14ac:dyDescent="0.25">
      <c r="E1556" t="str">
        <f>""</f>
        <v/>
      </c>
      <c r="F1556" t="str">
        <f>""</f>
        <v/>
      </c>
      <c r="H1556" t="str">
        <f t="shared" si="34"/>
        <v>MEDICARE TAXES</v>
      </c>
    </row>
    <row r="1557" spans="5:8" x14ac:dyDescent="0.25">
      <c r="E1557" t="str">
        <f>""</f>
        <v/>
      </c>
      <c r="F1557" t="str">
        <f>""</f>
        <v/>
      </c>
      <c r="H1557" t="str">
        <f t="shared" si="34"/>
        <v>MEDICARE TAXES</v>
      </c>
    </row>
    <row r="1558" spans="5:8" x14ac:dyDescent="0.25">
      <c r="E1558" t="str">
        <f>""</f>
        <v/>
      </c>
      <c r="F1558" t="str">
        <f>""</f>
        <v/>
      </c>
      <c r="H1558" t="str">
        <f t="shared" si="34"/>
        <v>MEDICARE TAXES</v>
      </c>
    </row>
    <row r="1559" spans="5:8" x14ac:dyDescent="0.25">
      <c r="E1559" t="str">
        <f>""</f>
        <v/>
      </c>
      <c r="F1559" t="str">
        <f>""</f>
        <v/>
      </c>
      <c r="H1559" t="str">
        <f t="shared" si="34"/>
        <v>MEDICARE TAXES</v>
      </c>
    </row>
    <row r="1560" spans="5:8" x14ac:dyDescent="0.25">
      <c r="E1560" t="str">
        <f>""</f>
        <v/>
      </c>
      <c r="F1560" t="str">
        <f>""</f>
        <v/>
      </c>
      <c r="H1560" t="str">
        <f t="shared" si="34"/>
        <v>MEDICARE TAXES</v>
      </c>
    </row>
    <row r="1561" spans="5:8" x14ac:dyDescent="0.25">
      <c r="E1561" t="str">
        <f>""</f>
        <v/>
      </c>
      <c r="F1561" t="str">
        <f>""</f>
        <v/>
      </c>
      <c r="H1561" t="str">
        <f t="shared" si="34"/>
        <v>MEDICARE TAXES</v>
      </c>
    </row>
    <row r="1562" spans="5:8" x14ac:dyDescent="0.25">
      <c r="E1562" t="str">
        <f>""</f>
        <v/>
      </c>
      <c r="F1562" t="str">
        <f>""</f>
        <v/>
      </c>
      <c r="H1562" t="str">
        <f t="shared" si="34"/>
        <v>MEDICARE TAXES</v>
      </c>
    </row>
    <row r="1563" spans="5:8" x14ac:dyDescent="0.25">
      <c r="E1563" t="str">
        <f>""</f>
        <v/>
      </c>
      <c r="F1563" t="str">
        <f>""</f>
        <v/>
      </c>
      <c r="H1563" t="str">
        <f t="shared" si="34"/>
        <v>MEDICARE TAXES</v>
      </c>
    </row>
    <row r="1564" spans="5:8" x14ac:dyDescent="0.25">
      <c r="E1564" t="str">
        <f>""</f>
        <v/>
      </c>
      <c r="F1564" t="str">
        <f>""</f>
        <v/>
      </c>
      <c r="H1564" t="str">
        <f t="shared" si="34"/>
        <v>MEDICARE TAXES</v>
      </c>
    </row>
    <row r="1565" spans="5:8" x14ac:dyDescent="0.25">
      <c r="E1565" t="str">
        <f>""</f>
        <v/>
      </c>
      <c r="F1565" t="str">
        <f>""</f>
        <v/>
      </c>
      <c r="H1565" t="str">
        <f t="shared" si="34"/>
        <v>MEDICARE TAXES</v>
      </c>
    </row>
    <row r="1566" spans="5:8" x14ac:dyDescent="0.25">
      <c r="E1566" t="str">
        <f>""</f>
        <v/>
      </c>
      <c r="F1566" t="str">
        <f>""</f>
        <v/>
      </c>
      <c r="H1566" t="str">
        <f t="shared" si="34"/>
        <v>MEDICARE TAXES</v>
      </c>
    </row>
    <row r="1567" spans="5:8" x14ac:dyDescent="0.25">
      <c r="E1567" t="str">
        <f>""</f>
        <v/>
      </c>
      <c r="F1567" t="str">
        <f>""</f>
        <v/>
      </c>
      <c r="H1567" t="str">
        <f t="shared" si="34"/>
        <v>MEDICARE TAXES</v>
      </c>
    </row>
    <row r="1568" spans="5:8" x14ac:dyDescent="0.25">
      <c r="E1568" t="str">
        <f>""</f>
        <v/>
      </c>
      <c r="F1568" t="str">
        <f>""</f>
        <v/>
      </c>
      <c r="H1568" t="str">
        <f t="shared" si="34"/>
        <v>MEDICARE TAXES</v>
      </c>
    </row>
    <row r="1569" spans="5:8" x14ac:dyDescent="0.25">
      <c r="E1569" t="str">
        <f>""</f>
        <v/>
      </c>
      <c r="F1569" t="str">
        <f>""</f>
        <v/>
      </c>
      <c r="H1569" t="str">
        <f t="shared" si="34"/>
        <v>MEDICARE TAXES</v>
      </c>
    </row>
    <row r="1570" spans="5:8" x14ac:dyDescent="0.25">
      <c r="E1570" t="str">
        <f>""</f>
        <v/>
      </c>
      <c r="F1570" t="str">
        <f>""</f>
        <v/>
      </c>
      <c r="H1570" t="str">
        <f t="shared" si="34"/>
        <v>MEDICARE TAXES</v>
      </c>
    </row>
    <row r="1571" spans="5:8" x14ac:dyDescent="0.25">
      <c r="E1571" t="str">
        <f>""</f>
        <v/>
      </c>
      <c r="F1571" t="str">
        <f>""</f>
        <v/>
      </c>
      <c r="H1571" t="str">
        <f t="shared" si="34"/>
        <v>MEDICARE TAXES</v>
      </c>
    </row>
    <row r="1572" spans="5:8" x14ac:dyDescent="0.25">
      <c r="E1572" t="str">
        <f>""</f>
        <v/>
      </c>
      <c r="F1572" t="str">
        <f>""</f>
        <v/>
      </c>
      <c r="H1572" t="str">
        <f t="shared" si="34"/>
        <v>MEDICARE TAXES</v>
      </c>
    </row>
    <row r="1573" spans="5:8" x14ac:dyDescent="0.25">
      <c r="E1573" t="str">
        <f>""</f>
        <v/>
      </c>
      <c r="F1573" t="str">
        <f>""</f>
        <v/>
      </c>
      <c r="H1573" t="str">
        <f t="shared" si="34"/>
        <v>MEDICARE TAXES</v>
      </c>
    </row>
    <row r="1574" spans="5:8" x14ac:dyDescent="0.25">
      <c r="E1574" t="str">
        <f>""</f>
        <v/>
      </c>
      <c r="F1574" t="str">
        <f>""</f>
        <v/>
      </c>
      <c r="H1574" t="str">
        <f t="shared" si="34"/>
        <v>MEDICARE TAXES</v>
      </c>
    </row>
    <row r="1575" spans="5:8" x14ac:dyDescent="0.25">
      <c r="E1575" t="str">
        <f>""</f>
        <v/>
      </c>
      <c r="F1575" t="str">
        <f>""</f>
        <v/>
      </c>
      <c r="H1575" t="str">
        <f t="shared" si="34"/>
        <v>MEDICARE TAXES</v>
      </c>
    </row>
    <row r="1576" spans="5:8" x14ac:dyDescent="0.25">
      <c r="E1576" t="str">
        <f>""</f>
        <v/>
      </c>
      <c r="F1576" t="str">
        <f>""</f>
        <v/>
      </c>
      <c r="H1576" t="str">
        <f t="shared" si="34"/>
        <v>MEDICARE TAXES</v>
      </c>
    </row>
    <row r="1577" spans="5:8" x14ac:dyDescent="0.25">
      <c r="E1577" t="str">
        <f>""</f>
        <v/>
      </c>
      <c r="F1577" t="str">
        <f>""</f>
        <v/>
      </c>
      <c r="H1577" t="str">
        <f t="shared" ref="H1577:H1601" si="35">"MEDICARE TAXES"</f>
        <v>MEDICARE TAXES</v>
      </c>
    </row>
    <row r="1578" spans="5:8" x14ac:dyDescent="0.25">
      <c r="E1578" t="str">
        <f>""</f>
        <v/>
      </c>
      <c r="F1578" t="str">
        <f>""</f>
        <v/>
      </c>
      <c r="H1578" t="str">
        <f t="shared" si="35"/>
        <v>MEDICARE TAXES</v>
      </c>
    </row>
    <row r="1579" spans="5:8" x14ac:dyDescent="0.25">
      <c r="E1579" t="str">
        <f>""</f>
        <v/>
      </c>
      <c r="F1579" t="str">
        <f>""</f>
        <v/>
      </c>
      <c r="H1579" t="str">
        <f t="shared" si="35"/>
        <v>MEDICARE TAXES</v>
      </c>
    </row>
    <row r="1580" spans="5:8" x14ac:dyDescent="0.25">
      <c r="E1580" t="str">
        <f>""</f>
        <v/>
      </c>
      <c r="F1580" t="str">
        <f>""</f>
        <v/>
      </c>
      <c r="H1580" t="str">
        <f t="shared" si="35"/>
        <v>MEDICARE TAXES</v>
      </c>
    </row>
    <row r="1581" spans="5:8" x14ac:dyDescent="0.25">
      <c r="E1581" t="str">
        <f>""</f>
        <v/>
      </c>
      <c r="F1581" t="str">
        <f>""</f>
        <v/>
      </c>
      <c r="H1581" t="str">
        <f t="shared" si="35"/>
        <v>MEDICARE TAXES</v>
      </c>
    </row>
    <row r="1582" spans="5:8" x14ac:dyDescent="0.25">
      <c r="E1582" t="str">
        <f>""</f>
        <v/>
      </c>
      <c r="F1582" t="str">
        <f>""</f>
        <v/>
      </c>
      <c r="H1582" t="str">
        <f t="shared" si="35"/>
        <v>MEDICARE TAXES</v>
      </c>
    </row>
    <row r="1583" spans="5:8" x14ac:dyDescent="0.25">
      <c r="E1583" t="str">
        <f>""</f>
        <v/>
      </c>
      <c r="F1583" t="str">
        <f>""</f>
        <v/>
      </c>
      <c r="H1583" t="str">
        <f t="shared" si="35"/>
        <v>MEDICARE TAXES</v>
      </c>
    </row>
    <row r="1584" spans="5:8" x14ac:dyDescent="0.25">
      <c r="E1584" t="str">
        <f>""</f>
        <v/>
      </c>
      <c r="F1584" t="str">
        <f>""</f>
        <v/>
      </c>
      <c r="H1584" t="str">
        <f t="shared" si="35"/>
        <v>MEDICARE TAXES</v>
      </c>
    </row>
    <row r="1585" spans="5:8" x14ac:dyDescent="0.25">
      <c r="E1585" t="str">
        <f>""</f>
        <v/>
      </c>
      <c r="F1585" t="str">
        <f>""</f>
        <v/>
      </c>
      <c r="H1585" t="str">
        <f t="shared" si="35"/>
        <v>MEDICARE TAXES</v>
      </c>
    </row>
    <row r="1586" spans="5:8" x14ac:dyDescent="0.25">
      <c r="E1586" t="str">
        <f>""</f>
        <v/>
      </c>
      <c r="F1586" t="str">
        <f>""</f>
        <v/>
      </c>
      <c r="H1586" t="str">
        <f t="shared" si="35"/>
        <v>MEDICARE TAXES</v>
      </c>
    </row>
    <row r="1587" spans="5:8" x14ac:dyDescent="0.25">
      <c r="E1587" t="str">
        <f>""</f>
        <v/>
      </c>
      <c r="F1587" t="str">
        <f>""</f>
        <v/>
      </c>
      <c r="H1587" t="str">
        <f t="shared" si="35"/>
        <v>MEDICARE TAXES</v>
      </c>
    </row>
    <row r="1588" spans="5:8" x14ac:dyDescent="0.25">
      <c r="E1588" t="str">
        <f>""</f>
        <v/>
      </c>
      <c r="F1588" t="str">
        <f>""</f>
        <v/>
      </c>
      <c r="H1588" t="str">
        <f t="shared" si="35"/>
        <v>MEDICARE TAXES</v>
      </c>
    </row>
    <row r="1589" spans="5:8" x14ac:dyDescent="0.25">
      <c r="E1589" t="str">
        <f>""</f>
        <v/>
      </c>
      <c r="F1589" t="str">
        <f>""</f>
        <v/>
      </c>
      <c r="H1589" t="str">
        <f t="shared" si="35"/>
        <v>MEDICARE TAXES</v>
      </c>
    </row>
    <row r="1590" spans="5:8" x14ac:dyDescent="0.25">
      <c r="E1590" t="str">
        <f>""</f>
        <v/>
      </c>
      <c r="F1590" t="str">
        <f>""</f>
        <v/>
      </c>
      <c r="H1590" t="str">
        <f t="shared" si="35"/>
        <v>MEDICARE TAXES</v>
      </c>
    </row>
    <row r="1591" spans="5:8" x14ac:dyDescent="0.25">
      <c r="E1591" t="str">
        <f>""</f>
        <v/>
      </c>
      <c r="F1591" t="str">
        <f>""</f>
        <v/>
      </c>
      <c r="H1591" t="str">
        <f t="shared" si="35"/>
        <v>MEDICARE TAXES</v>
      </c>
    </row>
    <row r="1592" spans="5:8" x14ac:dyDescent="0.25">
      <c r="E1592" t="str">
        <f>""</f>
        <v/>
      </c>
      <c r="F1592" t="str">
        <f>""</f>
        <v/>
      </c>
      <c r="H1592" t="str">
        <f t="shared" si="35"/>
        <v>MEDICARE TAXES</v>
      </c>
    </row>
    <row r="1593" spans="5:8" x14ac:dyDescent="0.25">
      <c r="E1593" t="str">
        <f>""</f>
        <v/>
      </c>
      <c r="F1593" t="str">
        <f>""</f>
        <v/>
      </c>
      <c r="H1593" t="str">
        <f t="shared" si="35"/>
        <v>MEDICARE TAXES</v>
      </c>
    </row>
    <row r="1594" spans="5:8" x14ac:dyDescent="0.25">
      <c r="E1594" t="str">
        <f>""</f>
        <v/>
      </c>
      <c r="F1594" t="str">
        <f>""</f>
        <v/>
      </c>
      <c r="H1594" t="str">
        <f t="shared" si="35"/>
        <v>MEDICARE TAXES</v>
      </c>
    </row>
    <row r="1595" spans="5:8" x14ac:dyDescent="0.25">
      <c r="E1595" t="str">
        <f>""</f>
        <v/>
      </c>
      <c r="F1595" t="str">
        <f>""</f>
        <v/>
      </c>
      <c r="H1595" t="str">
        <f t="shared" si="35"/>
        <v>MEDICARE TAXES</v>
      </c>
    </row>
    <row r="1596" spans="5:8" x14ac:dyDescent="0.25">
      <c r="E1596" t="str">
        <f>""</f>
        <v/>
      </c>
      <c r="F1596" t="str">
        <f>""</f>
        <v/>
      </c>
      <c r="H1596" t="str">
        <f t="shared" si="35"/>
        <v>MEDICARE TAXES</v>
      </c>
    </row>
    <row r="1597" spans="5:8" x14ac:dyDescent="0.25">
      <c r="E1597" t="str">
        <f>""</f>
        <v/>
      </c>
      <c r="F1597" t="str">
        <f>""</f>
        <v/>
      </c>
      <c r="H1597" t="str">
        <f t="shared" si="35"/>
        <v>MEDICARE TAXES</v>
      </c>
    </row>
    <row r="1598" spans="5:8" x14ac:dyDescent="0.25">
      <c r="E1598" t="str">
        <f>"T4 202004296629"</f>
        <v>T4 202004296629</v>
      </c>
      <c r="F1598" t="str">
        <f>"MEDICARE TAXES"</f>
        <v>MEDICARE TAXES</v>
      </c>
      <c r="G1598" s="5">
        <v>1029.6199999999999</v>
      </c>
      <c r="H1598" t="str">
        <f t="shared" si="35"/>
        <v>MEDICARE TAXES</v>
      </c>
    </row>
    <row r="1599" spans="5:8" x14ac:dyDescent="0.25">
      <c r="E1599" t="str">
        <f>""</f>
        <v/>
      </c>
      <c r="F1599" t="str">
        <f>""</f>
        <v/>
      </c>
      <c r="H1599" t="str">
        <f t="shared" si="35"/>
        <v>MEDICARE TAXES</v>
      </c>
    </row>
    <row r="1600" spans="5:8" x14ac:dyDescent="0.25">
      <c r="E1600" t="str">
        <f>"T4 202004296630"</f>
        <v>T4 202004296630</v>
      </c>
      <c r="F1600" t="str">
        <f>"MEDICARE TAXES"</f>
        <v>MEDICARE TAXES</v>
      </c>
      <c r="G1600" s="5">
        <v>1150.1400000000001</v>
      </c>
      <c r="H1600" t="str">
        <f t="shared" si="35"/>
        <v>MEDICARE TAXES</v>
      </c>
    </row>
    <row r="1601" spans="1:8" x14ac:dyDescent="0.25">
      <c r="E1601" t="str">
        <f>""</f>
        <v/>
      </c>
      <c r="F1601" t="str">
        <f>""</f>
        <v/>
      </c>
      <c r="H1601" t="str">
        <f t="shared" si="35"/>
        <v>MEDICARE TAXES</v>
      </c>
    </row>
    <row r="1602" spans="1:8" x14ac:dyDescent="0.25">
      <c r="A1602" t="s">
        <v>308</v>
      </c>
      <c r="B1602">
        <v>511</v>
      </c>
      <c r="C1602" s="5">
        <v>247323.35</v>
      </c>
      <c r="D1602" s="1">
        <v>43966</v>
      </c>
      <c r="E1602" t="str">
        <f>"T1 202005136842"</f>
        <v>T1 202005136842</v>
      </c>
      <c r="F1602" t="str">
        <f>"FEDERAL WITHHOLDING"</f>
        <v>FEDERAL WITHHOLDING</v>
      </c>
      <c r="G1602" s="5">
        <v>-144.75</v>
      </c>
      <c r="H1602" t="str">
        <f>"FEDERAL WITHHOLDING"</f>
        <v>FEDERAL WITHHOLDING</v>
      </c>
    </row>
    <row r="1603" spans="1:8" x14ac:dyDescent="0.25">
      <c r="E1603" t="str">
        <f>"T3 202005136842"</f>
        <v>T3 202005136842</v>
      </c>
      <c r="F1603" t="str">
        <f>"SOCIAL SECURITY TAXES"</f>
        <v>SOCIAL SECURITY TAXES</v>
      </c>
      <c r="G1603" s="5">
        <v>-29.24</v>
      </c>
      <c r="H1603" t="str">
        <f>"SOCIAL SECURITY TAXES"</f>
        <v>SOCIAL SECURITY TAXES</v>
      </c>
    </row>
    <row r="1604" spans="1:8" x14ac:dyDescent="0.25">
      <c r="E1604" t="str">
        <f>""</f>
        <v/>
      </c>
      <c r="F1604" t="str">
        <f>""</f>
        <v/>
      </c>
      <c r="H1604" t="str">
        <f>"SOCIAL SECURITY TAXES"</f>
        <v>SOCIAL SECURITY TAXES</v>
      </c>
    </row>
    <row r="1605" spans="1:8" x14ac:dyDescent="0.25">
      <c r="E1605" t="str">
        <f>"T4 202005136842"</f>
        <v>T4 202005136842</v>
      </c>
      <c r="F1605" t="str">
        <f>"MEDICARE TAXES"</f>
        <v>MEDICARE TAXES</v>
      </c>
      <c r="G1605" s="5">
        <v>-6.84</v>
      </c>
      <c r="H1605" t="str">
        <f>"MEDICARE TAXES"</f>
        <v>MEDICARE TAXES</v>
      </c>
    </row>
    <row r="1606" spans="1:8" x14ac:dyDescent="0.25">
      <c r="E1606" t="str">
        <f>""</f>
        <v/>
      </c>
      <c r="F1606" t="str">
        <f>""</f>
        <v/>
      </c>
      <c r="H1606" t="str">
        <f>"MEDICARE TAXES"</f>
        <v>MEDICARE TAXES</v>
      </c>
    </row>
    <row r="1607" spans="1:8" x14ac:dyDescent="0.25">
      <c r="E1607" t="str">
        <f>"T1 202005126839"</f>
        <v>T1 202005126839</v>
      </c>
      <c r="F1607" t="str">
        <f>"FEDERAL WITHHOLDING"</f>
        <v>FEDERAL WITHHOLDING</v>
      </c>
      <c r="G1607" s="5">
        <v>83272.59</v>
      </c>
      <c r="H1607" t="str">
        <f>"FEDERAL WITHHOLDING"</f>
        <v>FEDERAL WITHHOLDING</v>
      </c>
    </row>
    <row r="1608" spans="1:8" x14ac:dyDescent="0.25">
      <c r="E1608" t="str">
        <f>"T1 202005126840"</f>
        <v>T1 202005126840</v>
      </c>
      <c r="F1608" t="str">
        <f>"FEDERAL WITHHOLDING"</f>
        <v>FEDERAL WITHHOLDING</v>
      </c>
      <c r="G1608" s="5">
        <v>3190.27</v>
      </c>
      <c r="H1608" t="str">
        <f>"FEDERAL WITHHOLDING"</f>
        <v>FEDERAL WITHHOLDING</v>
      </c>
    </row>
    <row r="1609" spans="1:8" x14ac:dyDescent="0.25">
      <c r="E1609" t="str">
        <f>"T1 202005126841"</f>
        <v>T1 202005126841</v>
      </c>
      <c r="F1609" t="str">
        <f>"FEDERAL WITHHOLDING"</f>
        <v>FEDERAL WITHHOLDING</v>
      </c>
      <c r="G1609" s="5">
        <v>3341.56</v>
      </c>
      <c r="H1609" t="str">
        <f>"FEDERAL WITHHOLDING"</f>
        <v>FEDERAL WITHHOLDING</v>
      </c>
    </row>
    <row r="1610" spans="1:8" x14ac:dyDescent="0.25">
      <c r="E1610" t="str">
        <f>"T3 202005126839"</f>
        <v>T3 202005126839</v>
      </c>
      <c r="F1610" t="str">
        <f>"SOCIAL SECURITY TAXES"</f>
        <v>SOCIAL SECURITY TAXES</v>
      </c>
      <c r="G1610" s="5">
        <v>118488.78</v>
      </c>
      <c r="H1610" t="str">
        <f t="shared" ref="H1610:H1641" si="36">"SOCIAL SECURITY TAXES"</f>
        <v>SOCIAL SECURITY TAXES</v>
      </c>
    </row>
    <row r="1611" spans="1:8" x14ac:dyDescent="0.25">
      <c r="E1611" t="str">
        <f>""</f>
        <v/>
      </c>
      <c r="F1611" t="str">
        <f>""</f>
        <v/>
      </c>
      <c r="H1611" t="str">
        <f t="shared" si="36"/>
        <v>SOCIAL SECURITY TAXES</v>
      </c>
    </row>
    <row r="1612" spans="1:8" x14ac:dyDescent="0.25">
      <c r="E1612" t="str">
        <f>""</f>
        <v/>
      </c>
      <c r="F1612" t="str">
        <f>""</f>
        <v/>
      </c>
      <c r="H1612" t="str">
        <f t="shared" si="36"/>
        <v>SOCIAL SECURITY TAXES</v>
      </c>
    </row>
    <row r="1613" spans="1:8" x14ac:dyDescent="0.25">
      <c r="E1613" t="str">
        <f>""</f>
        <v/>
      </c>
      <c r="F1613" t="str">
        <f>""</f>
        <v/>
      </c>
      <c r="H1613" t="str">
        <f t="shared" si="36"/>
        <v>SOCIAL SECURITY TAXES</v>
      </c>
    </row>
    <row r="1614" spans="1:8" x14ac:dyDescent="0.25">
      <c r="E1614" t="str">
        <f>""</f>
        <v/>
      </c>
      <c r="F1614" t="str">
        <f>""</f>
        <v/>
      </c>
      <c r="H1614" t="str">
        <f t="shared" si="36"/>
        <v>SOCIAL SECURITY TAXES</v>
      </c>
    </row>
    <row r="1615" spans="1:8" x14ac:dyDescent="0.25">
      <c r="E1615" t="str">
        <f>""</f>
        <v/>
      </c>
      <c r="F1615" t="str">
        <f>""</f>
        <v/>
      </c>
      <c r="H1615" t="str">
        <f t="shared" si="36"/>
        <v>SOCIAL SECURITY TAXES</v>
      </c>
    </row>
    <row r="1616" spans="1:8" x14ac:dyDescent="0.25">
      <c r="E1616" t="str">
        <f>""</f>
        <v/>
      </c>
      <c r="F1616" t="str">
        <f>""</f>
        <v/>
      </c>
      <c r="H1616" t="str">
        <f t="shared" si="36"/>
        <v>SOCIAL SECURITY TAXES</v>
      </c>
    </row>
    <row r="1617" spans="5:8" x14ac:dyDescent="0.25">
      <c r="E1617" t="str">
        <f>""</f>
        <v/>
      </c>
      <c r="F1617" t="str">
        <f>""</f>
        <v/>
      </c>
      <c r="H1617" t="str">
        <f t="shared" si="36"/>
        <v>SOCIAL SECURITY TAXES</v>
      </c>
    </row>
    <row r="1618" spans="5:8" x14ac:dyDescent="0.25">
      <c r="E1618" t="str">
        <f>""</f>
        <v/>
      </c>
      <c r="F1618" t="str">
        <f>""</f>
        <v/>
      </c>
      <c r="H1618" t="str">
        <f t="shared" si="36"/>
        <v>SOCIAL SECURITY TAXES</v>
      </c>
    </row>
    <row r="1619" spans="5:8" x14ac:dyDescent="0.25">
      <c r="E1619" t="str">
        <f>""</f>
        <v/>
      </c>
      <c r="F1619" t="str">
        <f>""</f>
        <v/>
      </c>
      <c r="H1619" t="str">
        <f t="shared" si="36"/>
        <v>SOCIAL SECURITY TAXES</v>
      </c>
    </row>
    <row r="1620" spans="5:8" x14ac:dyDescent="0.25">
      <c r="E1620" t="str">
        <f>""</f>
        <v/>
      </c>
      <c r="F1620" t="str">
        <f>""</f>
        <v/>
      </c>
      <c r="H1620" t="str">
        <f t="shared" si="36"/>
        <v>SOCIAL SECURITY TAXES</v>
      </c>
    </row>
    <row r="1621" spans="5:8" x14ac:dyDescent="0.25">
      <c r="E1621" t="str">
        <f>""</f>
        <v/>
      </c>
      <c r="F1621" t="str">
        <f>""</f>
        <v/>
      </c>
      <c r="H1621" t="str">
        <f t="shared" si="36"/>
        <v>SOCIAL SECURITY TAXES</v>
      </c>
    </row>
    <row r="1622" spans="5:8" x14ac:dyDescent="0.25">
      <c r="E1622" t="str">
        <f>""</f>
        <v/>
      </c>
      <c r="F1622" t="str">
        <f>""</f>
        <v/>
      </c>
      <c r="H1622" t="str">
        <f t="shared" si="36"/>
        <v>SOCIAL SECURITY TAXES</v>
      </c>
    </row>
    <row r="1623" spans="5:8" x14ac:dyDescent="0.25">
      <c r="E1623" t="str">
        <f>""</f>
        <v/>
      </c>
      <c r="F1623" t="str">
        <f>""</f>
        <v/>
      </c>
      <c r="H1623" t="str">
        <f t="shared" si="36"/>
        <v>SOCIAL SECURITY TAXES</v>
      </c>
    </row>
    <row r="1624" spans="5:8" x14ac:dyDescent="0.25">
      <c r="E1624" t="str">
        <f>""</f>
        <v/>
      </c>
      <c r="F1624" t="str">
        <f>""</f>
        <v/>
      </c>
      <c r="H1624" t="str">
        <f t="shared" si="36"/>
        <v>SOCIAL SECURITY TAXES</v>
      </c>
    </row>
    <row r="1625" spans="5:8" x14ac:dyDescent="0.25">
      <c r="E1625" t="str">
        <f>""</f>
        <v/>
      </c>
      <c r="F1625" t="str">
        <f>""</f>
        <v/>
      </c>
      <c r="H1625" t="str">
        <f t="shared" si="36"/>
        <v>SOCIAL SECURITY TAXES</v>
      </c>
    </row>
    <row r="1626" spans="5:8" x14ac:dyDescent="0.25">
      <c r="E1626" t="str">
        <f>""</f>
        <v/>
      </c>
      <c r="F1626" t="str">
        <f>""</f>
        <v/>
      </c>
      <c r="H1626" t="str">
        <f t="shared" si="36"/>
        <v>SOCIAL SECURITY TAXES</v>
      </c>
    </row>
    <row r="1627" spans="5:8" x14ac:dyDescent="0.25">
      <c r="E1627" t="str">
        <f>""</f>
        <v/>
      </c>
      <c r="F1627" t="str">
        <f>""</f>
        <v/>
      </c>
      <c r="H1627" t="str">
        <f t="shared" si="36"/>
        <v>SOCIAL SECURITY TAXES</v>
      </c>
    </row>
    <row r="1628" spans="5:8" x14ac:dyDescent="0.25">
      <c r="E1628" t="str">
        <f>""</f>
        <v/>
      </c>
      <c r="F1628" t="str">
        <f>""</f>
        <v/>
      </c>
      <c r="H1628" t="str">
        <f t="shared" si="36"/>
        <v>SOCIAL SECURITY TAXES</v>
      </c>
    </row>
    <row r="1629" spans="5:8" x14ac:dyDescent="0.25">
      <c r="E1629" t="str">
        <f>""</f>
        <v/>
      </c>
      <c r="F1629" t="str">
        <f>""</f>
        <v/>
      </c>
      <c r="H1629" t="str">
        <f t="shared" si="36"/>
        <v>SOCIAL SECURITY TAXES</v>
      </c>
    </row>
    <row r="1630" spans="5:8" x14ac:dyDescent="0.25">
      <c r="E1630" t="str">
        <f>""</f>
        <v/>
      </c>
      <c r="F1630" t="str">
        <f>""</f>
        <v/>
      </c>
      <c r="H1630" t="str">
        <f t="shared" si="36"/>
        <v>SOCIAL SECURITY TAXES</v>
      </c>
    </row>
    <row r="1631" spans="5:8" x14ac:dyDescent="0.25">
      <c r="E1631" t="str">
        <f>""</f>
        <v/>
      </c>
      <c r="F1631" t="str">
        <f>""</f>
        <v/>
      </c>
      <c r="H1631" t="str">
        <f t="shared" si="36"/>
        <v>SOCIAL SECURITY TAXES</v>
      </c>
    </row>
    <row r="1632" spans="5:8" x14ac:dyDescent="0.25">
      <c r="E1632" t="str">
        <f>""</f>
        <v/>
      </c>
      <c r="F1632" t="str">
        <f>""</f>
        <v/>
      </c>
      <c r="H1632" t="str">
        <f t="shared" si="36"/>
        <v>SOCIAL SECURITY TAXES</v>
      </c>
    </row>
    <row r="1633" spans="5:8" x14ac:dyDescent="0.25">
      <c r="E1633" t="str">
        <f>""</f>
        <v/>
      </c>
      <c r="F1633" t="str">
        <f>""</f>
        <v/>
      </c>
      <c r="H1633" t="str">
        <f t="shared" si="36"/>
        <v>SOCIAL SECURITY TAXES</v>
      </c>
    </row>
    <row r="1634" spans="5:8" x14ac:dyDescent="0.25">
      <c r="E1634" t="str">
        <f>""</f>
        <v/>
      </c>
      <c r="F1634" t="str">
        <f>""</f>
        <v/>
      </c>
      <c r="H1634" t="str">
        <f t="shared" si="36"/>
        <v>SOCIAL SECURITY TAXES</v>
      </c>
    </row>
    <row r="1635" spans="5:8" x14ac:dyDescent="0.25">
      <c r="E1635" t="str">
        <f>""</f>
        <v/>
      </c>
      <c r="F1635" t="str">
        <f>""</f>
        <v/>
      </c>
      <c r="H1635" t="str">
        <f t="shared" si="36"/>
        <v>SOCIAL SECURITY TAXES</v>
      </c>
    </row>
    <row r="1636" spans="5:8" x14ac:dyDescent="0.25">
      <c r="E1636" t="str">
        <f>""</f>
        <v/>
      </c>
      <c r="F1636" t="str">
        <f>""</f>
        <v/>
      </c>
      <c r="H1636" t="str">
        <f t="shared" si="36"/>
        <v>SOCIAL SECURITY TAXES</v>
      </c>
    </row>
    <row r="1637" spans="5:8" x14ac:dyDescent="0.25">
      <c r="E1637" t="str">
        <f>""</f>
        <v/>
      </c>
      <c r="F1637" t="str">
        <f>""</f>
        <v/>
      </c>
      <c r="H1637" t="str">
        <f t="shared" si="36"/>
        <v>SOCIAL SECURITY TAXES</v>
      </c>
    </row>
    <row r="1638" spans="5:8" x14ac:dyDescent="0.25">
      <c r="E1638" t="str">
        <f>""</f>
        <v/>
      </c>
      <c r="F1638" t="str">
        <f>""</f>
        <v/>
      </c>
      <c r="H1638" t="str">
        <f t="shared" si="36"/>
        <v>SOCIAL SECURITY TAXES</v>
      </c>
    </row>
    <row r="1639" spans="5:8" x14ac:dyDescent="0.25">
      <c r="E1639" t="str">
        <f>""</f>
        <v/>
      </c>
      <c r="F1639" t="str">
        <f>""</f>
        <v/>
      </c>
      <c r="H1639" t="str">
        <f t="shared" si="36"/>
        <v>SOCIAL SECURITY TAXES</v>
      </c>
    </row>
    <row r="1640" spans="5:8" x14ac:dyDescent="0.25">
      <c r="E1640" t="str">
        <f>""</f>
        <v/>
      </c>
      <c r="F1640" t="str">
        <f>""</f>
        <v/>
      </c>
      <c r="H1640" t="str">
        <f t="shared" si="36"/>
        <v>SOCIAL SECURITY TAXES</v>
      </c>
    </row>
    <row r="1641" spans="5:8" x14ac:dyDescent="0.25">
      <c r="E1641" t="str">
        <f>""</f>
        <v/>
      </c>
      <c r="F1641" t="str">
        <f>""</f>
        <v/>
      </c>
      <c r="H1641" t="str">
        <f t="shared" si="36"/>
        <v>SOCIAL SECURITY TAXES</v>
      </c>
    </row>
    <row r="1642" spans="5:8" x14ac:dyDescent="0.25">
      <c r="E1642" t="str">
        <f>""</f>
        <v/>
      </c>
      <c r="F1642" t="str">
        <f>""</f>
        <v/>
      </c>
      <c r="H1642" t="str">
        <f t="shared" ref="H1642:H1666" si="37">"SOCIAL SECURITY TAXES"</f>
        <v>SOCIAL SECURITY TAXES</v>
      </c>
    </row>
    <row r="1643" spans="5:8" x14ac:dyDescent="0.25">
      <c r="E1643" t="str">
        <f>""</f>
        <v/>
      </c>
      <c r="F1643" t="str">
        <f>""</f>
        <v/>
      </c>
      <c r="H1643" t="str">
        <f t="shared" si="37"/>
        <v>SOCIAL SECURITY TAXES</v>
      </c>
    </row>
    <row r="1644" spans="5:8" x14ac:dyDescent="0.25">
      <c r="E1644" t="str">
        <f>""</f>
        <v/>
      </c>
      <c r="F1644" t="str">
        <f>""</f>
        <v/>
      </c>
      <c r="H1644" t="str">
        <f t="shared" si="37"/>
        <v>SOCIAL SECURITY TAXES</v>
      </c>
    </row>
    <row r="1645" spans="5:8" x14ac:dyDescent="0.25">
      <c r="E1645" t="str">
        <f>""</f>
        <v/>
      </c>
      <c r="F1645" t="str">
        <f>""</f>
        <v/>
      </c>
      <c r="H1645" t="str">
        <f t="shared" si="37"/>
        <v>SOCIAL SECURITY TAXES</v>
      </c>
    </row>
    <row r="1646" spans="5:8" x14ac:dyDescent="0.25">
      <c r="E1646" t="str">
        <f>""</f>
        <v/>
      </c>
      <c r="F1646" t="str">
        <f>""</f>
        <v/>
      </c>
      <c r="H1646" t="str">
        <f t="shared" si="37"/>
        <v>SOCIAL SECURITY TAXES</v>
      </c>
    </row>
    <row r="1647" spans="5:8" x14ac:dyDescent="0.25">
      <c r="E1647" t="str">
        <f>""</f>
        <v/>
      </c>
      <c r="F1647" t="str">
        <f>""</f>
        <v/>
      </c>
      <c r="H1647" t="str">
        <f t="shared" si="37"/>
        <v>SOCIAL SECURITY TAXES</v>
      </c>
    </row>
    <row r="1648" spans="5:8" x14ac:dyDescent="0.25">
      <c r="E1648" t="str">
        <f>""</f>
        <v/>
      </c>
      <c r="F1648" t="str">
        <f>""</f>
        <v/>
      </c>
      <c r="H1648" t="str">
        <f t="shared" si="37"/>
        <v>SOCIAL SECURITY TAXES</v>
      </c>
    </row>
    <row r="1649" spans="5:8" x14ac:dyDescent="0.25">
      <c r="E1649" t="str">
        <f>""</f>
        <v/>
      </c>
      <c r="F1649" t="str">
        <f>""</f>
        <v/>
      </c>
      <c r="H1649" t="str">
        <f t="shared" si="37"/>
        <v>SOCIAL SECURITY TAXES</v>
      </c>
    </row>
    <row r="1650" spans="5:8" x14ac:dyDescent="0.25">
      <c r="E1650" t="str">
        <f>""</f>
        <v/>
      </c>
      <c r="F1650" t="str">
        <f>""</f>
        <v/>
      </c>
      <c r="H1650" t="str">
        <f t="shared" si="37"/>
        <v>SOCIAL SECURITY TAXES</v>
      </c>
    </row>
    <row r="1651" spans="5:8" x14ac:dyDescent="0.25">
      <c r="E1651" t="str">
        <f>""</f>
        <v/>
      </c>
      <c r="F1651" t="str">
        <f>""</f>
        <v/>
      </c>
      <c r="H1651" t="str">
        <f t="shared" si="37"/>
        <v>SOCIAL SECURITY TAXES</v>
      </c>
    </row>
    <row r="1652" spans="5:8" x14ac:dyDescent="0.25">
      <c r="E1652" t="str">
        <f>""</f>
        <v/>
      </c>
      <c r="F1652" t="str">
        <f>""</f>
        <v/>
      </c>
      <c r="H1652" t="str">
        <f t="shared" si="37"/>
        <v>SOCIAL SECURITY TAXES</v>
      </c>
    </row>
    <row r="1653" spans="5:8" x14ac:dyDescent="0.25">
      <c r="E1653" t="str">
        <f>""</f>
        <v/>
      </c>
      <c r="F1653" t="str">
        <f>""</f>
        <v/>
      </c>
      <c r="H1653" t="str">
        <f t="shared" si="37"/>
        <v>SOCIAL SECURITY TAXES</v>
      </c>
    </row>
    <row r="1654" spans="5:8" x14ac:dyDescent="0.25">
      <c r="E1654" t="str">
        <f>""</f>
        <v/>
      </c>
      <c r="F1654" t="str">
        <f>""</f>
        <v/>
      </c>
      <c r="H1654" t="str">
        <f t="shared" si="37"/>
        <v>SOCIAL SECURITY TAXES</v>
      </c>
    </row>
    <row r="1655" spans="5:8" x14ac:dyDescent="0.25">
      <c r="E1655" t="str">
        <f>""</f>
        <v/>
      </c>
      <c r="F1655" t="str">
        <f>""</f>
        <v/>
      </c>
      <c r="H1655" t="str">
        <f t="shared" si="37"/>
        <v>SOCIAL SECURITY TAXES</v>
      </c>
    </row>
    <row r="1656" spans="5:8" x14ac:dyDescent="0.25">
      <c r="E1656" t="str">
        <f>""</f>
        <v/>
      </c>
      <c r="F1656" t="str">
        <f>""</f>
        <v/>
      </c>
      <c r="H1656" t="str">
        <f t="shared" si="37"/>
        <v>SOCIAL SECURITY TAXES</v>
      </c>
    </row>
    <row r="1657" spans="5:8" x14ac:dyDescent="0.25">
      <c r="E1657" t="str">
        <f>""</f>
        <v/>
      </c>
      <c r="F1657" t="str">
        <f>""</f>
        <v/>
      </c>
      <c r="H1657" t="str">
        <f t="shared" si="37"/>
        <v>SOCIAL SECURITY TAXES</v>
      </c>
    </row>
    <row r="1658" spans="5:8" x14ac:dyDescent="0.25">
      <c r="E1658" t="str">
        <f>""</f>
        <v/>
      </c>
      <c r="F1658" t="str">
        <f>""</f>
        <v/>
      </c>
      <c r="H1658" t="str">
        <f t="shared" si="37"/>
        <v>SOCIAL SECURITY TAXES</v>
      </c>
    </row>
    <row r="1659" spans="5:8" x14ac:dyDescent="0.25">
      <c r="E1659" t="str">
        <f>""</f>
        <v/>
      </c>
      <c r="F1659" t="str">
        <f>""</f>
        <v/>
      </c>
      <c r="H1659" t="str">
        <f t="shared" si="37"/>
        <v>SOCIAL SECURITY TAXES</v>
      </c>
    </row>
    <row r="1660" spans="5:8" x14ac:dyDescent="0.25">
      <c r="E1660" t="str">
        <f>""</f>
        <v/>
      </c>
      <c r="F1660" t="str">
        <f>""</f>
        <v/>
      </c>
      <c r="H1660" t="str">
        <f t="shared" si="37"/>
        <v>SOCIAL SECURITY TAXES</v>
      </c>
    </row>
    <row r="1661" spans="5:8" x14ac:dyDescent="0.25">
      <c r="E1661" t="str">
        <f>""</f>
        <v/>
      </c>
      <c r="F1661" t="str">
        <f>""</f>
        <v/>
      </c>
      <c r="H1661" t="str">
        <f t="shared" si="37"/>
        <v>SOCIAL SECURITY TAXES</v>
      </c>
    </row>
    <row r="1662" spans="5:8" x14ac:dyDescent="0.25">
      <c r="E1662" t="str">
        <f>""</f>
        <v/>
      </c>
      <c r="F1662" t="str">
        <f>""</f>
        <v/>
      </c>
      <c r="H1662" t="str">
        <f t="shared" si="37"/>
        <v>SOCIAL SECURITY TAXES</v>
      </c>
    </row>
    <row r="1663" spans="5:8" x14ac:dyDescent="0.25">
      <c r="E1663" t="str">
        <f>"T3 202005126840"</f>
        <v>T3 202005126840</v>
      </c>
      <c r="F1663" t="str">
        <f>"SOCIAL SECURITY TAXES"</f>
        <v>SOCIAL SECURITY TAXES</v>
      </c>
      <c r="G1663" s="5">
        <v>4402.46</v>
      </c>
      <c r="H1663" t="str">
        <f t="shared" si="37"/>
        <v>SOCIAL SECURITY TAXES</v>
      </c>
    </row>
    <row r="1664" spans="5:8" x14ac:dyDescent="0.25">
      <c r="E1664" t="str">
        <f>""</f>
        <v/>
      </c>
      <c r="F1664" t="str">
        <f>""</f>
        <v/>
      </c>
      <c r="H1664" t="str">
        <f t="shared" si="37"/>
        <v>SOCIAL SECURITY TAXES</v>
      </c>
    </row>
    <row r="1665" spans="5:8" x14ac:dyDescent="0.25">
      <c r="E1665" t="str">
        <f>"T3 202005126841"</f>
        <v>T3 202005126841</v>
      </c>
      <c r="F1665" t="str">
        <f>"SOCIAL SECURITY TAXES"</f>
        <v>SOCIAL SECURITY TAXES</v>
      </c>
      <c r="G1665" s="5">
        <v>4917.78</v>
      </c>
      <c r="H1665" t="str">
        <f t="shared" si="37"/>
        <v>SOCIAL SECURITY TAXES</v>
      </c>
    </row>
    <row r="1666" spans="5:8" x14ac:dyDescent="0.25">
      <c r="E1666" t="str">
        <f>""</f>
        <v/>
      </c>
      <c r="F1666" t="str">
        <f>""</f>
        <v/>
      </c>
      <c r="H1666" t="str">
        <f t="shared" si="37"/>
        <v>SOCIAL SECURITY TAXES</v>
      </c>
    </row>
    <row r="1667" spans="5:8" x14ac:dyDescent="0.25">
      <c r="E1667" t="str">
        <f>"T4 202005126839"</f>
        <v>T4 202005126839</v>
      </c>
      <c r="F1667" t="str">
        <f>"MEDICARE TAXES"</f>
        <v>MEDICARE TAXES</v>
      </c>
      <c r="G1667" s="5">
        <v>27710.98</v>
      </c>
      <c r="H1667" t="str">
        <f t="shared" ref="H1667:H1698" si="38">"MEDICARE TAXES"</f>
        <v>MEDICARE TAXES</v>
      </c>
    </row>
    <row r="1668" spans="5:8" x14ac:dyDescent="0.25">
      <c r="E1668" t="str">
        <f>""</f>
        <v/>
      </c>
      <c r="F1668" t="str">
        <f>""</f>
        <v/>
      </c>
      <c r="H1668" t="str">
        <f t="shared" si="38"/>
        <v>MEDICARE TAXES</v>
      </c>
    </row>
    <row r="1669" spans="5:8" x14ac:dyDescent="0.25">
      <c r="E1669" t="str">
        <f>""</f>
        <v/>
      </c>
      <c r="F1669" t="str">
        <f>""</f>
        <v/>
      </c>
      <c r="H1669" t="str">
        <f t="shared" si="38"/>
        <v>MEDICARE TAXES</v>
      </c>
    </row>
    <row r="1670" spans="5:8" x14ac:dyDescent="0.25">
      <c r="E1670" t="str">
        <f>""</f>
        <v/>
      </c>
      <c r="F1670" t="str">
        <f>""</f>
        <v/>
      </c>
      <c r="H1670" t="str">
        <f t="shared" si="38"/>
        <v>MEDICARE TAXES</v>
      </c>
    </row>
    <row r="1671" spans="5:8" x14ac:dyDescent="0.25">
      <c r="E1671" t="str">
        <f>""</f>
        <v/>
      </c>
      <c r="F1671" t="str">
        <f>""</f>
        <v/>
      </c>
      <c r="H1671" t="str">
        <f t="shared" si="38"/>
        <v>MEDICARE TAXES</v>
      </c>
    </row>
    <row r="1672" spans="5:8" x14ac:dyDescent="0.25">
      <c r="E1672" t="str">
        <f>""</f>
        <v/>
      </c>
      <c r="F1672" t="str">
        <f>""</f>
        <v/>
      </c>
      <c r="H1672" t="str">
        <f t="shared" si="38"/>
        <v>MEDICARE TAXES</v>
      </c>
    </row>
    <row r="1673" spans="5:8" x14ac:dyDescent="0.25">
      <c r="E1673" t="str">
        <f>""</f>
        <v/>
      </c>
      <c r="F1673" t="str">
        <f>""</f>
        <v/>
      </c>
      <c r="H1673" t="str">
        <f t="shared" si="38"/>
        <v>MEDICARE TAXES</v>
      </c>
    </row>
    <row r="1674" spans="5:8" x14ac:dyDescent="0.25">
      <c r="E1674" t="str">
        <f>""</f>
        <v/>
      </c>
      <c r="F1674" t="str">
        <f>""</f>
        <v/>
      </c>
      <c r="H1674" t="str">
        <f t="shared" si="38"/>
        <v>MEDICARE TAXES</v>
      </c>
    </row>
    <row r="1675" spans="5:8" x14ac:dyDescent="0.25">
      <c r="E1675" t="str">
        <f>""</f>
        <v/>
      </c>
      <c r="F1675" t="str">
        <f>""</f>
        <v/>
      </c>
      <c r="H1675" t="str">
        <f t="shared" si="38"/>
        <v>MEDICARE TAXES</v>
      </c>
    </row>
    <row r="1676" spans="5:8" x14ac:dyDescent="0.25">
      <c r="E1676" t="str">
        <f>""</f>
        <v/>
      </c>
      <c r="F1676" t="str">
        <f>""</f>
        <v/>
      </c>
      <c r="H1676" t="str">
        <f t="shared" si="38"/>
        <v>MEDICARE TAXES</v>
      </c>
    </row>
    <row r="1677" spans="5:8" x14ac:dyDescent="0.25">
      <c r="E1677" t="str">
        <f>""</f>
        <v/>
      </c>
      <c r="F1677" t="str">
        <f>""</f>
        <v/>
      </c>
      <c r="H1677" t="str">
        <f t="shared" si="38"/>
        <v>MEDICARE TAXES</v>
      </c>
    </row>
    <row r="1678" spans="5:8" x14ac:dyDescent="0.25">
      <c r="E1678" t="str">
        <f>""</f>
        <v/>
      </c>
      <c r="F1678" t="str">
        <f>""</f>
        <v/>
      </c>
      <c r="H1678" t="str">
        <f t="shared" si="38"/>
        <v>MEDICARE TAXES</v>
      </c>
    </row>
    <row r="1679" spans="5:8" x14ac:dyDescent="0.25">
      <c r="E1679" t="str">
        <f>""</f>
        <v/>
      </c>
      <c r="F1679" t="str">
        <f>""</f>
        <v/>
      </c>
      <c r="H1679" t="str">
        <f t="shared" si="38"/>
        <v>MEDICARE TAXES</v>
      </c>
    </row>
    <row r="1680" spans="5:8" x14ac:dyDescent="0.25">
      <c r="E1680" t="str">
        <f>""</f>
        <v/>
      </c>
      <c r="F1680" t="str">
        <f>""</f>
        <v/>
      </c>
      <c r="H1680" t="str">
        <f t="shared" si="38"/>
        <v>MEDICARE TAXES</v>
      </c>
    </row>
    <row r="1681" spans="5:8" x14ac:dyDescent="0.25">
      <c r="E1681" t="str">
        <f>""</f>
        <v/>
      </c>
      <c r="F1681" t="str">
        <f>""</f>
        <v/>
      </c>
      <c r="H1681" t="str">
        <f t="shared" si="38"/>
        <v>MEDICARE TAXES</v>
      </c>
    </row>
    <row r="1682" spans="5:8" x14ac:dyDescent="0.25">
      <c r="E1682" t="str">
        <f>""</f>
        <v/>
      </c>
      <c r="F1682" t="str">
        <f>""</f>
        <v/>
      </c>
      <c r="H1682" t="str">
        <f t="shared" si="38"/>
        <v>MEDICARE TAXES</v>
      </c>
    </row>
    <row r="1683" spans="5:8" x14ac:dyDescent="0.25">
      <c r="E1683" t="str">
        <f>""</f>
        <v/>
      </c>
      <c r="F1683" t="str">
        <f>""</f>
        <v/>
      </c>
      <c r="H1683" t="str">
        <f t="shared" si="38"/>
        <v>MEDICARE TAXES</v>
      </c>
    </row>
    <row r="1684" spans="5:8" x14ac:dyDescent="0.25">
      <c r="E1684" t="str">
        <f>""</f>
        <v/>
      </c>
      <c r="F1684" t="str">
        <f>""</f>
        <v/>
      </c>
      <c r="H1684" t="str">
        <f t="shared" si="38"/>
        <v>MEDICARE TAXES</v>
      </c>
    </row>
    <row r="1685" spans="5:8" x14ac:dyDescent="0.25">
      <c r="E1685" t="str">
        <f>""</f>
        <v/>
      </c>
      <c r="F1685" t="str">
        <f>""</f>
        <v/>
      </c>
      <c r="H1685" t="str">
        <f t="shared" si="38"/>
        <v>MEDICARE TAXES</v>
      </c>
    </row>
    <row r="1686" spans="5:8" x14ac:dyDescent="0.25">
      <c r="E1686" t="str">
        <f>""</f>
        <v/>
      </c>
      <c r="F1686" t="str">
        <f>""</f>
        <v/>
      </c>
      <c r="H1686" t="str">
        <f t="shared" si="38"/>
        <v>MEDICARE TAXES</v>
      </c>
    </row>
    <row r="1687" spans="5:8" x14ac:dyDescent="0.25">
      <c r="E1687" t="str">
        <f>""</f>
        <v/>
      </c>
      <c r="F1687" t="str">
        <f>""</f>
        <v/>
      </c>
      <c r="H1687" t="str">
        <f t="shared" si="38"/>
        <v>MEDICARE TAXES</v>
      </c>
    </row>
    <row r="1688" spans="5:8" x14ac:dyDescent="0.25">
      <c r="E1688" t="str">
        <f>""</f>
        <v/>
      </c>
      <c r="F1688" t="str">
        <f>""</f>
        <v/>
      </c>
      <c r="H1688" t="str">
        <f t="shared" si="38"/>
        <v>MEDICARE TAXES</v>
      </c>
    </row>
    <row r="1689" spans="5:8" x14ac:dyDescent="0.25">
      <c r="E1689" t="str">
        <f>""</f>
        <v/>
      </c>
      <c r="F1689" t="str">
        <f>""</f>
        <v/>
      </c>
      <c r="H1689" t="str">
        <f t="shared" si="38"/>
        <v>MEDICARE TAXES</v>
      </c>
    </row>
    <row r="1690" spans="5:8" x14ac:dyDescent="0.25">
      <c r="E1690" t="str">
        <f>""</f>
        <v/>
      </c>
      <c r="F1690" t="str">
        <f>""</f>
        <v/>
      </c>
      <c r="H1690" t="str">
        <f t="shared" si="38"/>
        <v>MEDICARE TAXES</v>
      </c>
    </row>
    <row r="1691" spans="5:8" x14ac:dyDescent="0.25">
      <c r="E1691" t="str">
        <f>""</f>
        <v/>
      </c>
      <c r="F1691" t="str">
        <f>""</f>
        <v/>
      </c>
      <c r="H1691" t="str">
        <f t="shared" si="38"/>
        <v>MEDICARE TAXES</v>
      </c>
    </row>
    <row r="1692" spans="5:8" x14ac:dyDescent="0.25">
      <c r="E1692" t="str">
        <f>""</f>
        <v/>
      </c>
      <c r="F1692" t="str">
        <f>""</f>
        <v/>
      </c>
      <c r="H1692" t="str">
        <f t="shared" si="38"/>
        <v>MEDICARE TAXES</v>
      </c>
    </row>
    <row r="1693" spans="5:8" x14ac:dyDescent="0.25">
      <c r="E1693" t="str">
        <f>""</f>
        <v/>
      </c>
      <c r="F1693" t="str">
        <f>""</f>
        <v/>
      </c>
      <c r="H1693" t="str">
        <f t="shared" si="38"/>
        <v>MEDICARE TAXES</v>
      </c>
    </row>
    <row r="1694" spans="5:8" x14ac:dyDescent="0.25">
      <c r="E1694" t="str">
        <f>""</f>
        <v/>
      </c>
      <c r="F1694" t="str">
        <f>""</f>
        <v/>
      </c>
      <c r="H1694" t="str">
        <f t="shared" si="38"/>
        <v>MEDICARE TAXES</v>
      </c>
    </row>
    <row r="1695" spans="5:8" x14ac:dyDescent="0.25">
      <c r="E1695" t="str">
        <f>""</f>
        <v/>
      </c>
      <c r="F1695" t="str">
        <f>""</f>
        <v/>
      </c>
      <c r="H1695" t="str">
        <f t="shared" si="38"/>
        <v>MEDICARE TAXES</v>
      </c>
    </row>
    <row r="1696" spans="5:8" x14ac:dyDescent="0.25">
      <c r="E1696" t="str">
        <f>""</f>
        <v/>
      </c>
      <c r="F1696" t="str">
        <f>""</f>
        <v/>
      </c>
      <c r="H1696" t="str">
        <f t="shared" si="38"/>
        <v>MEDICARE TAXES</v>
      </c>
    </row>
    <row r="1697" spans="5:8" x14ac:dyDescent="0.25">
      <c r="E1697" t="str">
        <f>""</f>
        <v/>
      </c>
      <c r="F1697" t="str">
        <f>""</f>
        <v/>
      </c>
      <c r="H1697" t="str">
        <f t="shared" si="38"/>
        <v>MEDICARE TAXES</v>
      </c>
    </row>
    <row r="1698" spans="5:8" x14ac:dyDescent="0.25">
      <c r="E1698" t="str">
        <f>""</f>
        <v/>
      </c>
      <c r="F1698" t="str">
        <f>""</f>
        <v/>
      </c>
      <c r="H1698" t="str">
        <f t="shared" si="38"/>
        <v>MEDICARE TAXES</v>
      </c>
    </row>
    <row r="1699" spans="5:8" x14ac:dyDescent="0.25">
      <c r="E1699" t="str">
        <f>""</f>
        <v/>
      </c>
      <c r="F1699" t="str">
        <f>""</f>
        <v/>
      </c>
      <c r="H1699" t="str">
        <f t="shared" ref="H1699:H1723" si="39">"MEDICARE TAXES"</f>
        <v>MEDICARE TAXES</v>
      </c>
    </row>
    <row r="1700" spans="5:8" x14ac:dyDescent="0.25">
      <c r="E1700" t="str">
        <f>""</f>
        <v/>
      </c>
      <c r="F1700" t="str">
        <f>""</f>
        <v/>
      </c>
      <c r="H1700" t="str">
        <f t="shared" si="39"/>
        <v>MEDICARE TAXES</v>
      </c>
    </row>
    <row r="1701" spans="5:8" x14ac:dyDescent="0.25">
      <c r="E1701" t="str">
        <f>""</f>
        <v/>
      </c>
      <c r="F1701" t="str">
        <f>""</f>
        <v/>
      </c>
      <c r="H1701" t="str">
        <f t="shared" si="39"/>
        <v>MEDICARE TAXES</v>
      </c>
    </row>
    <row r="1702" spans="5:8" x14ac:dyDescent="0.25">
      <c r="E1702" t="str">
        <f>""</f>
        <v/>
      </c>
      <c r="F1702" t="str">
        <f>""</f>
        <v/>
      </c>
      <c r="H1702" t="str">
        <f t="shared" si="39"/>
        <v>MEDICARE TAXES</v>
      </c>
    </row>
    <row r="1703" spans="5:8" x14ac:dyDescent="0.25">
      <c r="E1703" t="str">
        <f>""</f>
        <v/>
      </c>
      <c r="F1703" t="str">
        <f>""</f>
        <v/>
      </c>
      <c r="H1703" t="str">
        <f t="shared" si="39"/>
        <v>MEDICARE TAXES</v>
      </c>
    </row>
    <row r="1704" spans="5:8" x14ac:dyDescent="0.25">
      <c r="E1704" t="str">
        <f>""</f>
        <v/>
      </c>
      <c r="F1704" t="str">
        <f>""</f>
        <v/>
      </c>
      <c r="H1704" t="str">
        <f t="shared" si="39"/>
        <v>MEDICARE TAXES</v>
      </c>
    </row>
    <row r="1705" spans="5:8" x14ac:dyDescent="0.25">
      <c r="E1705" t="str">
        <f>""</f>
        <v/>
      </c>
      <c r="F1705" t="str">
        <f>""</f>
        <v/>
      </c>
      <c r="H1705" t="str">
        <f t="shared" si="39"/>
        <v>MEDICARE TAXES</v>
      </c>
    </row>
    <row r="1706" spans="5:8" x14ac:dyDescent="0.25">
      <c r="E1706" t="str">
        <f>""</f>
        <v/>
      </c>
      <c r="F1706" t="str">
        <f>""</f>
        <v/>
      </c>
      <c r="H1706" t="str">
        <f t="shared" si="39"/>
        <v>MEDICARE TAXES</v>
      </c>
    </row>
    <row r="1707" spans="5:8" x14ac:dyDescent="0.25">
      <c r="E1707" t="str">
        <f>""</f>
        <v/>
      </c>
      <c r="F1707" t="str">
        <f>""</f>
        <v/>
      </c>
      <c r="H1707" t="str">
        <f t="shared" si="39"/>
        <v>MEDICARE TAXES</v>
      </c>
    </row>
    <row r="1708" spans="5:8" x14ac:dyDescent="0.25">
      <c r="E1708" t="str">
        <f>""</f>
        <v/>
      </c>
      <c r="F1708" t="str">
        <f>""</f>
        <v/>
      </c>
      <c r="H1708" t="str">
        <f t="shared" si="39"/>
        <v>MEDICARE TAXES</v>
      </c>
    </row>
    <row r="1709" spans="5:8" x14ac:dyDescent="0.25">
      <c r="E1709" t="str">
        <f>""</f>
        <v/>
      </c>
      <c r="F1709" t="str">
        <f>""</f>
        <v/>
      </c>
      <c r="H1709" t="str">
        <f t="shared" si="39"/>
        <v>MEDICARE TAXES</v>
      </c>
    </row>
    <row r="1710" spans="5:8" x14ac:dyDescent="0.25">
      <c r="E1710" t="str">
        <f>""</f>
        <v/>
      </c>
      <c r="F1710" t="str">
        <f>""</f>
        <v/>
      </c>
      <c r="H1710" t="str">
        <f t="shared" si="39"/>
        <v>MEDICARE TAXES</v>
      </c>
    </row>
    <row r="1711" spans="5:8" x14ac:dyDescent="0.25">
      <c r="E1711" t="str">
        <f>""</f>
        <v/>
      </c>
      <c r="F1711" t="str">
        <f>""</f>
        <v/>
      </c>
      <c r="H1711" t="str">
        <f t="shared" si="39"/>
        <v>MEDICARE TAXES</v>
      </c>
    </row>
    <row r="1712" spans="5:8" x14ac:dyDescent="0.25">
      <c r="E1712" t="str">
        <f>""</f>
        <v/>
      </c>
      <c r="F1712" t="str">
        <f>""</f>
        <v/>
      </c>
      <c r="H1712" t="str">
        <f t="shared" si="39"/>
        <v>MEDICARE TAXES</v>
      </c>
    </row>
    <row r="1713" spans="1:8" x14ac:dyDescent="0.25">
      <c r="E1713" t="str">
        <f>""</f>
        <v/>
      </c>
      <c r="F1713" t="str">
        <f>""</f>
        <v/>
      </c>
      <c r="H1713" t="str">
        <f t="shared" si="39"/>
        <v>MEDICARE TAXES</v>
      </c>
    </row>
    <row r="1714" spans="1:8" x14ac:dyDescent="0.25">
      <c r="E1714" t="str">
        <f>""</f>
        <v/>
      </c>
      <c r="F1714" t="str">
        <f>""</f>
        <v/>
      </c>
      <c r="H1714" t="str">
        <f t="shared" si="39"/>
        <v>MEDICARE TAXES</v>
      </c>
    </row>
    <row r="1715" spans="1:8" x14ac:dyDescent="0.25">
      <c r="E1715" t="str">
        <f>""</f>
        <v/>
      </c>
      <c r="F1715" t="str">
        <f>""</f>
        <v/>
      </c>
      <c r="H1715" t="str">
        <f t="shared" si="39"/>
        <v>MEDICARE TAXES</v>
      </c>
    </row>
    <row r="1716" spans="1:8" x14ac:dyDescent="0.25">
      <c r="E1716" t="str">
        <f>""</f>
        <v/>
      </c>
      <c r="F1716" t="str">
        <f>""</f>
        <v/>
      </c>
      <c r="H1716" t="str">
        <f t="shared" si="39"/>
        <v>MEDICARE TAXES</v>
      </c>
    </row>
    <row r="1717" spans="1:8" x14ac:dyDescent="0.25">
      <c r="E1717" t="str">
        <f>""</f>
        <v/>
      </c>
      <c r="F1717" t="str">
        <f>""</f>
        <v/>
      </c>
      <c r="H1717" t="str">
        <f t="shared" si="39"/>
        <v>MEDICARE TAXES</v>
      </c>
    </row>
    <row r="1718" spans="1:8" x14ac:dyDescent="0.25">
      <c r="E1718" t="str">
        <f>""</f>
        <v/>
      </c>
      <c r="F1718" t="str">
        <f>""</f>
        <v/>
      </c>
      <c r="H1718" t="str">
        <f t="shared" si="39"/>
        <v>MEDICARE TAXES</v>
      </c>
    </row>
    <row r="1719" spans="1:8" x14ac:dyDescent="0.25">
      <c r="E1719" t="str">
        <f>""</f>
        <v/>
      </c>
      <c r="F1719" t="str">
        <f>""</f>
        <v/>
      </c>
      <c r="H1719" t="str">
        <f t="shared" si="39"/>
        <v>MEDICARE TAXES</v>
      </c>
    </row>
    <row r="1720" spans="1:8" x14ac:dyDescent="0.25">
      <c r="E1720" t="str">
        <f>"T4 202005126840"</f>
        <v>T4 202005126840</v>
      </c>
      <c r="F1720" t="str">
        <f>"MEDICARE TAXES"</f>
        <v>MEDICARE TAXES</v>
      </c>
      <c r="G1720" s="5">
        <v>1029.6199999999999</v>
      </c>
      <c r="H1720" t="str">
        <f t="shared" si="39"/>
        <v>MEDICARE TAXES</v>
      </c>
    </row>
    <row r="1721" spans="1:8" x14ac:dyDescent="0.25">
      <c r="E1721" t="str">
        <f>""</f>
        <v/>
      </c>
      <c r="F1721" t="str">
        <f>""</f>
        <v/>
      </c>
      <c r="H1721" t="str">
        <f t="shared" si="39"/>
        <v>MEDICARE TAXES</v>
      </c>
    </row>
    <row r="1722" spans="1:8" x14ac:dyDescent="0.25">
      <c r="E1722" t="str">
        <f>"T4 202005126841"</f>
        <v>T4 202005126841</v>
      </c>
      <c r="F1722" t="str">
        <f>"MEDICARE TAXES"</f>
        <v>MEDICARE TAXES</v>
      </c>
      <c r="G1722" s="5">
        <v>1150.1400000000001</v>
      </c>
      <c r="H1722" t="str">
        <f t="shared" si="39"/>
        <v>MEDICARE TAXES</v>
      </c>
    </row>
    <row r="1723" spans="1:8" x14ac:dyDescent="0.25">
      <c r="E1723" t="str">
        <f>""</f>
        <v/>
      </c>
      <c r="F1723" t="str">
        <f>""</f>
        <v/>
      </c>
      <c r="H1723" t="str">
        <f t="shared" si="39"/>
        <v>MEDICARE TAXES</v>
      </c>
    </row>
    <row r="1724" spans="1:8" x14ac:dyDescent="0.25">
      <c r="A1724" t="s">
        <v>308</v>
      </c>
      <c r="B1724">
        <v>538</v>
      </c>
      <c r="C1724" s="5">
        <v>247438.3</v>
      </c>
      <c r="D1724" s="1">
        <v>43980</v>
      </c>
      <c r="E1724" t="str">
        <f>"T1 202005267009"</f>
        <v>T1 202005267009</v>
      </c>
      <c r="F1724" t="str">
        <f>"FEDERAL WITHHOLDING"</f>
        <v>FEDERAL WITHHOLDING</v>
      </c>
      <c r="G1724" s="5">
        <v>83367.94</v>
      </c>
      <c r="H1724" t="str">
        <f>"FEDERAL WITHHOLDING"</f>
        <v>FEDERAL WITHHOLDING</v>
      </c>
    </row>
    <row r="1725" spans="1:8" x14ac:dyDescent="0.25">
      <c r="E1725" t="str">
        <f>"T1 202005267010"</f>
        <v>T1 202005267010</v>
      </c>
      <c r="F1725" t="str">
        <f>"FEDERAL WITHHOLDING"</f>
        <v>FEDERAL WITHHOLDING</v>
      </c>
      <c r="G1725" s="5">
        <v>3376.08</v>
      </c>
      <c r="H1725" t="str">
        <f>"FEDERAL WITHHOLDING"</f>
        <v>FEDERAL WITHHOLDING</v>
      </c>
    </row>
    <row r="1726" spans="1:8" x14ac:dyDescent="0.25">
      <c r="E1726" t="str">
        <f>"T1 202005267011"</f>
        <v>T1 202005267011</v>
      </c>
      <c r="F1726" t="str">
        <f>"FEDERAL WITHHOLDING"</f>
        <v>FEDERAL WITHHOLDING</v>
      </c>
      <c r="G1726" s="5">
        <v>3897.3</v>
      </c>
      <c r="H1726" t="str">
        <f>"FEDERAL WITHHOLDING"</f>
        <v>FEDERAL WITHHOLDING</v>
      </c>
    </row>
    <row r="1727" spans="1:8" x14ac:dyDescent="0.25">
      <c r="E1727" t="str">
        <f>"T3 202005267009"</f>
        <v>T3 202005267009</v>
      </c>
      <c r="F1727" t="str">
        <f>"SOCIAL SECURITY TAXES"</f>
        <v>SOCIAL SECURITY TAXES</v>
      </c>
      <c r="G1727" s="5">
        <v>117062.14</v>
      </c>
      <c r="H1727" t="str">
        <f t="shared" ref="H1727:H1758" si="40">"SOCIAL SECURITY TAXES"</f>
        <v>SOCIAL SECURITY TAXES</v>
      </c>
    </row>
    <row r="1728" spans="1:8" x14ac:dyDescent="0.25">
      <c r="E1728" t="str">
        <f>""</f>
        <v/>
      </c>
      <c r="F1728" t="str">
        <f>""</f>
        <v/>
      </c>
      <c r="H1728" t="str">
        <f t="shared" si="40"/>
        <v>SOCIAL SECURITY TAXES</v>
      </c>
    </row>
    <row r="1729" spans="5:8" x14ac:dyDescent="0.25">
      <c r="E1729" t="str">
        <f>""</f>
        <v/>
      </c>
      <c r="F1729" t="str">
        <f>""</f>
        <v/>
      </c>
      <c r="H1729" t="str">
        <f t="shared" si="40"/>
        <v>SOCIAL SECURITY TAXES</v>
      </c>
    </row>
    <row r="1730" spans="5:8" x14ac:dyDescent="0.25">
      <c r="E1730" t="str">
        <f>""</f>
        <v/>
      </c>
      <c r="F1730" t="str">
        <f>""</f>
        <v/>
      </c>
      <c r="H1730" t="str">
        <f t="shared" si="40"/>
        <v>SOCIAL SECURITY TAXES</v>
      </c>
    </row>
    <row r="1731" spans="5:8" x14ac:dyDescent="0.25">
      <c r="E1731" t="str">
        <f>""</f>
        <v/>
      </c>
      <c r="F1731" t="str">
        <f>""</f>
        <v/>
      </c>
      <c r="H1731" t="str">
        <f t="shared" si="40"/>
        <v>SOCIAL SECURITY TAXES</v>
      </c>
    </row>
    <row r="1732" spans="5:8" x14ac:dyDescent="0.25">
      <c r="E1732" t="str">
        <f>""</f>
        <v/>
      </c>
      <c r="F1732" t="str">
        <f>""</f>
        <v/>
      </c>
      <c r="H1732" t="str">
        <f t="shared" si="40"/>
        <v>SOCIAL SECURITY TAXES</v>
      </c>
    </row>
    <row r="1733" spans="5:8" x14ac:dyDescent="0.25">
      <c r="E1733" t="str">
        <f>""</f>
        <v/>
      </c>
      <c r="F1733" t="str">
        <f>""</f>
        <v/>
      </c>
      <c r="H1733" t="str">
        <f t="shared" si="40"/>
        <v>SOCIAL SECURITY TAXES</v>
      </c>
    </row>
    <row r="1734" spans="5:8" x14ac:dyDescent="0.25">
      <c r="E1734" t="str">
        <f>""</f>
        <v/>
      </c>
      <c r="F1734" t="str">
        <f>""</f>
        <v/>
      </c>
      <c r="H1734" t="str">
        <f t="shared" si="40"/>
        <v>SOCIAL SECURITY TAXES</v>
      </c>
    </row>
    <row r="1735" spans="5:8" x14ac:dyDescent="0.25">
      <c r="E1735" t="str">
        <f>""</f>
        <v/>
      </c>
      <c r="F1735" t="str">
        <f>""</f>
        <v/>
      </c>
      <c r="H1735" t="str">
        <f t="shared" si="40"/>
        <v>SOCIAL SECURITY TAXES</v>
      </c>
    </row>
    <row r="1736" spans="5:8" x14ac:dyDescent="0.25">
      <c r="E1736" t="str">
        <f>""</f>
        <v/>
      </c>
      <c r="F1736" t="str">
        <f>""</f>
        <v/>
      </c>
      <c r="H1736" t="str">
        <f t="shared" si="40"/>
        <v>SOCIAL SECURITY TAXES</v>
      </c>
    </row>
    <row r="1737" spans="5:8" x14ac:dyDescent="0.25">
      <c r="E1737" t="str">
        <f>""</f>
        <v/>
      </c>
      <c r="F1737" t="str">
        <f>""</f>
        <v/>
      </c>
      <c r="H1737" t="str">
        <f t="shared" si="40"/>
        <v>SOCIAL SECURITY TAXES</v>
      </c>
    </row>
    <row r="1738" spans="5:8" x14ac:dyDescent="0.25">
      <c r="E1738" t="str">
        <f>""</f>
        <v/>
      </c>
      <c r="F1738" t="str">
        <f>""</f>
        <v/>
      </c>
      <c r="H1738" t="str">
        <f t="shared" si="40"/>
        <v>SOCIAL SECURITY TAXES</v>
      </c>
    </row>
    <row r="1739" spans="5:8" x14ac:dyDescent="0.25">
      <c r="E1739" t="str">
        <f>""</f>
        <v/>
      </c>
      <c r="F1739" t="str">
        <f>""</f>
        <v/>
      </c>
      <c r="H1739" t="str">
        <f t="shared" si="40"/>
        <v>SOCIAL SECURITY TAXES</v>
      </c>
    </row>
    <row r="1740" spans="5:8" x14ac:dyDescent="0.25">
      <c r="E1740" t="str">
        <f>""</f>
        <v/>
      </c>
      <c r="F1740" t="str">
        <f>""</f>
        <v/>
      </c>
      <c r="H1740" t="str">
        <f t="shared" si="40"/>
        <v>SOCIAL SECURITY TAXES</v>
      </c>
    </row>
    <row r="1741" spans="5:8" x14ac:dyDescent="0.25">
      <c r="E1741" t="str">
        <f>""</f>
        <v/>
      </c>
      <c r="F1741" t="str">
        <f>""</f>
        <v/>
      </c>
      <c r="H1741" t="str">
        <f t="shared" si="40"/>
        <v>SOCIAL SECURITY TAXES</v>
      </c>
    </row>
    <row r="1742" spans="5:8" x14ac:dyDescent="0.25">
      <c r="E1742" t="str">
        <f>""</f>
        <v/>
      </c>
      <c r="F1742" t="str">
        <f>""</f>
        <v/>
      </c>
      <c r="H1742" t="str">
        <f t="shared" si="40"/>
        <v>SOCIAL SECURITY TAXES</v>
      </c>
    </row>
    <row r="1743" spans="5:8" x14ac:dyDescent="0.25">
      <c r="E1743" t="str">
        <f>""</f>
        <v/>
      </c>
      <c r="F1743" t="str">
        <f>""</f>
        <v/>
      </c>
      <c r="H1743" t="str">
        <f t="shared" si="40"/>
        <v>SOCIAL SECURITY TAXES</v>
      </c>
    </row>
    <row r="1744" spans="5:8" x14ac:dyDescent="0.25">
      <c r="E1744" t="str">
        <f>""</f>
        <v/>
      </c>
      <c r="F1744" t="str">
        <f>""</f>
        <v/>
      </c>
      <c r="H1744" t="str">
        <f t="shared" si="40"/>
        <v>SOCIAL SECURITY TAXES</v>
      </c>
    </row>
    <row r="1745" spans="5:8" x14ac:dyDescent="0.25">
      <c r="E1745" t="str">
        <f>""</f>
        <v/>
      </c>
      <c r="F1745" t="str">
        <f>""</f>
        <v/>
      </c>
      <c r="H1745" t="str">
        <f t="shared" si="40"/>
        <v>SOCIAL SECURITY TAXES</v>
      </c>
    </row>
    <row r="1746" spans="5:8" x14ac:dyDescent="0.25">
      <c r="E1746" t="str">
        <f>""</f>
        <v/>
      </c>
      <c r="F1746" t="str">
        <f>""</f>
        <v/>
      </c>
      <c r="H1746" t="str">
        <f t="shared" si="40"/>
        <v>SOCIAL SECURITY TAXES</v>
      </c>
    </row>
    <row r="1747" spans="5:8" x14ac:dyDescent="0.25">
      <c r="E1747" t="str">
        <f>""</f>
        <v/>
      </c>
      <c r="F1747" t="str">
        <f>""</f>
        <v/>
      </c>
      <c r="H1747" t="str">
        <f t="shared" si="40"/>
        <v>SOCIAL SECURITY TAXES</v>
      </c>
    </row>
    <row r="1748" spans="5:8" x14ac:dyDescent="0.25">
      <c r="E1748" t="str">
        <f>""</f>
        <v/>
      </c>
      <c r="F1748" t="str">
        <f>""</f>
        <v/>
      </c>
      <c r="H1748" t="str">
        <f t="shared" si="40"/>
        <v>SOCIAL SECURITY TAXES</v>
      </c>
    </row>
    <row r="1749" spans="5:8" x14ac:dyDescent="0.25">
      <c r="E1749" t="str">
        <f>""</f>
        <v/>
      </c>
      <c r="F1749" t="str">
        <f>""</f>
        <v/>
      </c>
      <c r="H1749" t="str">
        <f t="shared" si="40"/>
        <v>SOCIAL SECURITY TAXES</v>
      </c>
    </row>
    <row r="1750" spans="5:8" x14ac:dyDescent="0.25">
      <c r="E1750" t="str">
        <f>""</f>
        <v/>
      </c>
      <c r="F1750" t="str">
        <f>""</f>
        <v/>
      </c>
      <c r="H1750" t="str">
        <f t="shared" si="40"/>
        <v>SOCIAL SECURITY TAXES</v>
      </c>
    </row>
    <row r="1751" spans="5:8" x14ac:dyDescent="0.25">
      <c r="E1751" t="str">
        <f>""</f>
        <v/>
      </c>
      <c r="F1751" t="str">
        <f>""</f>
        <v/>
      </c>
      <c r="H1751" t="str">
        <f t="shared" si="40"/>
        <v>SOCIAL SECURITY TAXES</v>
      </c>
    </row>
    <row r="1752" spans="5:8" x14ac:dyDescent="0.25">
      <c r="E1752" t="str">
        <f>""</f>
        <v/>
      </c>
      <c r="F1752" t="str">
        <f>""</f>
        <v/>
      </c>
      <c r="H1752" t="str">
        <f t="shared" si="40"/>
        <v>SOCIAL SECURITY TAXES</v>
      </c>
    </row>
    <row r="1753" spans="5:8" x14ac:dyDescent="0.25">
      <c r="E1753" t="str">
        <f>""</f>
        <v/>
      </c>
      <c r="F1753" t="str">
        <f>""</f>
        <v/>
      </c>
      <c r="H1753" t="str">
        <f t="shared" si="40"/>
        <v>SOCIAL SECURITY TAXES</v>
      </c>
    </row>
    <row r="1754" spans="5:8" x14ac:dyDescent="0.25">
      <c r="E1754" t="str">
        <f>""</f>
        <v/>
      </c>
      <c r="F1754" t="str">
        <f>""</f>
        <v/>
      </c>
      <c r="H1754" t="str">
        <f t="shared" si="40"/>
        <v>SOCIAL SECURITY TAXES</v>
      </c>
    </row>
    <row r="1755" spans="5:8" x14ac:dyDescent="0.25">
      <c r="E1755" t="str">
        <f>""</f>
        <v/>
      </c>
      <c r="F1755" t="str">
        <f>""</f>
        <v/>
      </c>
      <c r="H1755" t="str">
        <f t="shared" si="40"/>
        <v>SOCIAL SECURITY TAXES</v>
      </c>
    </row>
    <row r="1756" spans="5:8" x14ac:dyDescent="0.25">
      <c r="E1756" t="str">
        <f>""</f>
        <v/>
      </c>
      <c r="F1756" t="str">
        <f>""</f>
        <v/>
      </c>
      <c r="H1756" t="str">
        <f t="shared" si="40"/>
        <v>SOCIAL SECURITY TAXES</v>
      </c>
    </row>
    <row r="1757" spans="5:8" x14ac:dyDescent="0.25">
      <c r="E1757" t="str">
        <f>""</f>
        <v/>
      </c>
      <c r="F1757" t="str">
        <f>""</f>
        <v/>
      </c>
      <c r="H1757" t="str">
        <f t="shared" si="40"/>
        <v>SOCIAL SECURITY TAXES</v>
      </c>
    </row>
    <row r="1758" spans="5:8" x14ac:dyDescent="0.25">
      <c r="E1758" t="str">
        <f>""</f>
        <v/>
      </c>
      <c r="F1758" t="str">
        <f>""</f>
        <v/>
      </c>
      <c r="H1758" t="str">
        <f t="shared" si="40"/>
        <v>SOCIAL SECURITY TAXES</v>
      </c>
    </row>
    <row r="1759" spans="5:8" x14ac:dyDescent="0.25">
      <c r="E1759" t="str">
        <f>""</f>
        <v/>
      </c>
      <c r="F1759" t="str">
        <f>""</f>
        <v/>
      </c>
      <c r="H1759" t="str">
        <f t="shared" ref="H1759:H1783" si="41">"SOCIAL SECURITY TAXES"</f>
        <v>SOCIAL SECURITY TAXES</v>
      </c>
    </row>
    <row r="1760" spans="5:8" x14ac:dyDescent="0.25">
      <c r="E1760" t="str">
        <f>""</f>
        <v/>
      </c>
      <c r="F1760" t="str">
        <f>""</f>
        <v/>
      </c>
      <c r="H1760" t="str">
        <f t="shared" si="41"/>
        <v>SOCIAL SECURITY TAXES</v>
      </c>
    </row>
    <row r="1761" spans="5:8" x14ac:dyDescent="0.25">
      <c r="E1761" t="str">
        <f>""</f>
        <v/>
      </c>
      <c r="F1761" t="str">
        <f>""</f>
        <v/>
      </c>
      <c r="H1761" t="str">
        <f t="shared" si="41"/>
        <v>SOCIAL SECURITY TAXES</v>
      </c>
    </row>
    <row r="1762" spans="5:8" x14ac:dyDescent="0.25">
      <c r="E1762" t="str">
        <f>""</f>
        <v/>
      </c>
      <c r="F1762" t="str">
        <f>""</f>
        <v/>
      </c>
      <c r="H1762" t="str">
        <f t="shared" si="41"/>
        <v>SOCIAL SECURITY TAXES</v>
      </c>
    </row>
    <row r="1763" spans="5:8" x14ac:dyDescent="0.25">
      <c r="E1763" t="str">
        <f>""</f>
        <v/>
      </c>
      <c r="F1763" t="str">
        <f>""</f>
        <v/>
      </c>
      <c r="H1763" t="str">
        <f t="shared" si="41"/>
        <v>SOCIAL SECURITY TAXES</v>
      </c>
    </row>
    <row r="1764" spans="5:8" x14ac:dyDescent="0.25">
      <c r="E1764" t="str">
        <f>""</f>
        <v/>
      </c>
      <c r="F1764" t="str">
        <f>""</f>
        <v/>
      </c>
      <c r="H1764" t="str">
        <f t="shared" si="41"/>
        <v>SOCIAL SECURITY TAXES</v>
      </c>
    </row>
    <row r="1765" spans="5:8" x14ac:dyDescent="0.25">
      <c r="E1765" t="str">
        <f>""</f>
        <v/>
      </c>
      <c r="F1765" t="str">
        <f>""</f>
        <v/>
      </c>
      <c r="H1765" t="str">
        <f t="shared" si="41"/>
        <v>SOCIAL SECURITY TAXES</v>
      </c>
    </row>
    <row r="1766" spans="5:8" x14ac:dyDescent="0.25">
      <c r="E1766" t="str">
        <f>""</f>
        <v/>
      </c>
      <c r="F1766" t="str">
        <f>""</f>
        <v/>
      </c>
      <c r="H1766" t="str">
        <f t="shared" si="41"/>
        <v>SOCIAL SECURITY TAXES</v>
      </c>
    </row>
    <row r="1767" spans="5:8" x14ac:dyDescent="0.25">
      <c r="E1767" t="str">
        <f>""</f>
        <v/>
      </c>
      <c r="F1767" t="str">
        <f>""</f>
        <v/>
      </c>
      <c r="H1767" t="str">
        <f t="shared" si="41"/>
        <v>SOCIAL SECURITY TAXES</v>
      </c>
    </row>
    <row r="1768" spans="5:8" x14ac:dyDescent="0.25">
      <c r="E1768" t="str">
        <f>""</f>
        <v/>
      </c>
      <c r="F1768" t="str">
        <f>""</f>
        <v/>
      </c>
      <c r="H1768" t="str">
        <f t="shared" si="41"/>
        <v>SOCIAL SECURITY TAXES</v>
      </c>
    </row>
    <row r="1769" spans="5:8" x14ac:dyDescent="0.25">
      <c r="E1769" t="str">
        <f>""</f>
        <v/>
      </c>
      <c r="F1769" t="str">
        <f>""</f>
        <v/>
      </c>
      <c r="H1769" t="str">
        <f t="shared" si="41"/>
        <v>SOCIAL SECURITY TAXES</v>
      </c>
    </row>
    <row r="1770" spans="5:8" x14ac:dyDescent="0.25">
      <c r="E1770" t="str">
        <f>""</f>
        <v/>
      </c>
      <c r="F1770" t="str">
        <f>""</f>
        <v/>
      </c>
      <c r="H1770" t="str">
        <f t="shared" si="41"/>
        <v>SOCIAL SECURITY TAXES</v>
      </c>
    </row>
    <row r="1771" spans="5:8" x14ac:dyDescent="0.25">
      <c r="E1771" t="str">
        <f>""</f>
        <v/>
      </c>
      <c r="F1771" t="str">
        <f>""</f>
        <v/>
      </c>
      <c r="H1771" t="str">
        <f t="shared" si="41"/>
        <v>SOCIAL SECURITY TAXES</v>
      </c>
    </row>
    <row r="1772" spans="5:8" x14ac:dyDescent="0.25">
      <c r="E1772" t="str">
        <f>""</f>
        <v/>
      </c>
      <c r="F1772" t="str">
        <f>""</f>
        <v/>
      </c>
      <c r="H1772" t="str">
        <f t="shared" si="41"/>
        <v>SOCIAL SECURITY TAXES</v>
      </c>
    </row>
    <row r="1773" spans="5:8" x14ac:dyDescent="0.25">
      <c r="E1773" t="str">
        <f>""</f>
        <v/>
      </c>
      <c r="F1773" t="str">
        <f>""</f>
        <v/>
      </c>
      <c r="H1773" t="str">
        <f t="shared" si="41"/>
        <v>SOCIAL SECURITY TAXES</v>
      </c>
    </row>
    <row r="1774" spans="5:8" x14ac:dyDescent="0.25">
      <c r="E1774" t="str">
        <f>""</f>
        <v/>
      </c>
      <c r="F1774" t="str">
        <f>""</f>
        <v/>
      </c>
      <c r="H1774" t="str">
        <f t="shared" si="41"/>
        <v>SOCIAL SECURITY TAXES</v>
      </c>
    </row>
    <row r="1775" spans="5:8" x14ac:dyDescent="0.25">
      <c r="E1775" t="str">
        <f>""</f>
        <v/>
      </c>
      <c r="F1775" t="str">
        <f>""</f>
        <v/>
      </c>
      <c r="H1775" t="str">
        <f t="shared" si="41"/>
        <v>SOCIAL SECURITY TAXES</v>
      </c>
    </row>
    <row r="1776" spans="5:8" x14ac:dyDescent="0.25">
      <c r="E1776" t="str">
        <f>""</f>
        <v/>
      </c>
      <c r="F1776" t="str">
        <f>""</f>
        <v/>
      </c>
      <c r="H1776" t="str">
        <f t="shared" si="41"/>
        <v>SOCIAL SECURITY TAXES</v>
      </c>
    </row>
    <row r="1777" spans="5:8" x14ac:dyDescent="0.25">
      <c r="E1777" t="str">
        <f>""</f>
        <v/>
      </c>
      <c r="F1777" t="str">
        <f>""</f>
        <v/>
      </c>
      <c r="H1777" t="str">
        <f t="shared" si="41"/>
        <v>SOCIAL SECURITY TAXES</v>
      </c>
    </row>
    <row r="1778" spans="5:8" x14ac:dyDescent="0.25">
      <c r="E1778" t="str">
        <f>""</f>
        <v/>
      </c>
      <c r="F1778" t="str">
        <f>""</f>
        <v/>
      </c>
      <c r="H1778" t="str">
        <f t="shared" si="41"/>
        <v>SOCIAL SECURITY TAXES</v>
      </c>
    </row>
    <row r="1779" spans="5:8" x14ac:dyDescent="0.25">
      <c r="E1779" t="str">
        <f>""</f>
        <v/>
      </c>
      <c r="F1779" t="str">
        <f>""</f>
        <v/>
      </c>
      <c r="H1779" t="str">
        <f t="shared" si="41"/>
        <v>SOCIAL SECURITY TAXES</v>
      </c>
    </row>
    <row r="1780" spans="5:8" x14ac:dyDescent="0.25">
      <c r="E1780" t="str">
        <f>"T3 202005267010"</f>
        <v>T3 202005267010</v>
      </c>
      <c r="F1780" t="str">
        <f>"SOCIAL SECURITY TAXES"</f>
        <v>SOCIAL SECURITY TAXES</v>
      </c>
      <c r="G1780" s="5">
        <v>4539.6400000000003</v>
      </c>
      <c r="H1780" t="str">
        <f t="shared" si="41"/>
        <v>SOCIAL SECURITY TAXES</v>
      </c>
    </row>
    <row r="1781" spans="5:8" x14ac:dyDescent="0.25">
      <c r="E1781" t="str">
        <f>""</f>
        <v/>
      </c>
      <c r="F1781" t="str">
        <f>""</f>
        <v/>
      </c>
      <c r="H1781" t="str">
        <f t="shared" si="41"/>
        <v>SOCIAL SECURITY TAXES</v>
      </c>
    </row>
    <row r="1782" spans="5:8" x14ac:dyDescent="0.25">
      <c r="E1782" t="str">
        <f>"T3 202005267011"</f>
        <v>T3 202005267011</v>
      </c>
      <c r="F1782" t="str">
        <f>"SOCIAL SECURITY TAXES"</f>
        <v>SOCIAL SECURITY TAXES</v>
      </c>
      <c r="G1782" s="5">
        <v>5475.06</v>
      </c>
      <c r="H1782" t="str">
        <f t="shared" si="41"/>
        <v>SOCIAL SECURITY TAXES</v>
      </c>
    </row>
    <row r="1783" spans="5:8" x14ac:dyDescent="0.25">
      <c r="E1783" t="str">
        <f>""</f>
        <v/>
      </c>
      <c r="F1783" t="str">
        <f>""</f>
        <v/>
      </c>
      <c r="H1783" t="str">
        <f t="shared" si="41"/>
        <v>SOCIAL SECURITY TAXES</v>
      </c>
    </row>
    <row r="1784" spans="5:8" x14ac:dyDescent="0.25">
      <c r="E1784" t="str">
        <f>"T4 202005267009"</f>
        <v>T4 202005267009</v>
      </c>
      <c r="F1784" t="str">
        <f>"MEDICARE TAXES"</f>
        <v>MEDICARE TAXES</v>
      </c>
      <c r="G1784" s="5">
        <v>27377.919999999998</v>
      </c>
      <c r="H1784" t="str">
        <f t="shared" ref="H1784:H1815" si="42">"MEDICARE TAXES"</f>
        <v>MEDICARE TAXES</v>
      </c>
    </row>
    <row r="1785" spans="5:8" x14ac:dyDescent="0.25">
      <c r="E1785" t="str">
        <f>""</f>
        <v/>
      </c>
      <c r="F1785" t="str">
        <f>""</f>
        <v/>
      </c>
      <c r="H1785" t="str">
        <f t="shared" si="42"/>
        <v>MEDICARE TAXES</v>
      </c>
    </row>
    <row r="1786" spans="5:8" x14ac:dyDescent="0.25">
      <c r="E1786" t="str">
        <f>""</f>
        <v/>
      </c>
      <c r="F1786" t="str">
        <f>""</f>
        <v/>
      </c>
      <c r="H1786" t="str">
        <f t="shared" si="42"/>
        <v>MEDICARE TAXES</v>
      </c>
    </row>
    <row r="1787" spans="5:8" x14ac:dyDescent="0.25">
      <c r="E1787" t="str">
        <f>""</f>
        <v/>
      </c>
      <c r="F1787" t="str">
        <f>""</f>
        <v/>
      </c>
      <c r="H1787" t="str">
        <f t="shared" si="42"/>
        <v>MEDICARE TAXES</v>
      </c>
    </row>
    <row r="1788" spans="5:8" x14ac:dyDescent="0.25">
      <c r="E1788" t="str">
        <f>""</f>
        <v/>
      </c>
      <c r="F1788" t="str">
        <f>""</f>
        <v/>
      </c>
      <c r="H1788" t="str">
        <f t="shared" si="42"/>
        <v>MEDICARE TAXES</v>
      </c>
    </row>
    <row r="1789" spans="5:8" x14ac:dyDescent="0.25">
      <c r="E1789" t="str">
        <f>""</f>
        <v/>
      </c>
      <c r="F1789" t="str">
        <f>""</f>
        <v/>
      </c>
      <c r="H1789" t="str">
        <f t="shared" si="42"/>
        <v>MEDICARE TAXES</v>
      </c>
    </row>
    <row r="1790" spans="5:8" x14ac:dyDescent="0.25">
      <c r="E1790" t="str">
        <f>""</f>
        <v/>
      </c>
      <c r="F1790" t="str">
        <f>""</f>
        <v/>
      </c>
      <c r="H1790" t="str">
        <f t="shared" si="42"/>
        <v>MEDICARE TAXES</v>
      </c>
    </row>
    <row r="1791" spans="5:8" x14ac:dyDescent="0.25">
      <c r="E1791" t="str">
        <f>""</f>
        <v/>
      </c>
      <c r="F1791" t="str">
        <f>""</f>
        <v/>
      </c>
      <c r="H1791" t="str">
        <f t="shared" si="42"/>
        <v>MEDICARE TAXES</v>
      </c>
    </row>
    <row r="1792" spans="5:8" x14ac:dyDescent="0.25">
      <c r="E1792" t="str">
        <f>""</f>
        <v/>
      </c>
      <c r="F1792" t="str">
        <f>""</f>
        <v/>
      </c>
      <c r="H1792" t="str">
        <f t="shared" si="42"/>
        <v>MEDICARE TAXES</v>
      </c>
    </row>
    <row r="1793" spans="5:8" x14ac:dyDescent="0.25">
      <c r="E1793" t="str">
        <f>""</f>
        <v/>
      </c>
      <c r="F1793" t="str">
        <f>""</f>
        <v/>
      </c>
      <c r="H1793" t="str">
        <f t="shared" si="42"/>
        <v>MEDICARE TAXES</v>
      </c>
    </row>
    <row r="1794" spans="5:8" x14ac:dyDescent="0.25">
      <c r="E1794" t="str">
        <f>""</f>
        <v/>
      </c>
      <c r="F1794" t="str">
        <f>""</f>
        <v/>
      </c>
      <c r="H1794" t="str">
        <f t="shared" si="42"/>
        <v>MEDICARE TAXES</v>
      </c>
    </row>
    <row r="1795" spans="5:8" x14ac:dyDescent="0.25">
      <c r="E1795" t="str">
        <f>""</f>
        <v/>
      </c>
      <c r="F1795" t="str">
        <f>""</f>
        <v/>
      </c>
      <c r="H1795" t="str">
        <f t="shared" si="42"/>
        <v>MEDICARE TAXES</v>
      </c>
    </row>
    <row r="1796" spans="5:8" x14ac:dyDescent="0.25">
      <c r="E1796" t="str">
        <f>""</f>
        <v/>
      </c>
      <c r="F1796" t="str">
        <f>""</f>
        <v/>
      </c>
      <c r="H1796" t="str">
        <f t="shared" si="42"/>
        <v>MEDICARE TAXES</v>
      </c>
    </row>
    <row r="1797" spans="5:8" x14ac:dyDescent="0.25">
      <c r="E1797" t="str">
        <f>""</f>
        <v/>
      </c>
      <c r="F1797" t="str">
        <f>""</f>
        <v/>
      </c>
      <c r="H1797" t="str">
        <f t="shared" si="42"/>
        <v>MEDICARE TAXES</v>
      </c>
    </row>
    <row r="1798" spans="5:8" x14ac:dyDescent="0.25">
      <c r="E1798" t="str">
        <f>""</f>
        <v/>
      </c>
      <c r="F1798" t="str">
        <f>""</f>
        <v/>
      </c>
      <c r="H1798" t="str">
        <f t="shared" si="42"/>
        <v>MEDICARE TAXES</v>
      </c>
    </row>
    <row r="1799" spans="5:8" x14ac:dyDescent="0.25">
      <c r="E1799" t="str">
        <f>""</f>
        <v/>
      </c>
      <c r="F1799" t="str">
        <f>""</f>
        <v/>
      </c>
      <c r="H1799" t="str">
        <f t="shared" si="42"/>
        <v>MEDICARE TAXES</v>
      </c>
    </row>
    <row r="1800" spans="5:8" x14ac:dyDescent="0.25">
      <c r="E1800" t="str">
        <f>""</f>
        <v/>
      </c>
      <c r="F1800" t="str">
        <f>""</f>
        <v/>
      </c>
      <c r="H1800" t="str">
        <f t="shared" si="42"/>
        <v>MEDICARE TAXES</v>
      </c>
    </row>
    <row r="1801" spans="5:8" x14ac:dyDescent="0.25">
      <c r="E1801" t="str">
        <f>""</f>
        <v/>
      </c>
      <c r="F1801" t="str">
        <f>""</f>
        <v/>
      </c>
      <c r="H1801" t="str">
        <f t="shared" si="42"/>
        <v>MEDICARE TAXES</v>
      </c>
    </row>
    <row r="1802" spans="5:8" x14ac:dyDescent="0.25">
      <c r="E1802" t="str">
        <f>""</f>
        <v/>
      </c>
      <c r="F1802" t="str">
        <f>""</f>
        <v/>
      </c>
      <c r="H1802" t="str">
        <f t="shared" si="42"/>
        <v>MEDICARE TAXES</v>
      </c>
    </row>
    <row r="1803" spans="5:8" x14ac:dyDescent="0.25">
      <c r="E1803" t="str">
        <f>""</f>
        <v/>
      </c>
      <c r="F1803" t="str">
        <f>""</f>
        <v/>
      </c>
      <c r="H1803" t="str">
        <f t="shared" si="42"/>
        <v>MEDICARE TAXES</v>
      </c>
    </row>
    <row r="1804" spans="5:8" x14ac:dyDescent="0.25">
      <c r="E1804" t="str">
        <f>""</f>
        <v/>
      </c>
      <c r="F1804" t="str">
        <f>""</f>
        <v/>
      </c>
      <c r="H1804" t="str">
        <f t="shared" si="42"/>
        <v>MEDICARE TAXES</v>
      </c>
    </row>
    <row r="1805" spans="5:8" x14ac:dyDescent="0.25">
      <c r="E1805" t="str">
        <f>""</f>
        <v/>
      </c>
      <c r="F1805" t="str">
        <f>""</f>
        <v/>
      </c>
      <c r="H1805" t="str">
        <f t="shared" si="42"/>
        <v>MEDICARE TAXES</v>
      </c>
    </row>
    <row r="1806" spans="5:8" x14ac:dyDescent="0.25">
      <c r="E1806" t="str">
        <f>""</f>
        <v/>
      </c>
      <c r="F1806" t="str">
        <f>""</f>
        <v/>
      </c>
      <c r="H1806" t="str">
        <f t="shared" si="42"/>
        <v>MEDICARE TAXES</v>
      </c>
    </row>
    <row r="1807" spans="5:8" x14ac:dyDescent="0.25">
      <c r="E1807" t="str">
        <f>""</f>
        <v/>
      </c>
      <c r="F1807" t="str">
        <f>""</f>
        <v/>
      </c>
      <c r="H1807" t="str">
        <f t="shared" si="42"/>
        <v>MEDICARE TAXES</v>
      </c>
    </row>
    <row r="1808" spans="5:8" x14ac:dyDescent="0.25">
      <c r="E1808" t="str">
        <f>""</f>
        <v/>
      </c>
      <c r="F1808" t="str">
        <f>""</f>
        <v/>
      </c>
      <c r="H1808" t="str">
        <f t="shared" si="42"/>
        <v>MEDICARE TAXES</v>
      </c>
    </row>
    <row r="1809" spans="5:8" x14ac:dyDescent="0.25">
      <c r="E1809" t="str">
        <f>""</f>
        <v/>
      </c>
      <c r="F1809" t="str">
        <f>""</f>
        <v/>
      </c>
      <c r="H1809" t="str">
        <f t="shared" si="42"/>
        <v>MEDICARE TAXES</v>
      </c>
    </row>
    <row r="1810" spans="5:8" x14ac:dyDescent="0.25">
      <c r="E1810" t="str">
        <f>""</f>
        <v/>
      </c>
      <c r="F1810" t="str">
        <f>""</f>
        <v/>
      </c>
      <c r="H1810" t="str">
        <f t="shared" si="42"/>
        <v>MEDICARE TAXES</v>
      </c>
    </row>
    <row r="1811" spans="5:8" x14ac:dyDescent="0.25">
      <c r="E1811" t="str">
        <f>""</f>
        <v/>
      </c>
      <c r="F1811" t="str">
        <f>""</f>
        <v/>
      </c>
      <c r="H1811" t="str">
        <f t="shared" si="42"/>
        <v>MEDICARE TAXES</v>
      </c>
    </row>
    <row r="1812" spans="5:8" x14ac:dyDescent="0.25">
      <c r="E1812" t="str">
        <f>""</f>
        <v/>
      </c>
      <c r="F1812" t="str">
        <f>""</f>
        <v/>
      </c>
      <c r="H1812" t="str">
        <f t="shared" si="42"/>
        <v>MEDICARE TAXES</v>
      </c>
    </row>
    <row r="1813" spans="5:8" x14ac:dyDescent="0.25">
      <c r="E1813" t="str">
        <f>""</f>
        <v/>
      </c>
      <c r="F1813" t="str">
        <f>""</f>
        <v/>
      </c>
      <c r="H1813" t="str">
        <f t="shared" si="42"/>
        <v>MEDICARE TAXES</v>
      </c>
    </row>
    <row r="1814" spans="5:8" x14ac:dyDescent="0.25">
      <c r="E1814" t="str">
        <f>""</f>
        <v/>
      </c>
      <c r="F1814" t="str">
        <f>""</f>
        <v/>
      </c>
      <c r="H1814" t="str">
        <f t="shared" si="42"/>
        <v>MEDICARE TAXES</v>
      </c>
    </row>
    <row r="1815" spans="5:8" x14ac:dyDescent="0.25">
      <c r="E1815" t="str">
        <f>""</f>
        <v/>
      </c>
      <c r="F1815" t="str">
        <f>""</f>
        <v/>
      </c>
      <c r="H1815" t="str">
        <f t="shared" si="42"/>
        <v>MEDICARE TAXES</v>
      </c>
    </row>
    <row r="1816" spans="5:8" x14ac:dyDescent="0.25">
      <c r="E1816" t="str">
        <f>""</f>
        <v/>
      </c>
      <c r="F1816" t="str">
        <f>""</f>
        <v/>
      </c>
      <c r="H1816" t="str">
        <f t="shared" ref="H1816:H1840" si="43">"MEDICARE TAXES"</f>
        <v>MEDICARE TAXES</v>
      </c>
    </row>
    <row r="1817" spans="5:8" x14ac:dyDescent="0.25">
      <c r="E1817" t="str">
        <f>""</f>
        <v/>
      </c>
      <c r="F1817" t="str">
        <f>""</f>
        <v/>
      </c>
      <c r="H1817" t="str">
        <f t="shared" si="43"/>
        <v>MEDICARE TAXES</v>
      </c>
    </row>
    <row r="1818" spans="5:8" x14ac:dyDescent="0.25">
      <c r="E1818" t="str">
        <f>""</f>
        <v/>
      </c>
      <c r="F1818" t="str">
        <f>""</f>
        <v/>
      </c>
      <c r="H1818" t="str">
        <f t="shared" si="43"/>
        <v>MEDICARE TAXES</v>
      </c>
    </row>
    <row r="1819" spans="5:8" x14ac:dyDescent="0.25">
      <c r="E1819" t="str">
        <f>""</f>
        <v/>
      </c>
      <c r="F1819" t="str">
        <f>""</f>
        <v/>
      </c>
      <c r="H1819" t="str">
        <f t="shared" si="43"/>
        <v>MEDICARE TAXES</v>
      </c>
    </row>
    <row r="1820" spans="5:8" x14ac:dyDescent="0.25">
      <c r="E1820" t="str">
        <f>""</f>
        <v/>
      </c>
      <c r="F1820" t="str">
        <f>""</f>
        <v/>
      </c>
      <c r="H1820" t="str">
        <f t="shared" si="43"/>
        <v>MEDICARE TAXES</v>
      </c>
    </row>
    <row r="1821" spans="5:8" x14ac:dyDescent="0.25">
      <c r="E1821" t="str">
        <f>""</f>
        <v/>
      </c>
      <c r="F1821" t="str">
        <f>""</f>
        <v/>
      </c>
      <c r="H1821" t="str">
        <f t="shared" si="43"/>
        <v>MEDICARE TAXES</v>
      </c>
    </row>
    <row r="1822" spans="5:8" x14ac:dyDescent="0.25">
      <c r="E1822" t="str">
        <f>""</f>
        <v/>
      </c>
      <c r="F1822" t="str">
        <f>""</f>
        <v/>
      </c>
      <c r="H1822" t="str">
        <f t="shared" si="43"/>
        <v>MEDICARE TAXES</v>
      </c>
    </row>
    <row r="1823" spans="5:8" x14ac:dyDescent="0.25">
      <c r="E1823" t="str">
        <f>""</f>
        <v/>
      </c>
      <c r="F1823" t="str">
        <f>""</f>
        <v/>
      </c>
      <c r="H1823" t="str">
        <f t="shared" si="43"/>
        <v>MEDICARE TAXES</v>
      </c>
    </row>
    <row r="1824" spans="5:8" x14ac:dyDescent="0.25">
      <c r="E1824" t="str">
        <f>""</f>
        <v/>
      </c>
      <c r="F1824" t="str">
        <f>""</f>
        <v/>
      </c>
      <c r="H1824" t="str">
        <f t="shared" si="43"/>
        <v>MEDICARE TAXES</v>
      </c>
    </row>
    <row r="1825" spans="5:8" x14ac:dyDescent="0.25">
      <c r="E1825" t="str">
        <f>""</f>
        <v/>
      </c>
      <c r="F1825" t="str">
        <f>""</f>
        <v/>
      </c>
      <c r="H1825" t="str">
        <f t="shared" si="43"/>
        <v>MEDICARE TAXES</v>
      </c>
    </row>
    <row r="1826" spans="5:8" x14ac:dyDescent="0.25">
      <c r="E1826" t="str">
        <f>""</f>
        <v/>
      </c>
      <c r="F1826" t="str">
        <f>""</f>
        <v/>
      </c>
      <c r="H1826" t="str">
        <f t="shared" si="43"/>
        <v>MEDICARE TAXES</v>
      </c>
    </row>
    <row r="1827" spans="5:8" x14ac:dyDescent="0.25">
      <c r="E1827" t="str">
        <f>""</f>
        <v/>
      </c>
      <c r="F1827" t="str">
        <f>""</f>
        <v/>
      </c>
      <c r="H1827" t="str">
        <f t="shared" si="43"/>
        <v>MEDICARE TAXES</v>
      </c>
    </row>
    <row r="1828" spans="5:8" x14ac:dyDescent="0.25">
      <c r="E1828" t="str">
        <f>""</f>
        <v/>
      </c>
      <c r="F1828" t="str">
        <f>""</f>
        <v/>
      </c>
      <c r="H1828" t="str">
        <f t="shared" si="43"/>
        <v>MEDICARE TAXES</v>
      </c>
    </row>
    <row r="1829" spans="5:8" x14ac:dyDescent="0.25">
      <c r="E1829" t="str">
        <f>""</f>
        <v/>
      </c>
      <c r="F1829" t="str">
        <f>""</f>
        <v/>
      </c>
      <c r="H1829" t="str">
        <f t="shared" si="43"/>
        <v>MEDICARE TAXES</v>
      </c>
    </row>
    <row r="1830" spans="5:8" x14ac:dyDescent="0.25">
      <c r="E1830" t="str">
        <f>""</f>
        <v/>
      </c>
      <c r="F1830" t="str">
        <f>""</f>
        <v/>
      </c>
      <c r="H1830" t="str">
        <f t="shared" si="43"/>
        <v>MEDICARE TAXES</v>
      </c>
    </row>
    <row r="1831" spans="5:8" x14ac:dyDescent="0.25">
      <c r="E1831" t="str">
        <f>""</f>
        <v/>
      </c>
      <c r="F1831" t="str">
        <f>""</f>
        <v/>
      </c>
      <c r="H1831" t="str">
        <f t="shared" si="43"/>
        <v>MEDICARE TAXES</v>
      </c>
    </row>
    <row r="1832" spans="5:8" x14ac:dyDescent="0.25">
      <c r="E1832" t="str">
        <f>""</f>
        <v/>
      </c>
      <c r="F1832" t="str">
        <f>""</f>
        <v/>
      </c>
      <c r="H1832" t="str">
        <f t="shared" si="43"/>
        <v>MEDICARE TAXES</v>
      </c>
    </row>
    <row r="1833" spans="5:8" x14ac:dyDescent="0.25">
      <c r="E1833" t="str">
        <f>""</f>
        <v/>
      </c>
      <c r="F1833" t="str">
        <f>""</f>
        <v/>
      </c>
      <c r="H1833" t="str">
        <f t="shared" si="43"/>
        <v>MEDICARE TAXES</v>
      </c>
    </row>
    <row r="1834" spans="5:8" x14ac:dyDescent="0.25">
      <c r="E1834" t="str">
        <f>""</f>
        <v/>
      </c>
      <c r="F1834" t="str">
        <f>""</f>
        <v/>
      </c>
      <c r="H1834" t="str">
        <f t="shared" si="43"/>
        <v>MEDICARE TAXES</v>
      </c>
    </row>
    <row r="1835" spans="5:8" x14ac:dyDescent="0.25">
      <c r="E1835" t="str">
        <f>""</f>
        <v/>
      </c>
      <c r="F1835" t="str">
        <f>""</f>
        <v/>
      </c>
      <c r="H1835" t="str">
        <f t="shared" si="43"/>
        <v>MEDICARE TAXES</v>
      </c>
    </row>
    <row r="1836" spans="5:8" x14ac:dyDescent="0.25">
      <c r="E1836" t="str">
        <f>""</f>
        <v/>
      </c>
      <c r="F1836" t="str">
        <f>""</f>
        <v/>
      </c>
      <c r="H1836" t="str">
        <f t="shared" si="43"/>
        <v>MEDICARE TAXES</v>
      </c>
    </row>
    <row r="1837" spans="5:8" x14ac:dyDescent="0.25">
      <c r="E1837" t="str">
        <f>"T4 202005267010"</f>
        <v>T4 202005267010</v>
      </c>
      <c r="F1837" t="str">
        <f>"MEDICARE TAXES"</f>
        <v>MEDICARE TAXES</v>
      </c>
      <c r="G1837" s="5">
        <v>1061.72</v>
      </c>
      <c r="H1837" t="str">
        <f t="shared" si="43"/>
        <v>MEDICARE TAXES</v>
      </c>
    </row>
    <row r="1838" spans="5:8" x14ac:dyDescent="0.25">
      <c r="E1838" t="str">
        <f>""</f>
        <v/>
      </c>
      <c r="F1838" t="str">
        <f>""</f>
        <v/>
      </c>
      <c r="H1838" t="str">
        <f t="shared" si="43"/>
        <v>MEDICARE TAXES</v>
      </c>
    </row>
    <row r="1839" spans="5:8" x14ac:dyDescent="0.25">
      <c r="E1839" t="str">
        <f>"T4 202005267011"</f>
        <v>T4 202005267011</v>
      </c>
      <c r="F1839" t="str">
        <f>"MEDICARE TAXES"</f>
        <v>MEDICARE TAXES</v>
      </c>
      <c r="G1839" s="5">
        <v>1280.5</v>
      </c>
      <c r="H1839" t="str">
        <f t="shared" si="43"/>
        <v>MEDICARE TAXES</v>
      </c>
    </row>
    <row r="1840" spans="5:8" x14ac:dyDescent="0.25">
      <c r="E1840" t="str">
        <f>""</f>
        <v/>
      </c>
      <c r="F1840" t="str">
        <f>""</f>
        <v/>
      </c>
      <c r="H1840" t="str">
        <f t="shared" si="43"/>
        <v>MEDICARE TAXES</v>
      </c>
    </row>
    <row r="1841" spans="1:8" x14ac:dyDescent="0.25">
      <c r="A1841" t="s">
        <v>309</v>
      </c>
      <c r="B1841">
        <v>530</v>
      </c>
      <c r="C1841" s="5">
        <v>535.82000000000005</v>
      </c>
      <c r="D1841" s="1">
        <v>43978</v>
      </c>
      <c r="E1841" t="str">
        <f>"LIX202004296628"</f>
        <v>LIX202004296628</v>
      </c>
      <c r="F1841" t="str">
        <f>"TEXAS LIFE/OLIVO GROUP"</f>
        <v>TEXAS LIFE/OLIVO GROUP</v>
      </c>
      <c r="G1841" s="5">
        <v>267.91000000000003</v>
      </c>
      <c r="H1841" t="str">
        <f>"TEXAS LIFE/OLIVO GROUP"</f>
        <v>TEXAS LIFE/OLIVO GROUP</v>
      </c>
    </row>
    <row r="1842" spans="1:8" x14ac:dyDescent="0.25">
      <c r="E1842" t="str">
        <f>"LIX202005126839"</f>
        <v>LIX202005126839</v>
      </c>
      <c r="F1842" t="str">
        <f>"TEXAS LIFE/OLIVO GROUP"</f>
        <v>TEXAS LIFE/OLIVO GROUP</v>
      </c>
      <c r="G1842" s="5">
        <v>267.91000000000003</v>
      </c>
      <c r="H1842" t="str">
        <f>"TEXAS LIFE/OLIVO GROUP"</f>
        <v>TEXAS LIFE/OLIVO GROUP</v>
      </c>
    </row>
    <row r="1843" spans="1:8" x14ac:dyDescent="0.25">
      <c r="A1843" t="s">
        <v>310</v>
      </c>
      <c r="B1843">
        <v>47936</v>
      </c>
      <c r="C1843" s="5">
        <v>80</v>
      </c>
      <c r="D1843" s="1">
        <v>43978</v>
      </c>
      <c r="E1843" t="str">
        <f>"PHI202004296628"</f>
        <v>PHI202004296628</v>
      </c>
      <c r="F1843" t="str">
        <f>"PHI AIR"</f>
        <v>PHI AIR</v>
      </c>
      <c r="G1843" s="5">
        <v>40</v>
      </c>
      <c r="H1843" t="str">
        <f>"PHI AIR"</f>
        <v>PHI AIR</v>
      </c>
    </row>
    <row r="1844" spans="1:8" x14ac:dyDescent="0.25">
      <c r="E1844" t="str">
        <f>"PHI202005126839"</f>
        <v>PHI202005126839</v>
      </c>
      <c r="F1844" t="str">
        <f>"PHI AIR"</f>
        <v>PHI AIR</v>
      </c>
      <c r="G1844" s="5">
        <v>40</v>
      </c>
      <c r="H1844" t="str">
        <f>"PHI AIR"</f>
        <v>PHI AIR</v>
      </c>
    </row>
    <row r="1845" spans="1:8" x14ac:dyDescent="0.25">
      <c r="A1845" t="s">
        <v>311</v>
      </c>
      <c r="B1845">
        <v>47935</v>
      </c>
      <c r="C1845" s="5">
        <v>362301.96</v>
      </c>
      <c r="D1845" s="1">
        <v>43978</v>
      </c>
      <c r="E1845" t="str">
        <f>"202005257002"</f>
        <v>202005257002</v>
      </c>
      <c r="F1845" t="str">
        <f>"Klaus and Johnson"</f>
        <v>Klaus and Johnson</v>
      </c>
      <c r="G1845" s="5">
        <v>-662.4</v>
      </c>
      <c r="H1845" t="str">
        <f>"TAC HEALTH BENEFITS POOL"</f>
        <v>TAC HEALTH BENEFITS POOL</v>
      </c>
    </row>
    <row r="1846" spans="1:8" x14ac:dyDescent="0.25">
      <c r="E1846" t="str">
        <f>"202005257001"</f>
        <v>202005257001</v>
      </c>
      <c r="F1846" t="str">
        <f>"Retiree May 2020"</f>
        <v>Retiree May 2020</v>
      </c>
      <c r="G1846" s="5">
        <v>15491.36</v>
      </c>
      <c r="H1846" t="str">
        <f>"TAC HEALTH BENEFITS POOL"</f>
        <v>TAC HEALTH BENEFITS POOL</v>
      </c>
    </row>
    <row r="1847" spans="1:8" x14ac:dyDescent="0.25">
      <c r="E1847" t="str">
        <f>"2EC202004296628"</f>
        <v>2EC202004296628</v>
      </c>
      <c r="F1847" t="str">
        <f>"BCBS PAYABLE"</f>
        <v>BCBS PAYABLE</v>
      </c>
      <c r="G1847" s="5">
        <v>50168.12</v>
      </c>
      <c r="H1847" t="str">
        <f t="shared" ref="H1847:H1910" si="44">"BCBS PAYABLE"</f>
        <v>BCBS PAYABLE</v>
      </c>
    </row>
    <row r="1848" spans="1:8" x14ac:dyDescent="0.25">
      <c r="E1848" t="str">
        <f>""</f>
        <v/>
      </c>
      <c r="F1848" t="str">
        <f>""</f>
        <v/>
      </c>
      <c r="H1848" t="str">
        <f t="shared" si="44"/>
        <v>BCBS PAYABLE</v>
      </c>
    </row>
    <row r="1849" spans="1:8" x14ac:dyDescent="0.25">
      <c r="E1849" t="str">
        <f>""</f>
        <v/>
      </c>
      <c r="F1849" t="str">
        <f>""</f>
        <v/>
      </c>
      <c r="H1849" t="str">
        <f t="shared" si="44"/>
        <v>BCBS PAYABLE</v>
      </c>
    </row>
    <row r="1850" spans="1:8" x14ac:dyDescent="0.25">
      <c r="E1850" t="str">
        <f>""</f>
        <v/>
      </c>
      <c r="F1850" t="str">
        <f>""</f>
        <v/>
      </c>
      <c r="H1850" t="str">
        <f t="shared" si="44"/>
        <v>BCBS PAYABLE</v>
      </c>
    </row>
    <row r="1851" spans="1:8" x14ac:dyDescent="0.25">
      <c r="E1851" t="str">
        <f>""</f>
        <v/>
      </c>
      <c r="F1851" t="str">
        <f>""</f>
        <v/>
      </c>
      <c r="H1851" t="str">
        <f t="shared" si="44"/>
        <v>BCBS PAYABLE</v>
      </c>
    </row>
    <row r="1852" spans="1:8" x14ac:dyDescent="0.25">
      <c r="E1852" t="str">
        <f>""</f>
        <v/>
      </c>
      <c r="F1852" t="str">
        <f>""</f>
        <v/>
      </c>
      <c r="H1852" t="str">
        <f t="shared" si="44"/>
        <v>BCBS PAYABLE</v>
      </c>
    </row>
    <row r="1853" spans="1:8" x14ac:dyDescent="0.25">
      <c r="E1853" t="str">
        <f>""</f>
        <v/>
      </c>
      <c r="F1853" t="str">
        <f>""</f>
        <v/>
      </c>
      <c r="H1853" t="str">
        <f t="shared" si="44"/>
        <v>BCBS PAYABLE</v>
      </c>
    </row>
    <row r="1854" spans="1:8" x14ac:dyDescent="0.25">
      <c r="E1854" t="str">
        <f>""</f>
        <v/>
      </c>
      <c r="F1854" t="str">
        <f>""</f>
        <v/>
      </c>
      <c r="H1854" t="str">
        <f t="shared" si="44"/>
        <v>BCBS PAYABLE</v>
      </c>
    </row>
    <row r="1855" spans="1:8" x14ac:dyDescent="0.25">
      <c r="E1855" t="str">
        <f>""</f>
        <v/>
      </c>
      <c r="F1855" t="str">
        <f>""</f>
        <v/>
      </c>
      <c r="H1855" t="str">
        <f t="shared" si="44"/>
        <v>BCBS PAYABLE</v>
      </c>
    </row>
    <row r="1856" spans="1:8" x14ac:dyDescent="0.25">
      <c r="E1856" t="str">
        <f>""</f>
        <v/>
      </c>
      <c r="F1856" t="str">
        <f>""</f>
        <v/>
      </c>
      <c r="H1856" t="str">
        <f t="shared" si="44"/>
        <v>BCBS PAYABLE</v>
      </c>
    </row>
    <row r="1857" spans="5:8" x14ac:dyDescent="0.25">
      <c r="E1857" t="str">
        <f>""</f>
        <v/>
      </c>
      <c r="F1857" t="str">
        <f>""</f>
        <v/>
      </c>
      <c r="H1857" t="str">
        <f t="shared" si="44"/>
        <v>BCBS PAYABLE</v>
      </c>
    </row>
    <row r="1858" spans="5:8" x14ac:dyDescent="0.25">
      <c r="E1858" t="str">
        <f>""</f>
        <v/>
      </c>
      <c r="F1858" t="str">
        <f>""</f>
        <v/>
      </c>
      <c r="H1858" t="str">
        <f t="shared" si="44"/>
        <v>BCBS PAYABLE</v>
      </c>
    </row>
    <row r="1859" spans="5:8" x14ac:dyDescent="0.25">
      <c r="E1859" t="str">
        <f>""</f>
        <v/>
      </c>
      <c r="F1859" t="str">
        <f>""</f>
        <v/>
      </c>
      <c r="H1859" t="str">
        <f t="shared" si="44"/>
        <v>BCBS PAYABLE</v>
      </c>
    </row>
    <row r="1860" spans="5:8" x14ac:dyDescent="0.25">
      <c r="E1860" t="str">
        <f>""</f>
        <v/>
      </c>
      <c r="F1860" t="str">
        <f>""</f>
        <v/>
      </c>
      <c r="H1860" t="str">
        <f t="shared" si="44"/>
        <v>BCBS PAYABLE</v>
      </c>
    </row>
    <row r="1861" spans="5:8" x14ac:dyDescent="0.25">
      <c r="E1861" t="str">
        <f>""</f>
        <v/>
      </c>
      <c r="F1861" t="str">
        <f>""</f>
        <v/>
      </c>
      <c r="H1861" t="str">
        <f t="shared" si="44"/>
        <v>BCBS PAYABLE</v>
      </c>
    </row>
    <row r="1862" spans="5:8" x14ac:dyDescent="0.25">
      <c r="E1862" t="str">
        <f>""</f>
        <v/>
      </c>
      <c r="F1862" t="str">
        <f>""</f>
        <v/>
      </c>
      <c r="H1862" t="str">
        <f t="shared" si="44"/>
        <v>BCBS PAYABLE</v>
      </c>
    </row>
    <row r="1863" spans="5:8" x14ac:dyDescent="0.25">
      <c r="E1863" t="str">
        <f>""</f>
        <v/>
      </c>
      <c r="F1863" t="str">
        <f>""</f>
        <v/>
      </c>
      <c r="H1863" t="str">
        <f t="shared" si="44"/>
        <v>BCBS PAYABLE</v>
      </c>
    </row>
    <row r="1864" spans="5:8" x14ac:dyDescent="0.25">
      <c r="E1864" t="str">
        <f>""</f>
        <v/>
      </c>
      <c r="F1864" t="str">
        <f>""</f>
        <v/>
      </c>
      <c r="H1864" t="str">
        <f t="shared" si="44"/>
        <v>BCBS PAYABLE</v>
      </c>
    </row>
    <row r="1865" spans="5:8" x14ac:dyDescent="0.25">
      <c r="E1865" t="str">
        <f>""</f>
        <v/>
      </c>
      <c r="F1865" t="str">
        <f>""</f>
        <v/>
      </c>
      <c r="H1865" t="str">
        <f t="shared" si="44"/>
        <v>BCBS PAYABLE</v>
      </c>
    </row>
    <row r="1866" spans="5:8" x14ac:dyDescent="0.25">
      <c r="E1866" t="str">
        <f>""</f>
        <v/>
      </c>
      <c r="F1866" t="str">
        <f>""</f>
        <v/>
      </c>
      <c r="H1866" t="str">
        <f t="shared" si="44"/>
        <v>BCBS PAYABLE</v>
      </c>
    </row>
    <row r="1867" spans="5:8" x14ac:dyDescent="0.25">
      <c r="E1867" t="str">
        <f>""</f>
        <v/>
      </c>
      <c r="F1867" t="str">
        <f>""</f>
        <v/>
      </c>
      <c r="H1867" t="str">
        <f t="shared" si="44"/>
        <v>BCBS PAYABLE</v>
      </c>
    </row>
    <row r="1868" spans="5:8" x14ac:dyDescent="0.25">
      <c r="E1868" t="str">
        <f>""</f>
        <v/>
      </c>
      <c r="F1868" t="str">
        <f>""</f>
        <v/>
      </c>
      <c r="H1868" t="str">
        <f t="shared" si="44"/>
        <v>BCBS PAYABLE</v>
      </c>
    </row>
    <row r="1869" spans="5:8" x14ac:dyDescent="0.25">
      <c r="E1869" t="str">
        <f>""</f>
        <v/>
      </c>
      <c r="F1869" t="str">
        <f>""</f>
        <v/>
      </c>
      <c r="H1869" t="str">
        <f t="shared" si="44"/>
        <v>BCBS PAYABLE</v>
      </c>
    </row>
    <row r="1870" spans="5:8" x14ac:dyDescent="0.25">
      <c r="E1870" t="str">
        <f>""</f>
        <v/>
      </c>
      <c r="F1870" t="str">
        <f>""</f>
        <v/>
      </c>
      <c r="H1870" t="str">
        <f t="shared" si="44"/>
        <v>BCBS PAYABLE</v>
      </c>
    </row>
    <row r="1871" spans="5:8" x14ac:dyDescent="0.25">
      <c r="E1871" t="str">
        <f>""</f>
        <v/>
      </c>
      <c r="F1871" t="str">
        <f>""</f>
        <v/>
      </c>
      <c r="H1871" t="str">
        <f t="shared" si="44"/>
        <v>BCBS PAYABLE</v>
      </c>
    </row>
    <row r="1872" spans="5:8" x14ac:dyDescent="0.25">
      <c r="E1872" t="str">
        <f>""</f>
        <v/>
      </c>
      <c r="F1872" t="str">
        <f>""</f>
        <v/>
      </c>
      <c r="H1872" t="str">
        <f t="shared" si="44"/>
        <v>BCBS PAYABLE</v>
      </c>
    </row>
    <row r="1873" spans="5:8" x14ac:dyDescent="0.25">
      <c r="E1873" t="str">
        <f>""</f>
        <v/>
      </c>
      <c r="F1873" t="str">
        <f>""</f>
        <v/>
      </c>
      <c r="H1873" t="str">
        <f t="shared" si="44"/>
        <v>BCBS PAYABLE</v>
      </c>
    </row>
    <row r="1874" spans="5:8" x14ac:dyDescent="0.25">
      <c r="E1874" t="str">
        <f>""</f>
        <v/>
      </c>
      <c r="F1874" t="str">
        <f>""</f>
        <v/>
      </c>
      <c r="H1874" t="str">
        <f t="shared" si="44"/>
        <v>BCBS PAYABLE</v>
      </c>
    </row>
    <row r="1875" spans="5:8" x14ac:dyDescent="0.25">
      <c r="E1875" t="str">
        <f>""</f>
        <v/>
      </c>
      <c r="F1875" t="str">
        <f>""</f>
        <v/>
      </c>
      <c r="H1875" t="str">
        <f t="shared" si="44"/>
        <v>BCBS PAYABLE</v>
      </c>
    </row>
    <row r="1876" spans="5:8" x14ac:dyDescent="0.25">
      <c r="E1876" t="str">
        <f>""</f>
        <v/>
      </c>
      <c r="F1876" t="str">
        <f>""</f>
        <v/>
      </c>
      <c r="H1876" t="str">
        <f t="shared" si="44"/>
        <v>BCBS PAYABLE</v>
      </c>
    </row>
    <row r="1877" spans="5:8" x14ac:dyDescent="0.25">
      <c r="E1877" t="str">
        <f>""</f>
        <v/>
      </c>
      <c r="F1877" t="str">
        <f>""</f>
        <v/>
      </c>
      <c r="H1877" t="str">
        <f t="shared" si="44"/>
        <v>BCBS PAYABLE</v>
      </c>
    </row>
    <row r="1878" spans="5:8" x14ac:dyDescent="0.25">
      <c r="E1878" t="str">
        <f>"2EC202004296629"</f>
        <v>2EC202004296629</v>
      </c>
      <c r="F1878" t="str">
        <f>"BCBS PAYABLE"</f>
        <v>BCBS PAYABLE</v>
      </c>
      <c r="G1878" s="5">
        <v>1824.32</v>
      </c>
      <c r="H1878" t="str">
        <f t="shared" si="44"/>
        <v>BCBS PAYABLE</v>
      </c>
    </row>
    <row r="1879" spans="5:8" x14ac:dyDescent="0.25">
      <c r="E1879" t="str">
        <f>""</f>
        <v/>
      </c>
      <c r="F1879" t="str">
        <f>""</f>
        <v/>
      </c>
      <c r="H1879" t="str">
        <f t="shared" si="44"/>
        <v>BCBS PAYABLE</v>
      </c>
    </row>
    <row r="1880" spans="5:8" x14ac:dyDescent="0.25">
      <c r="E1880" t="str">
        <f>"2EC202005126839"</f>
        <v>2EC202005126839</v>
      </c>
      <c r="F1880" t="str">
        <f>"BCBS PAYABLE"</f>
        <v>BCBS PAYABLE</v>
      </c>
      <c r="G1880" s="5">
        <v>49007.56</v>
      </c>
      <c r="H1880" t="str">
        <f t="shared" si="44"/>
        <v>BCBS PAYABLE</v>
      </c>
    </row>
    <row r="1881" spans="5:8" x14ac:dyDescent="0.25">
      <c r="E1881" t="str">
        <f>""</f>
        <v/>
      </c>
      <c r="F1881" t="str">
        <f>""</f>
        <v/>
      </c>
      <c r="H1881" t="str">
        <f t="shared" si="44"/>
        <v>BCBS PAYABLE</v>
      </c>
    </row>
    <row r="1882" spans="5:8" x14ac:dyDescent="0.25">
      <c r="E1882" t="str">
        <f>""</f>
        <v/>
      </c>
      <c r="F1882" t="str">
        <f>""</f>
        <v/>
      </c>
      <c r="H1882" t="str">
        <f t="shared" si="44"/>
        <v>BCBS PAYABLE</v>
      </c>
    </row>
    <row r="1883" spans="5:8" x14ac:dyDescent="0.25">
      <c r="E1883" t="str">
        <f>""</f>
        <v/>
      </c>
      <c r="F1883" t="str">
        <f>""</f>
        <v/>
      </c>
      <c r="H1883" t="str">
        <f t="shared" si="44"/>
        <v>BCBS PAYABLE</v>
      </c>
    </row>
    <row r="1884" spans="5:8" x14ac:dyDescent="0.25">
      <c r="E1884" t="str">
        <f>""</f>
        <v/>
      </c>
      <c r="F1884" t="str">
        <f>""</f>
        <v/>
      </c>
      <c r="H1884" t="str">
        <f t="shared" si="44"/>
        <v>BCBS PAYABLE</v>
      </c>
    </row>
    <row r="1885" spans="5:8" x14ac:dyDescent="0.25">
      <c r="E1885" t="str">
        <f>""</f>
        <v/>
      </c>
      <c r="F1885" t="str">
        <f>""</f>
        <v/>
      </c>
      <c r="H1885" t="str">
        <f t="shared" si="44"/>
        <v>BCBS PAYABLE</v>
      </c>
    </row>
    <row r="1886" spans="5:8" x14ac:dyDescent="0.25">
      <c r="E1886" t="str">
        <f>""</f>
        <v/>
      </c>
      <c r="F1886" t="str">
        <f>""</f>
        <v/>
      </c>
      <c r="H1886" t="str">
        <f t="shared" si="44"/>
        <v>BCBS PAYABLE</v>
      </c>
    </row>
    <row r="1887" spans="5:8" x14ac:dyDescent="0.25">
      <c r="E1887" t="str">
        <f>""</f>
        <v/>
      </c>
      <c r="F1887" t="str">
        <f>""</f>
        <v/>
      </c>
      <c r="H1887" t="str">
        <f t="shared" si="44"/>
        <v>BCBS PAYABLE</v>
      </c>
    </row>
    <row r="1888" spans="5:8" x14ac:dyDescent="0.25">
      <c r="E1888" t="str">
        <f>""</f>
        <v/>
      </c>
      <c r="F1888" t="str">
        <f>""</f>
        <v/>
      </c>
      <c r="H1888" t="str">
        <f t="shared" si="44"/>
        <v>BCBS PAYABLE</v>
      </c>
    </row>
    <row r="1889" spans="5:8" x14ac:dyDescent="0.25">
      <c r="E1889" t="str">
        <f>""</f>
        <v/>
      </c>
      <c r="F1889" t="str">
        <f>""</f>
        <v/>
      </c>
      <c r="H1889" t="str">
        <f t="shared" si="44"/>
        <v>BCBS PAYABLE</v>
      </c>
    </row>
    <row r="1890" spans="5:8" x14ac:dyDescent="0.25">
      <c r="E1890" t="str">
        <f>""</f>
        <v/>
      </c>
      <c r="F1890" t="str">
        <f>""</f>
        <v/>
      </c>
      <c r="H1890" t="str">
        <f t="shared" si="44"/>
        <v>BCBS PAYABLE</v>
      </c>
    </row>
    <row r="1891" spans="5:8" x14ac:dyDescent="0.25">
      <c r="E1891" t="str">
        <f>""</f>
        <v/>
      </c>
      <c r="F1891" t="str">
        <f>""</f>
        <v/>
      </c>
      <c r="H1891" t="str">
        <f t="shared" si="44"/>
        <v>BCBS PAYABLE</v>
      </c>
    </row>
    <row r="1892" spans="5:8" x14ac:dyDescent="0.25">
      <c r="E1892" t="str">
        <f>""</f>
        <v/>
      </c>
      <c r="F1892" t="str">
        <f>""</f>
        <v/>
      </c>
      <c r="H1892" t="str">
        <f t="shared" si="44"/>
        <v>BCBS PAYABLE</v>
      </c>
    </row>
    <row r="1893" spans="5:8" x14ac:dyDescent="0.25">
      <c r="E1893" t="str">
        <f>""</f>
        <v/>
      </c>
      <c r="F1893" t="str">
        <f>""</f>
        <v/>
      </c>
      <c r="H1893" t="str">
        <f t="shared" si="44"/>
        <v>BCBS PAYABLE</v>
      </c>
    </row>
    <row r="1894" spans="5:8" x14ac:dyDescent="0.25">
      <c r="E1894" t="str">
        <f>""</f>
        <v/>
      </c>
      <c r="F1894" t="str">
        <f>""</f>
        <v/>
      </c>
      <c r="H1894" t="str">
        <f t="shared" si="44"/>
        <v>BCBS PAYABLE</v>
      </c>
    </row>
    <row r="1895" spans="5:8" x14ac:dyDescent="0.25">
      <c r="E1895" t="str">
        <f>""</f>
        <v/>
      </c>
      <c r="F1895" t="str">
        <f>""</f>
        <v/>
      </c>
      <c r="H1895" t="str">
        <f t="shared" si="44"/>
        <v>BCBS PAYABLE</v>
      </c>
    </row>
    <row r="1896" spans="5:8" x14ac:dyDescent="0.25">
      <c r="E1896" t="str">
        <f>""</f>
        <v/>
      </c>
      <c r="F1896" t="str">
        <f>""</f>
        <v/>
      </c>
      <c r="H1896" t="str">
        <f t="shared" si="44"/>
        <v>BCBS PAYABLE</v>
      </c>
    </row>
    <row r="1897" spans="5:8" x14ac:dyDescent="0.25">
      <c r="E1897" t="str">
        <f>""</f>
        <v/>
      </c>
      <c r="F1897" t="str">
        <f>""</f>
        <v/>
      </c>
      <c r="H1897" t="str">
        <f t="shared" si="44"/>
        <v>BCBS PAYABLE</v>
      </c>
    </row>
    <row r="1898" spans="5:8" x14ac:dyDescent="0.25">
      <c r="E1898" t="str">
        <f>""</f>
        <v/>
      </c>
      <c r="F1898" t="str">
        <f>""</f>
        <v/>
      </c>
      <c r="H1898" t="str">
        <f t="shared" si="44"/>
        <v>BCBS PAYABLE</v>
      </c>
    </row>
    <row r="1899" spans="5:8" x14ac:dyDescent="0.25">
      <c r="E1899" t="str">
        <f>""</f>
        <v/>
      </c>
      <c r="F1899" t="str">
        <f>""</f>
        <v/>
      </c>
      <c r="H1899" t="str">
        <f t="shared" si="44"/>
        <v>BCBS PAYABLE</v>
      </c>
    </row>
    <row r="1900" spans="5:8" x14ac:dyDescent="0.25">
      <c r="E1900" t="str">
        <f>""</f>
        <v/>
      </c>
      <c r="F1900" t="str">
        <f>""</f>
        <v/>
      </c>
      <c r="H1900" t="str">
        <f t="shared" si="44"/>
        <v>BCBS PAYABLE</v>
      </c>
    </row>
    <row r="1901" spans="5:8" x14ac:dyDescent="0.25">
      <c r="E1901" t="str">
        <f>""</f>
        <v/>
      </c>
      <c r="F1901" t="str">
        <f>""</f>
        <v/>
      </c>
      <c r="H1901" t="str">
        <f t="shared" si="44"/>
        <v>BCBS PAYABLE</v>
      </c>
    </row>
    <row r="1902" spans="5:8" x14ac:dyDescent="0.25">
      <c r="E1902" t="str">
        <f>""</f>
        <v/>
      </c>
      <c r="F1902" t="str">
        <f>""</f>
        <v/>
      </c>
      <c r="H1902" t="str">
        <f t="shared" si="44"/>
        <v>BCBS PAYABLE</v>
      </c>
    </row>
    <row r="1903" spans="5:8" x14ac:dyDescent="0.25">
      <c r="E1903" t="str">
        <f>""</f>
        <v/>
      </c>
      <c r="F1903" t="str">
        <f>""</f>
        <v/>
      </c>
      <c r="H1903" t="str">
        <f t="shared" si="44"/>
        <v>BCBS PAYABLE</v>
      </c>
    </row>
    <row r="1904" spans="5:8" x14ac:dyDescent="0.25">
      <c r="E1904" t="str">
        <f>""</f>
        <v/>
      </c>
      <c r="F1904" t="str">
        <f>""</f>
        <v/>
      </c>
      <c r="H1904" t="str">
        <f t="shared" si="44"/>
        <v>BCBS PAYABLE</v>
      </c>
    </row>
    <row r="1905" spans="5:8" x14ac:dyDescent="0.25">
      <c r="E1905" t="str">
        <f>""</f>
        <v/>
      </c>
      <c r="F1905" t="str">
        <f>""</f>
        <v/>
      </c>
      <c r="H1905" t="str">
        <f t="shared" si="44"/>
        <v>BCBS PAYABLE</v>
      </c>
    </row>
    <row r="1906" spans="5:8" x14ac:dyDescent="0.25">
      <c r="E1906" t="str">
        <f>""</f>
        <v/>
      </c>
      <c r="F1906" t="str">
        <f>""</f>
        <v/>
      </c>
      <c r="H1906" t="str">
        <f t="shared" si="44"/>
        <v>BCBS PAYABLE</v>
      </c>
    </row>
    <row r="1907" spans="5:8" x14ac:dyDescent="0.25">
      <c r="E1907" t="str">
        <f>""</f>
        <v/>
      </c>
      <c r="F1907" t="str">
        <f>""</f>
        <v/>
      </c>
      <c r="H1907" t="str">
        <f t="shared" si="44"/>
        <v>BCBS PAYABLE</v>
      </c>
    </row>
    <row r="1908" spans="5:8" x14ac:dyDescent="0.25">
      <c r="E1908" t="str">
        <f>""</f>
        <v/>
      </c>
      <c r="F1908" t="str">
        <f>""</f>
        <v/>
      </c>
      <c r="H1908" t="str">
        <f t="shared" si="44"/>
        <v>BCBS PAYABLE</v>
      </c>
    </row>
    <row r="1909" spans="5:8" x14ac:dyDescent="0.25">
      <c r="E1909" t="str">
        <f>""</f>
        <v/>
      </c>
      <c r="F1909" t="str">
        <f>""</f>
        <v/>
      </c>
      <c r="H1909" t="str">
        <f t="shared" si="44"/>
        <v>BCBS PAYABLE</v>
      </c>
    </row>
    <row r="1910" spans="5:8" x14ac:dyDescent="0.25">
      <c r="E1910" t="str">
        <f>""</f>
        <v/>
      </c>
      <c r="F1910" t="str">
        <f>""</f>
        <v/>
      </c>
      <c r="H1910" t="str">
        <f t="shared" si="44"/>
        <v>BCBS PAYABLE</v>
      </c>
    </row>
    <row r="1911" spans="5:8" x14ac:dyDescent="0.25">
      <c r="E1911" t="str">
        <f>"2EC202005126840"</f>
        <v>2EC202005126840</v>
      </c>
      <c r="F1911" t="str">
        <f>"BCBS PAYABLE"</f>
        <v>BCBS PAYABLE</v>
      </c>
      <c r="G1911" s="5">
        <v>1824.32</v>
      </c>
      <c r="H1911" t="str">
        <f t="shared" ref="H1911:H1974" si="45">"BCBS PAYABLE"</f>
        <v>BCBS PAYABLE</v>
      </c>
    </row>
    <row r="1912" spans="5:8" x14ac:dyDescent="0.25">
      <c r="E1912" t="str">
        <f>""</f>
        <v/>
      </c>
      <c r="F1912" t="str">
        <f>""</f>
        <v/>
      </c>
      <c r="H1912" t="str">
        <f t="shared" si="45"/>
        <v>BCBS PAYABLE</v>
      </c>
    </row>
    <row r="1913" spans="5:8" x14ac:dyDescent="0.25">
      <c r="E1913" t="str">
        <f>"2EF202004296628"</f>
        <v>2EF202004296628</v>
      </c>
      <c r="F1913" t="str">
        <f>"BCBS PAYABLE"</f>
        <v>BCBS PAYABLE</v>
      </c>
      <c r="G1913" s="5">
        <v>1812.18</v>
      </c>
      <c r="H1913" t="str">
        <f t="shared" si="45"/>
        <v>BCBS PAYABLE</v>
      </c>
    </row>
    <row r="1914" spans="5:8" x14ac:dyDescent="0.25">
      <c r="E1914" t="str">
        <f>""</f>
        <v/>
      </c>
      <c r="F1914" t="str">
        <f>""</f>
        <v/>
      </c>
      <c r="H1914" t="str">
        <f t="shared" si="45"/>
        <v>BCBS PAYABLE</v>
      </c>
    </row>
    <row r="1915" spans="5:8" x14ac:dyDescent="0.25">
      <c r="E1915" t="str">
        <f>""</f>
        <v/>
      </c>
      <c r="F1915" t="str">
        <f>""</f>
        <v/>
      </c>
      <c r="H1915" t="str">
        <f t="shared" si="45"/>
        <v>BCBS PAYABLE</v>
      </c>
    </row>
    <row r="1916" spans="5:8" x14ac:dyDescent="0.25">
      <c r="E1916" t="str">
        <f>"2EF202005126839"</f>
        <v>2EF202005126839</v>
      </c>
      <c r="F1916" t="str">
        <f>"BCBS PAYABLE"</f>
        <v>BCBS PAYABLE</v>
      </c>
      <c r="G1916" s="5">
        <v>1812.18</v>
      </c>
      <c r="H1916" t="str">
        <f t="shared" si="45"/>
        <v>BCBS PAYABLE</v>
      </c>
    </row>
    <row r="1917" spans="5:8" x14ac:dyDescent="0.25">
      <c r="E1917" t="str">
        <f>""</f>
        <v/>
      </c>
      <c r="F1917" t="str">
        <f>""</f>
        <v/>
      </c>
      <c r="H1917" t="str">
        <f t="shared" si="45"/>
        <v>BCBS PAYABLE</v>
      </c>
    </row>
    <row r="1918" spans="5:8" x14ac:dyDescent="0.25">
      <c r="E1918" t="str">
        <f>""</f>
        <v/>
      </c>
      <c r="F1918" t="str">
        <f>""</f>
        <v/>
      </c>
      <c r="H1918" t="str">
        <f t="shared" si="45"/>
        <v>BCBS PAYABLE</v>
      </c>
    </row>
    <row r="1919" spans="5:8" x14ac:dyDescent="0.25">
      <c r="E1919" t="str">
        <f>"2EO202004296628"</f>
        <v>2EO202004296628</v>
      </c>
      <c r="F1919" t="str">
        <f>"BCBS PAYABLE"</f>
        <v>BCBS PAYABLE</v>
      </c>
      <c r="G1919" s="5">
        <v>101223.4</v>
      </c>
      <c r="H1919" t="str">
        <f t="shared" si="45"/>
        <v>BCBS PAYABLE</v>
      </c>
    </row>
    <row r="1920" spans="5:8" x14ac:dyDescent="0.25">
      <c r="E1920" t="str">
        <f>""</f>
        <v/>
      </c>
      <c r="F1920" t="str">
        <f>""</f>
        <v/>
      </c>
      <c r="H1920" t="str">
        <f t="shared" si="45"/>
        <v>BCBS PAYABLE</v>
      </c>
    </row>
    <row r="1921" spans="5:8" x14ac:dyDescent="0.25">
      <c r="E1921" t="str">
        <f>""</f>
        <v/>
      </c>
      <c r="F1921" t="str">
        <f>""</f>
        <v/>
      </c>
      <c r="H1921" t="str">
        <f t="shared" si="45"/>
        <v>BCBS PAYABLE</v>
      </c>
    </row>
    <row r="1922" spans="5:8" x14ac:dyDescent="0.25">
      <c r="E1922" t="str">
        <f>""</f>
        <v/>
      </c>
      <c r="F1922" t="str">
        <f>""</f>
        <v/>
      </c>
      <c r="H1922" t="str">
        <f t="shared" si="45"/>
        <v>BCBS PAYABLE</v>
      </c>
    </row>
    <row r="1923" spans="5:8" x14ac:dyDescent="0.25">
      <c r="E1923" t="str">
        <f>""</f>
        <v/>
      </c>
      <c r="F1923" t="str">
        <f>""</f>
        <v/>
      </c>
      <c r="H1923" t="str">
        <f t="shared" si="45"/>
        <v>BCBS PAYABLE</v>
      </c>
    </row>
    <row r="1924" spans="5:8" x14ac:dyDescent="0.25">
      <c r="E1924" t="str">
        <f>""</f>
        <v/>
      </c>
      <c r="F1924" t="str">
        <f>""</f>
        <v/>
      </c>
      <c r="H1924" t="str">
        <f t="shared" si="45"/>
        <v>BCBS PAYABLE</v>
      </c>
    </row>
    <row r="1925" spans="5:8" x14ac:dyDescent="0.25">
      <c r="E1925" t="str">
        <f>""</f>
        <v/>
      </c>
      <c r="F1925" t="str">
        <f>""</f>
        <v/>
      </c>
      <c r="H1925" t="str">
        <f t="shared" si="45"/>
        <v>BCBS PAYABLE</v>
      </c>
    </row>
    <row r="1926" spans="5:8" x14ac:dyDescent="0.25">
      <c r="E1926" t="str">
        <f>""</f>
        <v/>
      </c>
      <c r="F1926" t="str">
        <f>""</f>
        <v/>
      </c>
      <c r="H1926" t="str">
        <f t="shared" si="45"/>
        <v>BCBS PAYABLE</v>
      </c>
    </row>
    <row r="1927" spans="5:8" x14ac:dyDescent="0.25">
      <c r="E1927" t="str">
        <f>""</f>
        <v/>
      </c>
      <c r="F1927" t="str">
        <f>""</f>
        <v/>
      </c>
      <c r="H1927" t="str">
        <f t="shared" si="45"/>
        <v>BCBS PAYABLE</v>
      </c>
    </row>
    <row r="1928" spans="5:8" x14ac:dyDescent="0.25">
      <c r="E1928" t="str">
        <f>""</f>
        <v/>
      </c>
      <c r="F1928" t="str">
        <f>""</f>
        <v/>
      </c>
      <c r="H1928" t="str">
        <f t="shared" si="45"/>
        <v>BCBS PAYABLE</v>
      </c>
    </row>
    <row r="1929" spans="5:8" x14ac:dyDescent="0.25">
      <c r="E1929" t="str">
        <f>""</f>
        <v/>
      </c>
      <c r="F1929" t="str">
        <f>""</f>
        <v/>
      </c>
      <c r="H1929" t="str">
        <f t="shared" si="45"/>
        <v>BCBS PAYABLE</v>
      </c>
    </row>
    <row r="1930" spans="5:8" x14ac:dyDescent="0.25">
      <c r="E1930" t="str">
        <f>""</f>
        <v/>
      </c>
      <c r="F1930" t="str">
        <f>""</f>
        <v/>
      </c>
      <c r="H1930" t="str">
        <f t="shared" si="45"/>
        <v>BCBS PAYABLE</v>
      </c>
    </row>
    <row r="1931" spans="5:8" x14ac:dyDescent="0.25">
      <c r="E1931" t="str">
        <f>""</f>
        <v/>
      </c>
      <c r="F1931" t="str">
        <f>""</f>
        <v/>
      </c>
      <c r="H1931" t="str">
        <f t="shared" si="45"/>
        <v>BCBS PAYABLE</v>
      </c>
    </row>
    <row r="1932" spans="5:8" x14ac:dyDescent="0.25">
      <c r="E1932" t="str">
        <f>""</f>
        <v/>
      </c>
      <c r="F1932" t="str">
        <f>""</f>
        <v/>
      </c>
      <c r="H1932" t="str">
        <f t="shared" si="45"/>
        <v>BCBS PAYABLE</v>
      </c>
    </row>
    <row r="1933" spans="5:8" x14ac:dyDescent="0.25">
      <c r="E1933" t="str">
        <f>""</f>
        <v/>
      </c>
      <c r="F1933" t="str">
        <f>""</f>
        <v/>
      </c>
      <c r="H1933" t="str">
        <f t="shared" si="45"/>
        <v>BCBS PAYABLE</v>
      </c>
    </row>
    <row r="1934" spans="5:8" x14ac:dyDescent="0.25">
      <c r="E1934" t="str">
        <f>""</f>
        <v/>
      </c>
      <c r="F1934" t="str">
        <f>""</f>
        <v/>
      </c>
      <c r="H1934" t="str">
        <f t="shared" si="45"/>
        <v>BCBS PAYABLE</v>
      </c>
    </row>
    <row r="1935" spans="5:8" x14ac:dyDescent="0.25">
      <c r="E1935" t="str">
        <f>""</f>
        <v/>
      </c>
      <c r="F1935" t="str">
        <f>""</f>
        <v/>
      </c>
      <c r="H1935" t="str">
        <f t="shared" si="45"/>
        <v>BCBS PAYABLE</v>
      </c>
    </row>
    <row r="1936" spans="5:8" x14ac:dyDescent="0.25">
      <c r="E1936" t="str">
        <f>""</f>
        <v/>
      </c>
      <c r="F1936" t="str">
        <f>""</f>
        <v/>
      </c>
      <c r="H1936" t="str">
        <f t="shared" si="45"/>
        <v>BCBS PAYABLE</v>
      </c>
    </row>
    <row r="1937" spans="5:8" x14ac:dyDescent="0.25">
      <c r="E1937" t="str">
        <f>""</f>
        <v/>
      </c>
      <c r="F1937" t="str">
        <f>""</f>
        <v/>
      </c>
      <c r="H1937" t="str">
        <f t="shared" si="45"/>
        <v>BCBS PAYABLE</v>
      </c>
    </row>
    <row r="1938" spans="5:8" x14ac:dyDescent="0.25">
      <c r="E1938" t="str">
        <f>""</f>
        <v/>
      </c>
      <c r="F1938" t="str">
        <f>""</f>
        <v/>
      </c>
      <c r="H1938" t="str">
        <f t="shared" si="45"/>
        <v>BCBS PAYABLE</v>
      </c>
    </row>
    <row r="1939" spans="5:8" x14ac:dyDescent="0.25">
      <c r="E1939" t="str">
        <f>""</f>
        <v/>
      </c>
      <c r="F1939" t="str">
        <f>""</f>
        <v/>
      </c>
      <c r="H1939" t="str">
        <f t="shared" si="45"/>
        <v>BCBS PAYABLE</v>
      </c>
    </row>
    <row r="1940" spans="5:8" x14ac:dyDescent="0.25">
      <c r="E1940" t="str">
        <f>""</f>
        <v/>
      </c>
      <c r="F1940" t="str">
        <f>""</f>
        <v/>
      </c>
      <c r="H1940" t="str">
        <f t="shared" si="45"/>
        <v>BCBS PAYABLE</v>
      </c>
    </row>
    <row r="1941" spans="5:8" x14ac:dyDescent="0.25">
      <c r="E1941" t="str">
        <f>""</f>
        <v/>
      </c>
      <c r="F1941" t="str">
        <f>""</f>
        <v/>
      </c>
      <c r="H1941" t="str">
        <f t="shared" si="45"/>
        <v>BCBS PAYABLE</v>
      </c>
    </row>
    <row r="1942" spans="5:8" x14ac:dyDescent="0.25">
      <c r="E1942" t="str">
        <f>""</f>
        <v/>
      </c>
      <c r="F1942" t="str">
        <f>""</f>
        <v/>
      </c>
      <c r="H1942" t="str">
        <f t="shared" si="45"/>
        <v>BCBS PAYABLE</v>
      </c>
    </row>
    <row r="1943" spans="5:8" x14ac:dyDescent="0.25">
      <c r="E1943" t="str">
        <f>""</f>
        <v/>
      </c>
      <c r="F1943" t="str">
        <f>""</f>
        <v/>
      </c>
      <c r="H1943" t="str">
        <f t="shared" si="45"/>
        <v>BCBS PAYABLE</v>
      </c>
    </row>
    <row r="1944" spans="5:8" x14ac:dyDescent="0.25">
      <c r="E1944" t="str">
        <f>""</f>
        <v/>
      </c>
      <c r="F1944" t="str">
        <f>""</f>
        <v/>
      </c>
      <c r="H1944" t="str">
        <f t="shared" si="45"/>
        <v>BCBS PAYABLE</v>
      </c>
    </row>
    <row r="1945" spans="5:8" x14ac:dyDescent="0.25">
      <c r="E1945" t="str">
        <f>""</f>
        <v/>
      </c>
      <c r="F1945" t="str">
        <f>""</f>
        <v/>
      </c>
      <c r="H1945" t="str">
        <f t="shared" si="45"/>
        <v>BCBS PAYABLE</v>
      </c>
    </row>
    <row r="1946" spans="5:8" x14ac:dyDescent="0.25">
      <c r="E1946" t="str">
        <f>""</f>
        <v/>
      </c>
      <c r="F1946" t="str">
        <f>""</f>
        <v/>
      </c>
      <c r="H1946" t="str">
        <f t="shared" si="45"/>
        <v>BCBS PAYABLE</v>
      </c>
    </row>
    <row r="1947" spans="5:8" x14ac:dyDescent="0.25">
      <c r="E1947" t="str">
        <f>""</f>
        <v/>
      </c>
      <c r="F1947" t="str">
        <f>""</f>
        <v/>
      </c>
      <c r="H1947" t="str">
        <f t="shared" si="45"/>
        <v>BCBS PAYABLE</v>
      </c>
    </row>
    <row r="1948" spans="5:8" x14ac:dyDescent="0.25">
      <c r="E1948" t="str">
        <f>""</f>
        <v/>
      </c>
      <c r="F1948" t="str">
        <f>""</f>
        <v/>
      </c>
      <c r="H1948" t="str">
        <f t="shared" si="45"/>
        <v>BCBS PAYABLE</v>
      </c>
    </row>
    <row r="1949" spans="5:8" x14ac:dyDescent="0.25">
      <c r="E1949" t="str">
        <f>""</f>
        <v/>
      </c>
      <c r="F1949" t="str">
        <f>""</f>
        <v/>
      </c>
      <c r="H1949" t="str">
        <f t="shared" si="45"/>
        <v>BCBS PAYABLE</v>
      </c>
    </row>
    <row r="1950" spans="5:8" x14ac:dyDescent="0.25">
      <c r="E1950" t="str">
        <f>""</f>
        <v/>
      </c>
      <c r="F1950" t="str">
        <f>""</f>
        <v/>
      </c>
      <c r="H1950" t="str">
        <f t="shared" si="45"/>
        <v>BCBS PAYABLE</v>
      </c>
    </row>
    <row r="1951" spans="5:8" x14ac:dyDescent="0.25">
      <c r="E1951" t="str">
        <f>""</f>
        <v/>
      </c>
      <c r="F1951" t="str">
        <f>""</f>
        <v/>
      </c>
      <c r="H1951" t="str">
        <f t="shared" si="45"/>
        <v>BCBS PAYABLE</v>
      </c>
    </row>
    <row r="1952" spans="5:8" x14ac:dyDescent="0.25">
      <c r="E1952" t="str">
        <f>""</f>
        <v/>
      </c>
      <c r="F1952" t="str">
        <f>""</f>
        <v/>
      </c>
      <c r="H1952" t="str">
        <f t="shared" si="45"/>
        <v>BCBS PAYABLE</v>
      </c>
    </row>
    <row r="1953" spans="5:8" x14ac:dyDescent="0.25">
      <c r="E1953" t="str">
        <f>""</f>
        <v/>
      </c>
      <c r="F1953" t="str">
        <f>""</f>
        <v/>
      </c>
      <c r="H1953" t="str">
        <f t="shared" si="45"/>
        <v>BCBS PAYABLE</v>
      </c>
    </row>
    <row r="1954" spans="5:8" x14ac:dyDescent="0.25">
      <c r="E1954" t="str">
        <f>""</f>
        <v/>
      </c>
      <c r="F1954" t="str">
        <f>""</f>
        <v/>
      </c>
      <c r="H1954" t="str">
        <f t="shared" si="45"/>
        <v>BCBS PAYABLE</v>
      </c>
    </row>
    <row r="1955" spans="5:8" x14ac:dyDescent="0.25">
      <c r="E1955" t="str">
        <f>""</f>
        <v/>
      </c>
      <c r="F1955" t="str">
        <f>""</f>
        <v/>
      </c>
      <c r="H1955" t="str">
        <f t="shared" si="45"/>
        <v>BCBS PAYABLE</v>
      </c>
    </row>
    <row r="1956" spans="5:8" x14ac:dyDescent="0.25">
      <c r="E1956" t="str">
        <f>""</f>
        <v/>
      </c>
      <c r="F1956" t="str">
        <f>""</f>
        <v/>
      </c>
      <c r="H1956" t="str">
        <f t="shared" si="45"/>
        <v>BCBS PAYABLE</v>
      </c>
    </row>
    <row r="1957" spans="5:8" x14ac:dyDescent="0.25">
      <c r="E1957" t="str">
        <f>""</f>
        <v/>
      </c>
      <c r="F1957" t="str">
        <f>""</f>
        <v/>
      </c>
      <c r="H1957" t="str">
        <f t="shared" si="45"/>
        <v>BCBS PAYABLE</v>
      </c>
    </row>
    <row r="1958" spans="5:8" x14ac:dyDescent="0.25">
      <c r="E1958" t="str">
        <f>""</f>
        <v/>
      </c>
      <c r="F1958" t="str">
        <f>""</f>
        <v/>
      </c>
      <c r="H1958" t="str">
        <f t="shared" si="45"/>
        <v>BCBS PAYABLE</v>
      </c>
    </row>
    <row r="1959" spans="5:8" x14ac:dyDescent="0.25">
      <c r="E1959" t="str">
        <f>""</f>
        <v/>
      </c>
      <c r="F1959" t="str">
        <f>""</f>
        <v/>
      </c>
      <c r="H1959" t="str">
        <f t="shared" si="45"/>
        <v>BCBS PAYABLE</v>
      </c>
    </row>
    <row r="1960" spans="5:8" x14ac:dyDescent="0.25">
      <c r="E1960" t="str">
        <f>""</f>
        <v/>
      </c>
      <c r="F1960" t="str">
        <f>""</f>
        <v/>
      </c>
      <c r="H1960" t="str">
        <f t="shared" si="45"/>
        <v>BCBS PAYABLE</v>
      </c>
    </row>
    <row r="1961" spans="5:8" x14ac:dyDescent="0.25">
      <c r="E1961" t="str">
        <f>""</f>
        <v/>
      </c>
      <c r="F1961" t="str">
        <f>""</f>
        <v/>
      </c>
      <c r="H1961" t="str">
        <f t="shared" si="45"/>
        <v>BCBS PAYABLE</v>
      </c>
    </row>
    <row r="1962" spans="5:8" x14ac:dyDescent="0.25">
      <c r="E1962" t="str">
        <f>""</f>
        <v/>
      </c>
      <c r="F1962" t="str">
        <f>""</f>
        <v/>
      </c>
      <c r="H1962" t="str">
        <f t="shared" si="45"/>
        <v>BCBS PAYABLE</v>
      </c>
    </row>
    <row r="1963" spans="5:8" x14ac:dyDescent="0.25">
      <c r="E1963" t="str">
        <f>""</f>
        <v/>
      </c>
      <c r="F1963" t="str">
        <f>""</f>
        <v/>
      </c>
      <c r="H1963" t="str">
        <f t="shared" si="45"/>
        <v>BCBS PAYABLE</v>
      </c>
    </row>
    <row r="1964" spans="5:8" x14ac:dyDescent="0.25">
      <c r="E1964" t="str">
        <f>""</f>
        <v/>
      </c>
      <c r="F1964" t="str">
        <f>""</f>
        <v/>
      </c>
      <c r="H1964" t="str">
        <f t="shared" si="45"/>
        <v>BCBS PAYABLE</v>
      </c>
    </row>
    <row r="1965" spans="5:8" x14ac:dyDescent="0.25">
      <c r="E1965" t="str">
        <f>""</f>
        <v/>
      </c>
      <c r="F1965" t="str">
        <f>""</f>
        <v/>
      </c>
      <c r="H1965" t="str">
        <f t="shared" si="45"/>
        <v>BCBS PAYABLE</v>
      </c>
    </row>
    <row r="1966" spans="5:8" x14ac:dyDescent="0.25">
      <c r="E1966" t="str">
        <f>""</f>
        <v/>
      </c>
      <c r="F1966" t="str">
        <f>""</f>
        <v/>
      </c>
      <c r="H1966" t="str">
        <f t="shared" si="45"/>
        <v>BCBS PAYABLE</v>
      </c>
    </row>
    <row r="1967" spans="5:8" x14ac:dyDescent="0.25">
      <c r="E1967" t="str">
        <f>"2EO202004296629"</f>
        <v>2EO202004296629</v>
      </c>
      <c r="F1967" t="str">
        <f>"BCBS PAYABLE"</f>
        <v>BCBS PAYABLE</v>
      </c>
      <c r="G1967" s="5">
        <v>4314.4399999999996</v>
      </c>
      <c r="H1967" t="str">
        <f t="shared" si="45"/>
        <v>BCBS PAYABLE</v>
      </c>
    </row>
    <row r="1968" spans="5:8" x14ac:dyDescent="0.25">
      <c r="E1968" t="str">
        <f>"2EO202005126839"</f>
        <v>2EO202005126839</v>
      </c>
      <c r="F1968" t="str">
        <f>"BCBS PAYABLE"</f>
        <v>BCBS PAYABLE</v>
      </c>
      <c r="G1968" s="5">
        <v>100559.64</v>
      </c>
      <c r="H1968" t="str">
        <f t="shared" si="45"/>
        <v>BCBS PAYABLE</v>
      </c>
    </row>
    <row r="1969" spans="5:8" x14ac:dyDescent="0.25">
      <c r="E1969" t="str">
        <f>""</f>
        <v/>
      </c>
      <c r="F1969" t="str">
        <f>""</f>
        <v/>
      </c>
      <c r="H1969" t="str">
        <f t="shared" si="45"/>
        <v>BCBS PAYABLE</v>
      </c>
    </row>
    <row r="1970" spans="5:8" x14ac:dyDescent="0.25">
      <c r="E1970" t="str">
        <f>""</f>
        <v/>
      </c>
      <c r="F1970" t="str">
        <f>""</f>
        <v/>
      </c>
      <c r="H1970" t="str">
        <f t="shared" si="45"/>
        <v>BCBS PAYABLE</v>
      </c>
    </row>
    <row r="1971" spans="5:8" x14ac:dyDescent="0.25">
      <c r="E1971" t="str">
        <f>""</f>
        <v/>
      </c>
      <c r="F1971" t="str">
        <f>""</f>
        <v/>
      </c>
      <c r="H1971" t="str">
        <f t="shared" si="45"/>
        <v>BCBS PAYABLE</v>
      </c>
    </row>
    <row r="1972" spans="5:8" x14ac:dyDescent="0.25">
      <c r="E1972" t="str">
        <f>""</f>
        <v/>
      </c>
      <c r="F1972" t="str">
        <f>""</f>
        <v/>
      </c>
      <c r="H1972" t="str">
        <f t="shared" si="45"/>
        <v>BCBS PAYABLE</v>
      </c>
    </row>
    <row r="1973" spans="5:8" x14ac:dyDescent="0.25">
      <c r="E1973" t="str">
        <f>""</f>
        <v/>
      </c>
      <c r="F1973" t="str">
        <f>""</f>
        <v/>
      </c>
      <c r="H1973" t="str">
        <f t="shared" si="45"/>
        <v>BCBS PAYABLE</v>
      </c>
    </row>
    <row r="1974" spans="5:8" x14ac:dyDescent="0.25">
      <c r="E1974" t="str">
        <f>""</f>
        <v/>
      </c>
      <c r="F1974" t="str">
        <f>""</f>
        <v/>
      </c>
      <c r="H1974" t="str">
        <f t="shared" si="45"/>
        <v>BCBS PAYABLE</v>
      </c>
    </row>
    <row r="1975" spans="5:8" x14ac:dyDescent="0.25">
      <c r="E1975" t="str">
        <f>""</f>
        <v/>
      </c>
      <c r="F1975" t="str">
        <f>""</f>
        <v/>
      </c>
      <c r="H1975" t="str">
        <f t="shared" ref="H1975:H2038" si="46">"BCBS PAYABLE"</f>
        <v>BCBS PAYABLE</v>
      </c>
    </row>
    <row r="1976" spans="5:8" x14ac:dyDescent="0.25">
      <c r="E1976" t="str">
        <f>""</f>
        <v/>
      </c>
      <c r="F1976" t="str">
        <f>""</f>
        <v/>
      </c>
      <c r="H1976" t="str">
        <f t="shared" si="46"/>
        <v>BCBS PAYABLE</v>
      </c>
    </row>
    <row r="1977" spans="5:8" x14ac:dyDescent="0.25">
      <c r="E1977" t="str">
        <f>""</f>
        <v/>
      </c>
      <c r="F1977" t="str">
        <f>""</f>
        <v/>
      </c>
      <c r="H1977" t="str">
        <f t="shared" si="46"/>
        <v>BCBS PAYABLE</v>
      </c>
    </row>
    <row r="1978" spans="5:8" x14ac:dyDescent="0.25">
      <c r="E1978" t="str">
        <f>""</f>
        <v/>
      </c>
      <c r="F1978" t="str">
        <f>""</f>
        <v/>
      </c>
      <c r="H1978" t="str">
        <f t="shared" si="46"/>
        <v>BCBS PAYABLE</v>
      </c>
    </row>
    <row r="1979" spans="5:8" x14ac:dyDescent="0.25">
      <c r="E1979" t="str">
        <f>""</f>
        <v/>
      </c>
      <c r="F1979" t="str">
        <f>""</f>
        <v/>
      </c>
      <c r="H1979" t="str">
        <f t="shared" si="46"/>
        <v>BCBS PAYABLE</v>
      </c>
    </row>
    <row r="1980" spans="5:8" x14ac:dyDescent="0.25">
      <c r="E1980" t="str">
        <f>""</f>
        <v/>
      </c>
      <c r="F1980" t="str">
        <f>""</f>
        <v/>
      </c>
      <c r="H1980" t="str">
        <f t="shared" si="46"/>
        <v>BCBS PAYABLE</v>
      </c>
    </row>
    <row r="1981" spans="5:8" x14ac:dyDescent="0.25">
      <c r="E1981" t="str">
        <f>""</f>
        <v/>
      </c>
      <c r="F1981" t="str">
        <f>""</f>
        <v/>
      </c>
      <c r="H1981" t="str">
        <f t="shared" si="46"/>
        <v>BCBS PAYABLE</v>
      </c>
    </row>
    <row r="1982" spans="5:8" x14ac:dyDescent="0.25">
      <c r="E1982" t="str">
        <f>""</f>
        <v/>
      </c>
      <c r="F1982" t="str">
        <f>""</f>
        <v/>
      </c>
      <c r="H1982" t="str">
        <f t="shared" si="46"/>
        <v>BCBS PAYABLE</v>
      </c>
    </row>
    <row r="1983" spans="5:8" x14ac:dyDescent="0.25">
      <c r="E1983" t="str">
        <f>""</f>
        <v/>
      </c>
      <c r="F1983" t="str">
        <f>""</f>
        <v/>
      </c>
      <c r="H1983" t="str">
        <f t="shared" si="46"/>
        <v>BCBS PAYABLE</v>
      </c>
    </row>
    <row r="1984" spans="5:8" x14ac:dyDescent="0.25">
      <c r="E1984" t="str">
        <f>""</f>
        <v/>
      </c>
      <c r="F1984" t="str">
        <f>""</f>
        <v/>
      </c>
      <c r="H1984" t="str">
        <f t="shared" si="46"/>
        <v>BCBS PAYABLE</v>
      </c>
    </row>
    <row r="1985" spans="5:8" x14ac:dyDescent="0.25">
      <c r="E1985" t="str">
        <f>""</f>
        <v/>
      </c>
      <c r="F1985" t="str">
        <f>""</f>
        <v/>
      </c>
      <c r="H1985" t="str">
        <f t="shared" si="46"/>
        <v>BCBS PAYABLE</v>
      </c>
    </row>
    <row r="1986" spans="5:8" x14ac:dyDescent="0.25">
      <c r="E1986" t="str">
        <f>""</f>
        <v/>
      </c>
      <c r="F1986" t="str">
        <f>""</f>
        <v/>
      </c>
      <c r="H1986" t="str">
        <f t="shared" si="46"/>
        <v>BCBS PAYABLE</v>
      </c>
    </row>
    <row r="1987" spans="5:8" x14ac:dyDescent="0.25">
      <c r="E1987" t="str">
        <f>""</f>
        <v/>
      </c>
      <c r="F1987" t="str">
        <f>""</f>
        <v/>
      </c>
      <c r="H1987" t="str">
        <f t="shared" si="46"/>
        <v>BCBS PAYABLE</v>
      </c>
    </row>
    <row r="1988" spans="5:8" x14ac:dyDescent="0.25">
      <c r="E1988" t="str">
        <f>""</f>
        <v/>
      </c>
      <c r="F1988" t="str">
        <f>""</f>
        <v/>
      </c>
      <c r="H1988" t="str">
        <f t="shared" si="46"/>
        <v>BCBS PAYABLE</v>
      </c>
    </row>
    <row r="1989" spans="5:8" x14ac:dyDescent="0.25">
      <c r="E1989" t="str">
        <f>""</f>
        <v/>
      </c>
      <c r="F1989" t="str">
        <f>""</f>
        <v/>
      </c>
      <c r="H1989" t="str">
        <f t="shared" si="46"/>
        <v>BCBS PAYABLE</v>
      </c>
    </row>
    <row r="1990" spans="5:8" x14ac:dyDescent="0.25">
      <c r="E1990" t="str">
        <f>""</f>
        <v/>
      </c>
      <c r="F1990" t="str">
        <f>""</f>
        <v/>
      </c>
      <c r="H1990" t="str">
        <f t="shared" si="46"/>
        <v>BCBS PAYABLE</v>
      </c>
    </row>
    <row r="1991" spans="5:8" x14ac:dyDescent="0.25">
      <c r="E1991" t="str">
        <f>""</f>
        <v/>
      </c>
      <c r="F1991" t="str">
        <f>""</f>
        <v/>
      </c>
      <c r="H1991" t="str">
        <f t="shared" si="46"/>
        <v>BCBS PAYABLE</v>
      </c>
    </row>
    <row r="1992" spans="5:8" x14ac:dyDescent="0.25">
      <c r="E1992" t="str">
        <f>""</f>
        <v/>
      </c>
      <c r="F1992" t="str">
        <f>""</f>
        <v/>
      </c>
      <c r="H1992" t="str">
        <f t="shared" si="46"/>
        <v>BCBS PAYABLE</v>
      </c>
    </row>
    <row r="1993" spans="5:8" x14ac:dyDescent="0.25">
      <c r="E1993" t="str">
        <f>""</f>
        <v/>
      </c>
      <c r="F1993" t="str">
        <f>""</f>
        <v/>
      </c>
      <c r="H1993" t="str">
        <f t="shared" si="46"/>
        <v>BCBS PAYABLE</v>
      </c>
    </row>
    <row r="1994" spans="5:8" x14ac:dyDescent="0.25">
      <c r="E1994" t="str">
        <f>""</f>
        <v/>
      </c>
      <c r="F1994" t="str">
        <f>""</f>
        <v/>
      </c>
      <c r="H1994" t="str">
        <f t="shared" si="46"/>
        <v>BCBS PAYABLE</v>
      </c>
    </row>
    <row r="1995" spans="5:8" x14ac:dyDescent="0.25">
      <c r="E1995" t="str">
        <f>""</f>
        <v/>
      </c>
      <c r="F1995" t="str">
        <f>""</f>
        <v/>
      </c>
      <c r="H1995" t="str">
        <f t="shared" si="46"/>
        <v>BCBS PAYABLE</v>
      </c>
    </row>
    <row r="1996" spans="5:8" x14ac:dyDescent="0.25">
      <c r="E1996" t="str">
        <f>""</f>
        <v/>
      </c>
      <c r="F1996" t="str">
        <f>""</f>
        <v/>
      </c>
      <c r="H1996" t="str">
        <f t="shared" si="46"/>
        <v>BCBS PAYABLE</v>
      </c>
    </row>
    <row r="1997" spans="5:8" x14ac:dyDescent="0.25">
      <c r="E1997" t="str">
        <f>""</f>
        <v/>
      </c>
      <c r="F1997" t="str">
        <f>""</f>
        <v/>
      </c>
      <c r="H1997" t="str">
        <f t="shared" si="46"/>
        <v>BCBS PAYABLE</v>
      </c>
    </row>
    <row r="1998" spans="5:8" x14ac:dyDescent="0.25">
      <c r="E1998" t="str">
        <f>""</f>
        <v/>
      </c>
      <c r="F1998" t="str">
        <f>""</f>
        <v/>
      </c>
      <c r="H1998" t="str">
        <f t="shared" si="46"/>
        <v>BCBS PAYABLE</v>
      </c>
    </row>
    <row r="1999" spans="5:8" x14ac:dyDescent="0.25">
      <c r="E1999" t="str">
        <f>""</f>
        <v/>
      </c>
      <c r="F1999" t="str">
        <f>""</f>
        <v/>
      </c>
      <c r="H1999" t="str">
        <f t="shared" si="46"/>
        <v>BCBS PAYABLE</v>
      </c>
    </row>
    <row r="2000" spans="5:8" x14ac:dyDescent="0.25">
      <c r="E2000" t="str">
        <f>""</f>
        <v/>
      </c>
      <c r="F2000" t="str">
        <f>""</f>
        <v/>
      </c>
      <c r="H2000" t="str">
        <f t="shared" si="46"/>
        <v>BCBS PAYABLE</v>
      </c>
    </row>
    <row r="2001" spans="5:8" x14ac:dyDescent="0.25">
      <c r="E2001" t="str">
        <f>""</f>
        <v/>
      </c>
      <c r="F2001" t="str">
        <f>""</f>
        <v/>
      </c>
      <c r="H2001" t="str">
        <f t="shared" si="46"/>
        <v>BCBS PAYABLE</v>
      </c>
    </row>
    <row r="2002" spans="5:8" x14ac:dyDescent="0.25">
      <c r="E2002" t="str">
        <f>""</f>
        <v/>
      </c>
      <c r="F2002" t="str">
        <f>""</f>
        <v/>
      </c>
      <c r="H2002" t="str">
        <f t="shared" si="46"/>
        <v>BCBS PAYABLE</v>
      </c>
    </row>
    <row r="2003" spans="5:8" x14ac:dyDescent="0.25">
      <c r="E2003" t="str">
        <f>""</f>
        <v/>
      </c>
      <c r="F2003" t="str">
        <f>""</f>
        <v/>
      </c>
      <c r="H2003" t="str">
        <f t="shared" si="46"/>
        <v>BCBS PAYABLE</v>
      </c>
    </row>
    <row r="2004" spans="5:8" x14ac:dyDescent="0.25">
      <c r="E2004" t="str">
        <f>""</f>
        <v/>
      </c>
      <c r="F2004" t="str">
        <f>""</f>
        <v/>
      </c>
      <c r="H2004" t="str">
        <f t="shared" si="46"/>
        <v>BCBS PAYABLE</v>
      </c>
    </row>
    <row r="2005" spans="5:8" x14ac:dyDescent="0.25">
      <c r="E2005" t="str">
        <f>""</f>
        <v/>
      </c>
      <c r="F2005" t="str">
        <f>""</f>
        <v/>
      </c>
      <c r="H2005" t="str">
        <f t="shared" si="46"/>
        <v>BCBS PAYABLE</v>
      </c>
    </row>
    <row r="2006" spans="5:8" x14ac:dyDescent="0.25">
      <c r="E2006" t="str">
        <f>""</f>
        <v/>
      </c>
      <c r="F2006" t="str">
        <f>""</f>
        <v/>
      </c>
      <c r="H2006" t="str">
        <f t="shared" si="46"/>
        <v>BCBS PAYABLE</v>
      </c>
    </row>
    <row r="2007" spans="5:8" x14ac:dyDescent="0.25">
      <c r="E2007" t="str">
        <f>""</f>
        <v/>
      </c>
      <c r="F2007" t="str">
        <f>""</f>
        <v/>
      </c>
      <c r="H2007" t="str">
        <f t="shared" si="46"/>
        <v>BCBS PAYABLE</v>
      </c>
    </row>
    <row r="2008" spans="5:8" x14ac:dyDescent="0.25">
      <c r="E2008" t="str">
        <f>""</f>
        <v/>
      </c>
      <c r="F2008" t="str">
        <f>""</f>
        <v/>
      </c>
      <c r="H2008" t="str">
        <f t="shared" si="46"/>
        <v>BCBS PAYABLE</v>
      </c>
    </row>
    <row r="2009" spans="5:8" x14ac:dyDescent="0.25">
      <c r="E2009" t="str">
        <f>""</f>
        <v/>
      </c>
      <c r="F2009" t="str">
        <f>""</f>
        <v/>
      </c>
      <c r="H2009" t="str">
        <f t="shared" si="46"/>
        <v>BCBS PAYABLE</v>
      </c>
    </row>
    <row r="2010" spans="5:8" x14ac:dyDescent="0.25">
      <c r="E2010" t="str">
        <f>""</f>
        <v/>
      </c>
      <c r="F2010" t="str">
        <f>""</f>
        <v/>
      </c>
      <c r="H2010" t="str">
        <f t="shared" si="46"/>
        <v>BCBS PAYABLE</v>
      </c>
    </row>
    <row r="2011" spans="5:8" x14ac:dyDescent="0.25">
      <c r="E2011" t="str">
        <f>""</f>
        <v/>
      </c>
      <c r="F2011" t="str">
        <f>""</f>
        <v/>
      </c>
      <c r="H2011" t="str">
        <f t="shared" si="46"/>
        <v>BCBS PAYABLE</v>
      </c>
    </row>
    <row r="2012" spans="5:8" x14ac:dyDescent="0.25">
      <c r="E2012" t="str">
        <f>""</f>
        <v/>
      </c>
      <c r="F2012" t="str">
        <f>""</f>
        <v/>
      </c>
      <c r="H2012" t="str">
        <f t="shared" si="46"/>
        <v>BCBS PAYABLE</v>
      </c>
    </row>
    <row r="2013" spans="5:8" x14ac:dyDescent="0.25">
      <c r="E2013" t="str">
        <f>""</f>
        <v/>
      </c>
      <c r="F2013" t="str">
        <f>""</f>
        <v/>
      </c>
      <c r="H2013" t="str">
        <f t="shared" si="46"/>
        <v>BCBS PAYABLE</v>
      </c>
    </row>
    <row r="2014" spans="5:8" x14ac:dyDescent="0.25">
      <c r="E2014" t="str">
        <f>""</f>
        <v/>
      </c>
      <c r="F2014" t="str">
        <f>""</f>
        <v/>
      </c>
      <c r="H2014" t="str">
        <f t="shared" si="46"/>
        <v>BCBS PAYABLE</v>
      </c>
    </row>
    <row r="2015" spans="5:8" x14ac:dyDescent="0.25">
      <c r="E2015" t="str">
        <f>""</f>
        <v/>
      </c>
      <c r="F2015" t="str">
        <f>""</f>
        <v/>
      </c>
      <c r="H2015" t="str">
        <f t="shared" si="46"/>
        <v>BCBS PAYABLE</v>
      </c>
    </row>
    <row r="2016" spans="5:8" x14ac:dyDescent="0.25">
      <c r="E2016" t="str">
        <f>"2EO202005126840"</f>
        <v>2EO202005126840</v>
      </c>
      <c r="F2016" t="str">
        <f>"BCBS PAYABLE"</f>
        <v>BCBS PAYABLE</v>
      </c>
      <c r="G2016" s="5">
        <v>4314.4399999999996</v>
      </c>
      <c r="H2016" t="str">
        <f t="shared" si="46"/>
        <v>BCBS PAYABLE</v>
      </c>
    </row>
    <row r="2017" spans="5:8" x14ac:dyDescent="0.25">
      <c r="E2017" t="str">
        <f>"2ES202004296628"</f>
        <v>2ES202004296628</v>
      </c>
      <c r="F2017" t="str">
        <f>"BCBS PAYABLE"</f>
        <v>BCBS PAYABLE</v>
      </c>
      <c r="G2017" s="5">
        <v>15306.2</v>
      </c>
      <c r="H2017" t="str">
        <f t="shared" si="46"/>
        <v>BCBS PAYABLE</v>
      </c>
    </row>
    <row r="2018" spans="5:8" x14ac:dyDescent="0.25">
      <c r="E2018" t="str">
        <f>""</f>
        <v/>
      </c>
      <c r="F2018" t="str">
        <f>""</f>
        <v/>
      </c>
      <c r="H2018" t="str">
        <f t="shared" si="46"/>
        <v>BCBS PAYABLE</v>
      </c>
    </row>
    <row r="2019" spans="5:8" x14ac:dyDescent="0.25">
      <c r="E2019" t="str">
        <f>""</f>
        <v/>
      </c>
      <c r="F2019" t="str">
        <f>""</f>
        <v/>
      </c>
      <c r="H2019" t="str">
        <f t="shared" si="46"/>
        <v>BCBS PAYABLE</v>
      </c>
    </row>
    <row r="2020" spans="5:8" x14ac:dyDescent="0.25">
      <c r="E2020" t="str">
        <f>""</f>
        <v/>
      </c>
      <c r="F2020" t="str">
        <f>""</f>
        <v/>
      </c>
      <c r="H2020" t="str">
        <f t="shared" si="46"/>
        <v>BCBS PAYABLE</v>
      </c>
    </row>
    <row r="2021" spans="5:8" x14ac:dyDescent="0.25">
      <c r="E2021" t="str">
        <f>""</f>
        <v/>
      </c>
      <c r="F2021" t="str">
        <f>""</f>
        <v/>
      </c>
      <c r="H2021" t="str">
        <f t="shared" si="46"/>
        <v>BCBS PAYABLE</v>
      </c>
    </row>
    <row r="2022" spans="5:8" x14ac:dyDescent="0.25">
      <c r="E2022" t="str">
        <f>""</f>
        <v/>
      </c>
      <c r="F2022" t="str">
        <f>""</f>
        <v/>
      </c>
      <c r="H2022" t="str">
        <f t="shared" si="46"/>
        <v>BCBS PAYABLE</v>
      </c>
    </row>
    <row r="2023" spans="5:8" x14ac:dyDescent="0.25">
      <c r="E2023" t="str">
        <f>""</f>
        <v/>
      </c>
      <c r="F2023" t="str">
        <f>""</f>
        <v/>
      </c>
      <c r="H2023" t="str">
        <f t="shared" si="46"/>
        <v>BCBS PAYABLE</v>
      </c>
    </row>
    <row r="2024" spans="5:8" x14ac:dyDescent="0.25">
      <c r="E2024" t="str">
        <f>""</f>
        <v/>
      </c>
      <c r="F2024" t="str">
        <f>""</f>
        <v/>
      </c>
      <c r="H2024" t="str">
        <f t="shared" si="46"/>
        <v>BCBS PAYABLE</v>
      </c>
    </row>
    <row r="2025" spans="5:8" x14ac:dyDescent="0.25">
      <c r="E2025" t="str">
        <f>""</f>
        <v/>
      </c>
      <c r="F2025" t="str">
        <f>""</f>
        <v/>
      </c>
      <c r="H2025" t="str">
        <f t="shared" si="46"/>
        <v>BCBS PAYABLE</v>
      </c>
    </row>
    <row r="2026" spans="5:8" x14ac:dyDescent="0.25">
      <c r="E2026" t="str">
        <f>""</f>
        <v/>
      </c>
      <c r="F2026" t="str">
        <f>""</f>
        <v/>
      </c>
      <c r="H2026" t="str">
        <f t="shared" si="46"/>
        <v>BCBS PAYABLE</v>
      </c>
    </row>
    <row r="2027" spans="5:8" x14ac:dyDescent="0.25">
      <c r="E2027" t="str">
        <f>""</f>
        <v/>
      </c>
      <c r="F2027" t="str">
        <f>""</f>
        <v/>
      </c>
      <c r="H2027" t="str">
        <f t="shared" si="46"/>
        <v>BCBS PAYABLE</v>
      </c>
    </row>
    <row r="2028" spans="5:8" x14ac:dyDescent="0.25">
      <c r="E2028" t="str">
        <f>""</f>
        <v/>
      </c>
      <c r="F2028" t="str">
        <f>""</f>
        <v/>
      </c>
      <c r="H2028" t="str">
        <f t="shared" si="46"/>
        <v>BCBS PAYABLE</v>
      </c>
    </row>
    <row r="2029" spans="5:8" x14ac:dyDescent="0.25">
      <c r="E2029" t="str">
        <f>""</f>
        <v/>
      </c>
      <c r="F2029" t="str">
        <f>""</f>
        <v/>
      </c>
      <c r="H2029" t="str">
        <f t="shared" si="46"/>
        <v>BCBS PAYABLE</v>
      </c>
    </row>
    <row r="2030" spans="5:8" x14ac:dyDescent="0.25">
      <c r="E2030" t="str">
        <f>""</f>
        <v/>
      </c>
      <c r="F2030" t="str">
        <f>""</f>
        <v/>
      </c>
      <c r="H2030" t="str">
        <f t="shared" si="46"/>
        <v>BCBS PAYABLE</v>
      </c>
    </row>
    <row r="2031" spans="5:8" x14ac:dyDescent="0.25">
      <c r="E2031" t="str">
        <f>""</f>
        <v/>
      </c>
      <c r="F2031" t="str">
        <f>""</f>
        <v/>
      </c>
      <c r="H2031" t="str">
        <f t="shared" si="46"/>
        <v>BCBS PAYABLE</v>
      </c>
    </row>
    <row r="2032" spans="5:8" x14ac:dyDescent="0.25">
      <c r="E2032" t="str">
        <f>""</f>
        <v/>
      </c>
      <c r="F2032" t="str">
        <f>""</f>
        <v/>
      </c>
      <c r="H2032" t="str">
        <f t="shared" si="46"/>
        <v>BCBS PAYABLE</v>
      </c>
    </row>
    <row r="2033" spans="5:8" x14ac:dyDescent="0.25">
      <c r="E2033" t="str">
        <f>""</f>
        <v/>
      </c>
      <c r="F2033" t="str">
        <f>""</f>
        <v/>
      </c>
      <c r="H2033" t="str">
        <f t="shared" si="46"/>
        <v>BCBS PAYABLE</v>
      </c>
    </row>
    <row r="2034" spans="5:8" x14ac:dyDescent="0.25">
      <c r="E2034" t="str">
        <f>"2ES202005126839"</f>
        <v>2ES202005126839</v>
      </c>
      <c r="F2034" t="str">
        <f>"BCBS PAYABLE"</f>
        <v>BCBS PAYABLE</v>
      </c>
      <c r="G2034" s="5">
        <v>15306.2</v>
      </c>
      <c r="H2034" t="str">
        <f t="shared" si="46"/>
        <v>BCBS PAYABLE</v>
      </c>
    </row>
    <row r="2035" spans="5:8" x14ac:dyDescent="0.25">
      <c r="E2035" t="str">
        <f>""</f>
        <v/>
      </c>
      <c r="F2035" t="str">
        <f>""</f>
        <v/>
      </c>
      <c r="H2035" t="str">
        <f t="shared" si="46"/>
        <v>BCBS PAYABLE</v>
      </c>
    </row>
    <row r="2036" spans="5:8" x14ac:dyDescent="0.25">
      <c r="E2036" t="str">
        <f>""</f>
        <v/>
      </c>
      <c r="F2036" t="str">
        <f>""</f>
        <v/>
      </c>
      <c r="H2036" t="str">
        <f t="shared" si="46"/>
        <v>BCBS PAYABLE</v>
      </c>
    </row>
    <row r="2037" spans="5:8" x14ac:dyDescent="0.25">
      <c r="E2037" t="str">
        <f>""</f>
        <v/>
      </c>
      <c r="F2037" t="str">
        <f>""</f>
        <v/>
      </c>
      <c r="H2037" t="str">
        <f t="shared" si="46"/>
        <v>BCBS PAYABLE</v>
      </c>
    </row>
    <row r="2038" spans="5:8" x14ac:dyDescent="0.25">
      <c r="E2038" t="str">
        <f>""</f>
        <v/>
      </c>
      <c r="F2038" t="str">
        <f>""</f>
        <v/>
      </c>
      <c r="H2038" t="str">
        <f t="shared" si="46"/>
        <v>BCBS PAYABLE</v>
      </c>
    </row>
    <row r="2039" spans="5:8" x14ac:dyDescent="0.25">
      <c r="E2039" t="str">
        <f>""</f>
        <v/>
      </c>
      <c r="F2039" t="str">
        <f>""</f>
        <v/>
      </c>
      <c r="H2039" t="str">
        <f t="shared" ref="H2039:H2050" si="47">"BCBS PAYABLE"</f>
        <v>BCBS PAYABLE</v>
      </c>
    </row>
    <row r="2040" spans="5:8" x14ac:dyDescent="0.25">
      <c r="E2040" t="str">
        <f>""</f>
        <v/>
      </c>
      <c r="F2040" t="str">
        <f>""</f>
        <v/>
      </c>
      <c r="H2040" t="str">
        <f t="shared" si="47"/>
        <v>BCBS PAYABLE</v>
      </c>
    </row>
    <row r="2041" spans="5:8" x14ac:dyDescent="0.25">
      <c r="E2041" t="str">
        <f>""</f>
        <v/>
      </c>
      <c r="F2041" t="str">
        <f>""</f>
        <v/>
      </c>
      <c r="H2041" t="str">
        <f t="shared" si="47"/>
        <v>BCBS PAYABLE</v>
      </c>
    </row>
    <row r="2042" spans="5:8" x14ac:dyDescent="0.25">
      <c r="E2042" t="str">
        <f>""</f>
        <v/>
      </c>
      <c r="F2042" t="str">
        <f>""</f>
        <v/>
      </c>
      <c r="H2042" t="str">
        <f t="shared" si="47"/>
        <v>BCBS PAYABLE</v>
      </c>
    </row>
    <row r="2043" spans="5:8" x14ac:dyDescent="0.25">
      <c r="E2043" t="str">
        <f>""</f>
        <v/>
      </c>
      <c r="F2043" t="str">
        <f>""</f>
        <v/>
      </c>
      <c r="H2043" t="str">
        <f t="shared" si="47"/>
        <v>BCBS PAYABLE</v>
      </c>
    </row>
    <row r="2044" spans="5:8" x14ac:dyDescent="0.25">
      <c r="E2044" t="str">
        <f>""</f>
        <v/>
      </c>
      <c r="F2044" t="str">
        <f>""</f>
        <v/>
      </c>
      <c r="H2044" t="str">
        <f t="shared" si="47"/>
        <v>BCBS PAYABLE</v>
      </c>
    </row>
    <row r="2045" spans="5:8" x14ac:dyDescent="0.25">
      <c r="E2045" t="str">
        <f>""</f>
        <v/>
      </c>
      <c r="F2045" t="str">
        <f>""</f>
        <v/>
      </c>
      <c r="H2045" t="str">
        <f t="shared" si="47"/>
        <v>BCBS PAYABLE</v>
      </c>
    </row>
    <row r="2046" spans="5:8" x14ac:dyDescent="0.25">
      <c r="E2046" t="str">
        <f>""</f>
        <v/>
      </c>
      <c r="F2046" t="str">
        <f>""</f>
        <v/>
      </c>
      <c r="H2046" t="str">
        <f t="shared" si="47"/>
        <v>BCBS PAYABLE</v>
      </c>
    </row>
    <row r="2047" spans="5:8" x14ac:dyDescent="0.25">
      <c r="E2047" t="str">
        <f>""</f>
        <v/>
      </c>
      <c r="F2047" t="str">
        <f>""</f>
        <v/>
      </c>
      <c r="H2047" t="str">
        <f t="shared" si="47"/>
        <v>BCBS PAYABLE</v>
      </c>
    </row>
    <row r="2048" spans="5:8" x14ac:dyDescent="0.25">
      <c r="E2048" t="str">
        <f>""</f>
        <v/>
      </c>
      <c r="F2048" t="str">
        <f>""</f>
        <v/>
      </c>
      <c r="H2048" t="str">
        <f t="shared" si="47"/>
        <v>BCBS PAYABLE</v>
      </c>
    </row>
    <row r="2049" spans="1:8" x14ac:dyDescent="0.25">
      <c r="E2049" t="str">
        <f>""</f>
        <v/>
      </c>
      <c r="F2049" t="str">
        <f>""</f>
        <v/>
      </c>
      <c r="H2049" t="str">
        <f t="shared" si="47"/>
        <v>BCBS PAYABLE</v>
      </c>
    </row>
    <row r="2050" spans="1:8" x14ac:dyDescent="0.25">
      <c r="E2050" t="str">
        <f>""</f>
        <v/>
      </c>
      <c r="F2050" t="str">
        <f>""</f>
        <v/>
      </c>
      <c r="H2050" t="str">
        <f t="shared" si="47"/>
        <v>BCBS PAYABLE</v>
      </c>
    </row>
    <row r="2051" spans="1:8" x14ac:dyDescent="0.25">
      <c r="A2051" t="s">
        <v>312</v>
      </c>
      <c r="B2051">
        <v>507</v>
      </c>
      <c r="C2051" s="5">
        <v>10593.94</v>
      </c>
      <c r="D2051" s="1">
        <v>43952</v>
      </c>
      <c r="E2051" t="str">
        <f>"FSA202004296628"</f>
        <v>FSA202004296628</v>
      </c>
      <c r="F2051" t="str">
        <f>"TASC FSA"</f>
        <v>TASC FSA</v>
      </c>
      <c r="G2051" s="5">
        <v>7871.31</v>
      </c>
      <c r="H2051" t="str">
        <f>"TASC FSA"</f>
        <v>TASC FSA</v>
      </c>
    </row>
    <row r="2052" spans="1:8" x14ac:dyDescent="0.25">
      <c r="E2052" t="str">
        <f>"FSA202004296629"</f>
        <v>FSA202004296629</v>
      </c>
      <c r="F2052" t="str">
        <f>"TASC FSA"</f>
        <v>TASC FSA</v>
      </c>
      <c r="G2052" s="5">
        <v>445.4</v>
      </c>
      <c r="H2052" t="str">
        <f>"TASC FSA"</f>
        <v>TASC FSA</v>
      </c>
    </row>
    <row r="2053" spans="1:8" x14ac:dyDescent="0.25">
      <c r="E2053" t="str">
        <f>"FSC202004296628"</f>
        <v>FSC202004296628</v>
      </c>
      <c r="F2053" t="str">
        <f>"TASC DEPENDENT CARE"</f>
        <v>TASC DEPENDENT CARE</v>
      </c>
      <c r="G2053" s="5">
        <v>345.83</v>
      </c>
      <c r="H2053" t="str">
        <f>"TASC DEPENDENT CARE"</f>
        <v>TASC DEPENDENT CARE</v>
      </c>
    </row>
    <row r="2054" spans="1:8" x14ac:dyDescent="0.25">
      <c r="E2054" t="str">
        <f>"FSF202004296628"</f>
        <v>FSF202004296628</v>
      </c>
      <c r="F2054" t="str">
        <f>"TASC - FSA  FEES"</f>
        <v>TASC - FSA  FEES</v>
      </c>
      <c r="G2054" s="5">
        <v>255.6</v>
      </c>
      <c r="H2054" t="str">
        <f t="shared" ref="H2054:H2094" si="48">"TASC - FSA  FEES"</f>
        <v>TASC - FSA  FEES</v>
      </c>
    </row>
    <row r="2055" spans="1:8" x14ac:dyDescent="0.25">
      <c r="E2055" t="str">
        <f>""</f>
        <v/>
      </c>
      <c r="F2055" t="str">
        <f>""</f>
        <v/>
      </c>
      <c r="H2055" t="str">
        <f t="shared" si="48"/>
        <v>TASC - FSA  FEES</v>
      </c>
    </row>
    <row r="2056" spans="1:8" x14ac:dyDescent="0.25">
      <c r="E2056" t="str">
        <f>""</f>
        <v/>
      </c>
      <c r="F2056" t="str">
        <f>""</f>
        <v/>
      </c>
      <c r="H2056" t="str">
        <f t="shared" si="48"/>
        <v>TASC - FSA  FEES</v>
      </c>
    </row>
    <row r="2057" spans="1:8" x14ac:dyDescent="0.25">
      <c r="E2057" t="str">
        <f>""</f>
        <v/>
      </c>
      <c r="F2057" t="str">
        <f>""</f>
        <v/>
      </c>
      <c r="H2057" t="str">
        <f t="shared" si="48"/>
        <v>TASC - FSA  FEES</v>
      </c>
    </row>
    <row r="2058" spans="1:8" x14ac:dyDescent="0.25">
      <c r="E2058" t="str">
        <f>""</f>
        <v/>
      </c>
      <c r="F2058" t="str">
        <f>""</f>
        <v/>
      </c>
      <c r="H2058" t="str">
        <f t="shared" si="48"/>
        <v>TASC - FSA  FEES</v>
      </c>
    </row>
    <row r="2059" spans="1:8" x14ac:dyDescent="0.25">
      <c r="E2059" t="str">
        <f>""</f>
        <v/>
      </c>
      <c r="F2059" t="str">
        <f>""</f>
        <v/>
      </c>
      <c r="H2059" t="str">
        <f t="shared" si="48"/>
        <v>TASC - FSA  FEES</v>
      </c>
    </row>
    <row r="2060" spans="1:8" x14ac:dyDescent="0.25">
      <c r="E2060" t="str">
        <f>""</f>
        <v/>
      </c>
      <c r="F2060" t="str">
        <f>""</f>
        <v/>
      </c>
      <c r="H2060" t="str">
        <f t="shared" si="48"/>
        <v>TASC - FSA  FEES</v>
      </c>
    </row>
    <row r="2061" spans="1:8" x14ac:dyDescent="0.25">
      <c r="E2061" t="str">
        <f>""</f>
        <v/>
      </c>
      <c r="F2061" t="str">
        <f>""</f>
        <v/>
      </c>
      <c r="H2061" t="str">
        <f t="shared" si="48"/>
        <v>TASC - FSA  FEES</v>
      </c>
    </row>
    <row r="2062" spans="1:8" x14ac:dyDescent="0.25">
      <c r="E2062" t="str">
        <f>""</f>
        <v/>
      </c>
      <c r="F2062" t="str">
        <f>""</f>
        <v/>
      </c>
      <c r="H2062" t="str">
        <f t="shared" si="48"/>
        <v>TASC - FSA  FEES</v>
      </c>
    </row>
    <row r="2063" spans="1:8" x14ac:dyDescent="0.25">
      <c r="E2063" t="str">
        <f>""</f>
        <v/>
      </c>
      <c r="F2063" t="str">
        <f>""</f>
        <v/>
      </c>
      <c r="H2063" t="str">
        <f t="shared" si="48"/>
        <v>TASC - FSA  FEES</v>
      </c>
    </row>
    <row r="2064" spans="1:8" x14ac:dyDescent="0.25">
      <c r="E2064" t="str">
        <f>""</f>
        <v/>
      </c>
      <c r="F2064" t="str">
        <f>""</f>
        <v/>
      </c>
      <c r="H2064" t="str">
        <f t="shared" si="48"/>
        <v>TASC - FSA  FEES</v>
      </c>
    </row>
    <row r="2065" spans="5:8" x14ac:dyDescent="0.25">
      <c r="E2065" t="str">
        <f>""</f>
        <v/>
      </c>
      <c r="F2065" t="str">
        <f>""</f>
        <v/>
      </c>
      <c r="H2065" t="str">
        <f t="shared" si="48"/>
        <v>TASC - FSA  FEES</v>
      </c>
    </row>
    <row r="2066" spans="5:8" x14ac:dyDescent="0.25">
      <c r="E2066" t="str">
        <f>""</f>
        <v/>
      </c>
      <c r="F2066" t="str">
        <f>""</f>
        <v/>
      </c>
      <c r="H2066" t="str">
        <f t="shared" si="48"/>
        <v>TASC - FSA  FEES</v>
      </c>
    </row>
    <row r="2067" spans="5:8" x14ac:dyDescent="0.25">
      <c r="E2067" t="str">
        <f>""</f>
        <v/>
      </c>
      <c r="F2067" t="str">
        <f>""</f>
        <v/>
      </c>
      <c r="H2067" t="str">
        <f t="shared" si="48"/>
        <v>TASC - FSA  FEES</v>
      </c>
    </row>
    <row r="2068" spans="5:8" x14ac:dyDescent="0.25">
      <c r="E2068" t="str">
        <f>""</f>
        <v/>
      </c>
      <c r="F2068" t="str">
        <f>""</f>
        <v/>
      </c>
      <c r="H2068" t="str">
        <f t="shared" si="48"/>
        <v>TASC - FSA  FEES</v>
      </c>
    </row>
    <row r="2069" spans="5:8" x14ac:dyDescent="0.25">
      <c r="E2069" t="str">
        <f>""</f>
        <v/>
      </c>
      <c r="F2069" t="str">
        <f>""</f>
        <v/>
      </c>
      <c r="H2069" t="str">
        <f t="shared" si="48"/>
        <v>TASC - FSA  FEES</v>
      </c>
    </row>
    <row r="2070" spans="5:8" x14ac:dyDescent="0.25">
      <c r="E2070" t="str">
        <f>""</f>
        <v/>
      </c>
      <c r="F2070" t="str">
        <f>""</f>
        <v/>
      </c>
      <c r="H2070" t="str">
        <f t="shared" si="48"/>
        <v>TASC - FSA  FEES</v>
      </c>
    </row>
    <row r="2071" spans="5:8" x14ac:dyDescent="0.25">
      <c r="E2071" t="str">
        <f>""</f>
        <v/>
      </c>
      <c r="F2071" t="str">
        <f>""</f>
        <v/>
      </c>
      <c r="H2071" t="str">
        <f t="shared" si="48"/>
        <v>TASC - FSA  FEES</v>
      </c>
    </row>
    <row r="2072" spans="5:8" x14ac:dyDescent="0.25">
      <c r="E2072" t="str">
        <f>""</f>
        <v/>
      </c>
      <c r="F2072" t="str">
        <f>""</f>
        <v/>
      </c>
      <c r="H2072" t="str">
        <f t="shared" si="48"/>
        <v>TASC - FSA  FEES</v>
      </c>
    </row>
    <row r="2073" spans="5:8" x14ac:dyDescent="0.25">
      <c r="E2073" t="str">
        <f>""</f>
        <v/>
      </c>
      <c r="F2073" t="str">
        <f>""</f>
        <v/>
      </c>
      <c r="H2073" t="str">
        <f t="shared" si="48"/>
        <v>TASC - FSA  FEES</v>
      </c>
    </row>
    <row r="2074" spans="5:8" x14ac:dyDescent="0.25">
      <c r="E2074" t="str">
        <f>""</f>
        <v/>
      </c>
      <c r="F2074" t="str">
        <f>""</f>
        <v/>
      </c>
      <c r="H2074" t="str">
        <f t="shared" si="48"/>
        <v>TASC - FSA  FEES</v>
      </c>
    </row>
    <row r="2075" spans="5:8" x14ac:dyDescent="0.25">
      <c r="E2075" t="str">
        <f>""</f>
        <v/>
      </c>
      <c r="F2075" t="str">
        <f>""</f>
        <v/>
      </c>
      <c r="H2075" t="str">
        <f t="shared" si="48"/>
        <v>TASC - FSA  FEES</v>
      </c>
    </row>
    <row r="2076" spans="5:8" x14ac:dyDescent="0.25">
      <c r="E2076" t="str">
        <f>""</f>
        <v/>
      </c>
      <c r="F2076" t="str">
        <f>""</f>
        <v/>
      </c>
      <c r="H2076" t="str">
        <f t="shared" si="48"/>
        <v>TASC - FSA  FEES</v>
      </c>
    </row>
    <row r="2077" spans="5:8" x14ac:dyDescent="0.25">
      <c r="E2077" t="str">
        <f>""</f>
        <v/>
      </c>
      <c r="F2077" t="str">
        <f>""</f>
        <v/>
      </c>
      <c r="H2077" t="str">
        <f t="shared" si="48"/>
        <v>TASC - FSA  FEES</v>
      </c>
    </row>
    <row r="2078" spans="5:8" x14ac:dyDescent="0.25">
      <c r="E2078" t="str">
        <f>""</f>
        <v/>
      </c>
      <c r="F2078" t="str">
        <f>""</f>
        <v/>
      </c>
      <c r="H2078" t="str">
        <f t="shared" si="48"/>
        <v>TASC - FSA  FEES</v>
      </c>
    </row>
    <row r="2079" spans="5:8" x14ac:dyDescent="0.25">
      <c r="E2079" t="str">
        <f>""</f>
        <v/>
      </c>
      <c r="F2079" t="str">
        <f>""</f>
        <v/>
      </c>
      <c r="H2079" t="str">
        <f t="shared" si="48"/>
        <v>TASC - FSA  FEES</v>
      </c>
    </row>
    <row r="2080" spans="5:8" x14ac:dyDescent="0.25">
      <c r="E2080" t="str">
        <f>""</f>
        <v/>
      </c>
      <c r="F2080" t="str">
        <f>""</f>
        <v/>
      </c>
      <c r="H2080" t="str">
        <f t="shared" si="48"/>
        <v>TASC - FSA  FEES</v>
      </c>
    </row>
    <row r="2081" spans="5:8" x14ac:dyDescent="0.25">
      <c r="E2081" t="str">
        <f>""</f>
        <v/>
      </c>
      <c r="F2081" t="str">
        <f>""</f>
        <v/>
      </c>
      <c r="H2081" t="str">
        <f t="shared" si="48"/>
        <v>TASC - FSA  FEES</v>
      </c>
    </row>
    <row r="2082" spans="5:8" x14ac:dyDescent="0.25">
      <c r="E2082" t="str">
        <f>""</f>
        <v/>
      </c>
      <c r="F2082" t="str">
        <f>""</f>
        <v/>
      </c>
      <c r="H2082" t="str">
        <f t="shared" si="48"/>
        <v>TASC - FSA  FEES</v>
      </c>
    </row>
    <row r="2083" spans="5:8" x14ac:dyDescent="0.25">
      <c r="E2083" t="str">
        <f>""</f>
        <v/>
      </c>
      <c r="F2083" t="str">
        <f>""</f>
        <v/>
      </c>
      <c r="H2083" t="str">
        <f t="shared" si="48"/>
        <v>TASC - FSA  FEES</v>
      </c>
    </row>
    <row r="2084" spans="5:8" x14ac:dyDescent="0.25">
      <c r="E2084" t="str">
        <f>""</f>
        <v/>
      </c>
      <c r="F2084" t="str">
        <f>""</f>
        <v/>
      </c>
      <c r="H2084" t="str">
        <f t="shared" si="48"/>
        <v>TASC - FSA  FEES</v>
      </c>
    </row>
    <row r="2085" spans="5:8" x14ac:dyDescent="0.25">
      <c r="E2085" t="str">
        <f>""</f>
        <v/>
      </c>
      <c r="F2085" t="str">
        <f>""</f>
        <v/>
      </c>
      <c r="H2085" t="str">
        <f t="shared" si="48"/>
        <v>TASC - FSA  FEES</v>
      </c>
    </row>
    <row r="2086" spans="5:8" x14ac:dyDescent="0.25">
      <c r="E2086" t="str">
        <f>""</f>
        <v/>
      </c>
      <c r="F2086" t="str">
        <f>""</f>
        <v/>
      </c>
      <c r="H2086" t="str">
        <f t="shared" si="48"/>
        <v>TASC - FSA  FEES</v>
      </c>
    </row>
    <row r="2087" spans="5:8" x14ac:dyDescent="0.25">
      <c r="E2087" t="str">
        <f>""</f>
        <v/>
      </c>
      <c r="F2087" t="str">
        <f>""</f>
        <v/>
      </c>
      <c r="H2087" t="str">
        <f t="shared" si="48"/>
        <v>TASC - FSA  FEES</v>
      </c>
    </row>
    <row r="2088" spans="5:8" x14ac:dyDescent="0.25">
      <c r="E2088" t="str">
        <f>""</f>
        <v/>
      </c>
      <c r="F2088" t="str">
        <f>""</f>
        <v/>
      </c>
      <c r="H2088" t="str">
        <f t="shared" si="48"/>
        <v>TASC - FSA  FEES</v>
      </c>
    </row>
    <row r="2089" spans="5:8" x14ac:dyDescent="0.25">
      <c r="E2089" t="str">
        <f>""</f>
        <v/>
      </c>
      <c r="F2089" t="str">
        <f>""</f>
        <v/>
      </c>
      <c r="H2089" t="str">
        <f t="shared" si="48"/>
        <v>TASC - FSA  FEES</v>
      </c>
    </row>
    <row r="2090" spans="5:8" x14ac:dyDescent="0.25">
      <c r="E2090" t="str">
        <f>""</f>
        <v/>
      </c>
      <c r="F2090" t="str">
        <f>""</f>
        <v/>
      </c>
      <c r="H2090" t="str">
        <f t="shared" si="48"/>
        <v>TASC - FSA  FEES</v>
      </c>
    </row>
    <row r="2091" spans="5:8" x14ac:dyDescent="0.25">
      <c r="E2091" t="str">
        <f>""</f>
        <v/>
      </c>
      <c r="F2091" t="str">
        <f>""</f>
        <v/>
      </c>
      <c r="H2091" t="str">
        <f t="shared" si="48"/>
        <v>TASC - FSA  FEES</v>
      </c>
    </row>
    <row r="2092" spans="5:8" x14ac:dyDescent="0.25">
      <c r="E2092" t="str">
        <f>""</f>
        <v/>
      </c>
      <c r="F2092" t="str">
        <f>""</f>
        <v/>
      </c>
      <c r="H2092" t="str">
        <f t="shared" si="48"/>
        <v>TASC - FSA  FEES</v>
      </c>
    </row>
    <row r="2093" spans="5:8" x14ac:dyDescent="0.25">
      <c r="E2093" t="str">
        <f>""</f>
        <v/>
      </c>
      <c r="F2093" t="str">
        <f>""</f>
        <v/>
      </c>
      <c r="H2093" t="str">
        <f t="shared" si="48"/>
        <v>TASC - FSA  FEES</v>
      </c>
    </row>
    <row r="2094" spans="5:8" x14ac:dyDescent="0.25">
      <c r="E2094" t="str">
        <f>"FSF202004296629"</f>
        <v>FSF202004296629</v>
      </c>
      <c r="F2094" t="str">
        <f>"TASC - FSA  FEES"</f>
        <v>TASC - FSA  FEES</v>
      </c>
      <c r="G2094" s="5">
        <v>12.6</v>
      </c>
      <c r="H2094" t="str">
        <f t="shared" si="48"/>
        <v>TASC - FSA  FEES</v>
      </c>
    </row>
    <row r="2095" spans="5:8" x14ac:dyDescent="0.25">
      <c r="E2095" t="str">
        <f>"HRA202004296628"</f>
        <v>HRA202004296628</v>
      </c>
      <c r="F2095" t="str">
        <f>"TASC HRA"</f>
        <v>TASC HRA</v>
      </c>
      <c r="G2095" s="5">
        <v>833.4</v>
      </c>
      <c r="H2095" t="str">
        <f>"TASC HRA"</f>
        <v>TASC HRA</v>
      </c>
    </row>
    <row r="2096" spans="5:8" x14ac:dyDescent="0.25">
      <c r="E2096" t="str">
        <f>""</f>
        <v/>
      </c>
      <c r="F2096" t="str">
        <f>""</f>
        <v/>
      </c>
      <c r="H2096" t="str">
        <f>"TASC HRA"</f>
        <v>TASC HRA</v>
      </c>
    </row>
    <row r="2097" spans="5:8" x14ac:dyDescent="0.25">
      <c r="E2097" t="str">
        <f>""</f>
        <v/>
      </c>
      <c r="F2097" t="str">
        <f>""</f>
        <v/>
      </c>
      <c r="H2097" t="str">
        <f>"TASC HRA"</f>
        <v>TASC HRA</v>
      </c>
    </row>
    <row r="2098" spans="5:8" x14ac:dyDescent="0.25">
      <c r="E2098" t="str">
        <f>""</f>
        <v/>
      </c>
      <c r="F2098" t="str">
        <f>""</f>
        <v/>
      </c>
      <c r="H2098" t="str">
        <f>"TASC HRA"</f>
        <v>TASC HRA</v>
      </c>
    </row>
    <row r="2099" spans="5:8" x14ac:dyDescent="0.25">
      <c r="E2099" t="str">
        <f>"HRF202004296628"</f>
        <v>HRF202004296628</v>
      </c>
      <c r="F2099" t="str">
        <f>"TASC - HRA FEES"</f>
        <v>TASC - HRA FEES</v>
      </c>
      <c r="G2099" s="5">
        <v>799.2</v>
      </c>
      <c r="H2099" t="str">
        <f t="shared" ref="H2099:H2130" si="49">"TASC - HRA FEES"</f>
        <v>TASC - HRA FEES</v>
      </c>
    </row>
    <row r="2100" spans="5:8" x14ac:dyDescent="0.25">
      <c r="E2100" t="str">
        <f>""</f>
        <v/>
      </c>
      <c r="F2100" t="str">
        <f>""</f>
        <v/>
      </c>
      <c r="H2100" t="str">
        <f t="shared" si="49"/>
        <v>TASC - HRA FEES</v>
      </c>
    </row>
    <row r="2101" spans="5:8" x14ac:dyDescent="0.25">
      <c r="E2101" t="str">
        <f>""</f>
        <v/>
      </c>
      <c r="F2101" t="str">
        <f>""</f>
        <v/>
      </c>
      <c r="H2101" t="str">
        <f t="shared" si="49"/>
        <v>TASC - HRA FEES</v>
      </c>
    </row>
    <row r="2102" spans="5:8" x14ac:dyDescent="0.25">
      <c r="E2102" t="str">
        <f>""</f>
        <v/>
      </c>
      <c r="F2102" t="str">
        <f>""</f>
        <v/>
      </c>
      <c r="H2102" t="str">
        <f t="shared" si="49"/>
        <v>TASC - HRA FEES</v>
      </c>
    </row>
    <row r="2103" spans="5:8" x14ac:dyDescent="0.25">
      <c r="E2103" t="str">
        <f>""</f>
        <v/>
      </c>
      <c r="F2103" t="str">
        <f>""</f>
        <v/>
      </c>
      <c r="H2103" t="str">
        <f t="shared" si="49"/>
        <v>TASC - HRA FEES</v>
      </c>
    </row>
    <row r="2104" spans="5:8" x14ac:dyDescent="0.25">
      <c r="E2104" t="str">
        <f>""</f>
        <v/>
      </c>
      <c r="F2104" t="str">
        <f>""</f>
        <v/>
      </c>
      <c r="H2104" t="str">
        <f t="shared" si="49"/>
        <v>TASC - HRA FEES</v>
      </c>
    </row>
    <row r="2105" spans="5:8" x14ac:dyDescent="0.25">
      <c r="E2105" t="str">
        <f>""</f>
        <v/>
      </c>
      <c r="F2105" t="str">
        <f>""</f>
        <v/>
      </c>
      <c r="H2105" t="str">
        <f t="shared" si="49"/>
        <v>TASC - HRA FEES</v>
      </c>
    </row>
    <row r="2106" spans="5:8" x14ac:dyDescent="0.25">
      <c r="E2106" t="str">
        <f>""</f>
        <v/>
      </c>
      <c r="F2106" t="str">
        <f>""</f>
        <v/>
      </c>
      <c r="H2106" t="str">
        <f t="shared" si="49"/>
        <v>TASC - HRA FEES</v>
      </c>
    </row>
    <row r="2107" spans="5:8" x14ac:dyDescent="0.25">
      <c r="E2107" t="str">
        <f>""</f>
        <v/>
      </c>
      <c r="F2107" t="str">
        <f>""</f>
        <v/>
      </c>
      <c r="H2107" t="str">
        <f t="shared" si="49"/>
        <v>TASC - HRA FEES</v>
      </c>
    </row>
    <row r="2108" spans="5:8" x14ac:dyDescent="0.25">
      <c r="E2108" t="str">
        <f>""</f>
        <v/>
      </c>
      <c r="F2108" t="str">
        <f>""</f>
        <v/>
      </c>
      <c r="H2108" t="str">
        <f t="shared" si="49"/>
        <v>TASC - HRA FEES</v>
      </c>
    </row>
    <row r="2109" spans="5:8" x14ac:dyDescent="0.25">
      <c r="E2109" t="str">
        <f>""</f>
        <v/>
      </c>
      <c r="F2109" t="str">
        <f>""</f>
        <v/>
      </c>
      <c r="H2109" t="str">
        <f t="shared" si="49"/>
        <v>TASC - HRA FEES</v>
      </c>
    </row>
    <row r="2110" spans="5:8" x14ac:dyDescent="0.25">
      <c r="E2110" t="str">
        <f>""</f>
        <v/>
      </c>
      <c r="F2110" t="str">
        <f>""</f>
        <v/>
      </c>
      <c r="H2110" t="str">
        <f t="shared" si="49"/>
        <v>TASC - HRA FEES</v>
      </c>
    </row>
    <row r="2111" spans="5:8" x14ac:dyDescent="0.25">
      <c r="E2111" t="str">
        <f>""</f>
        <v/>
      </c>
      <c r="F2111" t="str">
        <f>""</f>
        <v/>
      </c>
      <c r="H2111" t="str">
        <f t="shared" si="49"/>
        <v>TASC - HRA FEES</v>
      </c>
    </row>
    <row r="2112" spans="5:8" x14ac:dyDescent="0.25">
      <c r="E2112" t="str">
        <f>""</f>
        <v/>
      </c>
      <c r="F2112" t="str">
        <f>""</f>
        <v/>
      </c>
      <c r="H2112" t="str">
        <f t="shared" si="49"/>
        <v>TASC - HRA FEES</v>
      </c>
    </row>
    <row r="2113" spans="5:8" x14ac:dyDescent="0.25">
      <c r="E2113" t="str">
        <f>""</f>
        <v/>
      </c>
      <c r="F2113" t="str">
        <f>""</f>
        <v/>
      </c>
      <c r="H2113" t="str">
        <f t="shared" si="49"/>
        <v>TASC - HRA FEES</v>
      </c>
    </row>
    <row r="2114" spans="5:8" x14ac:dyDescent="0.25">
      <c r="E2114" t="str">
        <f>""</f>
        <v/>
      </c>
      <c r="F2114" t="str">
        <f>""</f>
        <v/>
      </c>
      <c r="H2114" t="str">
        <f t="shared" si="49"/>
        <v>TASC - HRA FEES</v>
      </c>
    </row>
    <row r="2115" spans="5:8" x14ac:dyDescent="0.25">
      <c r="E2115" t="str">
        <f>""</f>
        <v/>
      </c>
      <c r="F2115" t="str">
        <f>""</f>
        <v/>
      </c>
      <c r="H2115" t="str">
        <f t="shared" si="49"/>
        <v>TASC - HRA FEES</v>
      </c>
    </row>
    <row r="2116" spans="5:8" x14ac:dyDescent="0.25">
      <c r="E2116" t="str">
        <f>""</f>
        <v/>
      </c>
      <c r="F2116" t="str">
        <f>""</f>
        <v/>
      </c>
      <c r="H2116" t="str">
        <f t="shared" si="49"/>
        <v>TASC - HRA FEES</v>
      </c>
    </row>
    <row r="2117" spans="5:8" x14ac:dyDescent="0.25">
      <c r="E2117" t="str">
        <f>""</f>
        <v/>
      </c>
      <c r="F2117" t="str">
        <f>""</f>
        <v/>
      </c>
      <c r="H2117" t="str">
        <f t="shared" si="49"/>
        <v>TASC - HRA FEES</v>
      </c>
    </row>
    <row r="2118" spans="5:8" x14ac:dyDescent="0.25">
      <c r="E2118" t="str">
        <f>""</f>
        <v/>
      </c>
      <c r="F2118" t="str">
        <f>""</f>
        <v/>
      </c>
      <c r="H2118" t="str">
        <f t="shared" si="49"/>
        <v>TASC - HRA FEES</v>
      </c>
    </row>
    <row r="2119" spans="5:8" x14ac:dyDescent="0.25">
      <c r="E2119" t="str">
        <f>""</f>
        <v/>
      </c>
      <c r="F2119" t="str">
        <f>""</f>
        <v/>
      </c>
      <c r="H2119" t="str">
        <f t="shared" si="49"/>
        <v>TASC - HRA FEES</v>
      </c>
    </row>
    <row r="2120" spans="5:8" x14ac:dyDescent="0.25">
      <c r="E2120" t="str">
        <f>""</f>
        <v/>
      </c>
      <c r="F2120" t="str">
        <f>""</f>
        <v/>
      </c>
      <c r="H2120" t="str">
        <f t="shared" si="49"/>
        <v>TASC - HRA FEES</v>
      </c>
    </row>
    <row r="2121" spans="5:8" x14ac:dyDescent="0.25">
      <c r="E2121" t="str">
        <f>""</f>
        <v/>
      </c>
      <c r="F2121" t="str">
        <f>""</f>
        <v/>
      </c>
      <c r="H2121" t="str">
        <f t="shared" si="49"/>
        <v>TASC - HRA FEES</v>
      </c>
    </row>
    <row r="2122" spans="5:8" x14ac:dyDescent="0.25">
      <c r="E2122" t="str">
        <f>""</f>
        <v/>
      </c>
      <c r="F2122" t="str">
        <f>""</f>
        <v/>
      </c>
      <c r="H2122" t="str">
        <f t="shared" si="49"/>
        <v>TASC - HRA FEES</v>
      </c>
    </row>
    <row r="2123" spans="5:8" x14ac:dyDescent="0.25">
      <c r="E2123" t="str">
        <f>""</f>
        <v/>
      </c>
      <c r="F2123" t="str">
        <f>""</f>
        <v/>
      </c>
      <c r="H2123" t="str">
        <f t="shared" si="49"/>
        <v>TASC - HRA FEES</v>
      </c>
    </row>
    <row r="2124" spans="5:8" x14ac:dyDescent="0.25">
      <c r="E2124" t="str">
        <f>""</f>
        <v/>
      </c>
      <c r="F2124" t="str">
        <f>""</f>
        <v/>
      </c>
      <c r="H2124" t="str">
        <f t="shared" si="49"/>
        <v>TASC - HRA FEES</v>
      </c>
    </row>
    <row r="2125" spans="5:8" x14ac:dyDescent="0.25">
      <c r="E2125" t="str">
        <f>""</f>
        <v/>
      </c>
      <c r="F2125" t="str">
        <f>""</f>
        <v/>
      </c>
      <c r="H2125" t="str">
        <f t="shared" si="49"/>
        <v>TASC - HRA FEES</v>
      </c>
    </row>
    <row r="2126" spans="5:8" x14ac:dyDescent="0.25">
      <c r="E2126" t="str">
        <f>""</f>
        <v/>
      </c>
      <c r="F2126" t="str">
        <f>""</f>
        <v/>
      </c>
      <c r="H2126" t="str">
        <f t="shared" si="49"/>
        <v>TASC - HRA FEES</v>
      </c>
    </row>
    <row r="2127" spans="5:8" x14ac:dyDescent="0.25">
      <c r="E2127" t="str">
        <f>""</f>
        <v/>
      </c>
      <c r="F2127" t="str">
        <f>""</f>
        <v/>
      </c>
      <c r="H2127" t="str">
        <f t="shared" si="49"/>
        <v>TASC - HRA FEES</v>
      </c>
    </row>
    <row r="2128" spans="5:8" x14ac:dyDescent="0.25">
      <c r="E2128" t="str">
        <f>""</f>
        <v/>
      </c>
      <c r="F2128" t="str">
        <f>""</f>
        <v/>
      </c>
      <c r="H2128" t="str">
        <f t="shared" si="49"/>
        <v>TASC - HRA FEES</v>
      </c>
    </row>
    <row r="2129" spans="5:8" x14ac:dyDescent="0.25">
      <c r="E2129" t="str">
        <f>""</f>
        <v/>
      </c>
      <c r="F2129" t="str">
        <f>""</f>
        <v/>
      </c>
      <c r="H2129" t="str">
        <f t="shared" si="49"/>
        <v>TASC - HRA FEES</v>
      </c>
    </row>
    <row r="2130" spans="5:8" x14ac:dyDescent="0.25">
      <c r="E2130" t="str">
        <f>""</f>
        <v/>
      </c>
      <c r="F2130" t="str">
        <f>""</f>
        <v/>
      </c>
      <c r="H2130" t="str">
        <f t="shared" si="49"/>
        <v>TASC - HRA FEES</v>
      </c>
    </row>
    <row r="2131" spans="5:8" x14ac:dyDescent="0.25">
      <c r="E2131" t="str">
        <f>""</f>
        <v/>
      </c>
      <c r="F2131" t="str">
        <f>""</f>
        <v/>
      </c>
      <c r="H2131" t="str">
        <f t="shared" ref="H2131:H2150" si="50">"TASC - HRA FEES"</f>
        <v>TASC - HRA FEES</v>
      </c>
    </row>
    <row r="2132" spans="5:8" x14ac:dyDescent="0.25">
      <c r="E2132" t="str">
        <f>""</f>
        <v/>
      </c>
      <c r="F2132" t="str">
        <f>""</f>
        <v/>
      </c>
      <c r="H2132" t="str">
        <f t="shared" si="50"/>
        <v>TASC - HRA FEES</v>
      </c>
    </row>
    <row r="2133" spans="5:8" x14ac:dyDescent="0.25">
      <c r="E2133" t="str">
        <f>""</f>
        <v/>
      </c>
      <c r="F2133" t="str">
        <f>""</f>
        <v/>
      </c>
      <c r="H2133" t="str">
        <f t="shared" si="50"/>
        <v>TASC - HRA FEES</v>
      </c>
    </row>
    <row r="2134" spans="5:8" x14ac:dyDescent="0.25">
      <c r="E2134" t="str">
        <f>""</f>
        <v/>
      </c>
      <c r="F2134" t="str">
        <f>""</f>
        <v/>
      </c>
      <c r="H2134" t="str">
        <f t="shared" si="50"/>
        <v>TASC - HRA FEES</v>
      </c>
    </row>
    <row r="2135" spans="5:8" x14ac:dyDescent="0.25">
      <c r="E2135" t="str">
        <f>""</f>
        <v/>
      </c>
      <c r="F2135" t="str">
        <f>""</f>
        <v/>
      </c>
      <c r="H2135" t="str">
        <f t="shared" si="50"/>
        <v>TASC - HRA FEES</v>
      </c>
    </row>
    <row r="2136" spans="5:8" x14ac:dyDescent="0.25">
      <c r="E2136" t="str">
        <f>""</f>
        <v/>
      </c>
      <c r="F2136" t="str">
        <f>""</f>
        <v/>
      </c>
      <c r="H2136" t="str">
        <f t="shared" si="50"/>
        <v>TASC - HRA FEES</v>
      </c>
    </row>
    <row r="2137" spans="5:8" x14ac:dyDescent="0.25">
      <c r="E2137" t="str">
        <f>""</f>
        <v/>
      </c>
      <c r="F2137" t="str">
        <f>""</f>
        <v/>
      </c>
      <c r="H2137" t="str">
        <f t="shared" si="50"/>
        <v>TASC - HRA FEES</v>
      </c>
    </row>
    <row r="2138" spans="5:8" x14ac:dyDescent="0.25">
      <c r="E2138" t="str">
        <f>""</f>
        <v/>
      </c>
      <c r="F2138" t="str">
        <f>""</f>
        <v/>
      </c>
      <c r="H2138" t="str">
        <f t="shared" si="50"/>
        <v>TASC - HRA FEES</v>
      </c>
    </row>
    <row r="2139" spans="5:8" x14ac:dyDescent="0.25">
      <c r="E2139" t="str">
        <f>""</f>
        <v/>
      </c>
      <c r="F2139" t="str">
        <f>""</f>
        <v/>
      </c>
      <c r="H2139" t="str">
        <f t="shared" si="50"/>
        <v>TASC - HRA FEES</v>
      </c>
    </row>
    <row r="2140" spans="5:8" x14ac:dyDescent="0.25">
      <c r="E2140" t="str">
        <f>""</f>
        <v/>
      </c>
      <c r="F2140" t="str">
        <f>""</f>
        <v/>
      </c>
      <c r="H2140" t="str">
        <f t="shared" si="50"/>
        <v>TASC - HRA FEES</v>
      </c>
    </row>
    <row r="2141" spans="5:8" x14ac:dyDescent="0.25">
      <c r="E2141" t="str">
        <f>""</f>
        <v/>
      </c>
      <c r="F2141" t="str">
        <f>""</f>
        <v/>
      </c>
      <c r="H2141" t="str">
        <f t="shared" si="50"/>
        <v>TASC - HRA FEES</v>
      </c>
    </row>
    <row r="2142" spans="5:8" x14ac:dyDescent="0.25">
      <c r="E2142" t="str">
        <f>""</f>
        <v/>
      </c>
      <c r="F2142" t="str">
        <f>""</f>
        <v/>
      </c>
      <c r="H2142" t="str">
        <f t="shared" si="50"/>
        <v>TASC - HRA FEES</v>
      </c>
    </row>
    <row r="2143" spans="5:8" x14ac:dyDescent="0.25">
      <c r="E2143" t="str">
        <f>""</f>
        <v/>
      </c>
      <c r="F2143" t="str">
        <f>""</f>
        <v/>
      </c>
      <c r="H2143" t="str">
        <f t="shared" si="50"/>
        <v>TASC - HRA FEES</v>
      </c>
    </row>
    <row r="2144" spans="5:8" x14ac:dyDescent="0.25">
      <c r="E2144" t="str">
        <f>""</f>
        <v/>
      </c>
      <c r="F2144" t="str">
        <f>""</f>
        <v/>
      </c>
      <c r="H2144" t="str">
        <f t="shared" si="50"/>
        <v>TASC - HRA FEES</v>
      </c>
    </row>
    <row r="2145" spans="1:8" x14ac:dyDescent="0.25">
      <c r="E2145" t="str">
        <f>""</f>
        <v/>
      </c>
      <c r="F2145" t="str">
        <f>""</f>
        <v/>
      </c>
      <c r="H2145" t="str">
        <f t="shared" si="50"/>
        <v>TASC - HRA FEES</v>
      </c>
    </row>
    <row r="2146" spans="1:8" x14ac:dyDescent="0.25">
      <c r="E2146" t="str">
        <f>""</f>
        <v/>
      </c>
      <c r="F2146" t="str">
        <f>""</f>
        <v/>
      </c>
      <c r="H2146" t="str">
        <f t="shared" si="50"/>
        <v>TASC - HRA FEES</v>
      </c>
    </row>
    <row r="2147" spans="1:8" x14ac:dyDescent="0.25">
      <c r="E2147" t="str">
        <f>""</f>
        <v/>
      </c>
      <c r="F2147" t="str">
        <f>""</f>
        <v/>
      </c>
      <c r="H2147" t="str">
        <f t="shared" si="50"/>
        <v>TASC - HRA FEES</v>
      </c>
    </row>
    <row r="2148" spans="1:8" x14ac:dyDescent="0.25">
      <c r="E2148" t="str">
        <f>""</f>
        <v/>
      </c>
      <c r="F2148" t="str">
        <f>""</f>
        <v/>
      </c>
      <c r="H2148" t="str">
        <f t="shared" si="50"/>
        <v>TASC - HRA FEES</v>
      </c>
    </row>
    <row r="2149" spans="1:8" x14ac:dyDescent="0.25">
      <c r="E2149" t="str">
        <f>""</f>
        <v/>
      </c>
      <c r="F2149" t="str">
        <f>""</f>
        <v/>
      </c>
      <c r="H2149" t="str">
        <f t="shared" si="50"/>
        <v>TASC - HRA FEES</v>
      </c>
    </row>
    <row r="2150" spans="1:8" x14ac:dyDescent="0.25">
      <c r="E2150" t="str">
        <f>"HRF202004296629"</f>
        <v>HRF202004296629</v>
      </c>
      <c r="F2150" t="str">
        <f>"TASC - HRA FEES"</f>
        <v>TASC - HRA FEES</v>
      </c>
      <c r="G2150" s="5">
        <v>30.6</v>
      </c>
      <c r="H2150" t="str">
        <f t="shared" si="50"/>
        <v>TASC - HRA FEES</v>
      </c>
    </row>
    <row r="2151" spans="1:8" x14ac:dyDescent="0.25">
      <c r="A2151" t="s">
        <v>312</v>
      </c>
      <c r="B2151">
        <v>515</v>
      </c>
      <c r="C2151" s="5">
        <v>9524.74</v>
      </c>
      <c r="D2151" s="1">
        <v>43966</v>
      </c>
      <c r="E2151" t="str">
        <f>"FSA202005126839"</f>
        <v>FSA202005126839</v>
      </c>
      <c r="F2151" t="str">
        <f>"TASC FSA"</f>
        <v>TASC FSA</v>
      </c>
      <c r="G2151" s="5">
        <v>7646.31</v>
      </c>
      <c r="H2151" t="str">
        <f>"TASC FSA"</f>
        <v>TASC FSA</v>
      </c>
    </row>
    <row r="2152" spans="1:8" x14ac:dyDescent="0.25">
      <c r="E2152" t="str">
        <f>"FSA202005126840"</f>
        <v>FSA202005126840</v>
      </c>
      <c r="F2152" t="str">
        <f>"TASC FSA"</f>
        <v>TASC FSA</v>
      </c>
      <c r="G2152" s="5">
        <v>445.4</v>
      </c>
      <c r="H2152" t="str">
        <f>"TASC FSA"</f>
        <v>TASC FSA</v>
      </c>
    </row>
    <row r="2153" spans="1:8" x14ac:dyDescent="0.25">
      <c r="E2153" t="str">
        <f>"FSC202005126839"</f>
        <v>FSC202005126839</v>
      </c>
      <c r="F2153" t="str">
        <f>"TASC DEPENDENT CARE"</f>
        <v>TASC DEPENDENT CARE</v>
      </c>
      <c r="G2153" s="5">
        <v>345.83</v>
      </c>
      <c r="H2153" t="str">
        <f>"TASC DEPENDENT CARE"</f>
        <v>TASC DEPENDENT CARE</v>
      </c>
    </row>
    <row r="2154" spans="1:8" x14ac:dyDescent="0.25">
      <c r="E2154" t="str">
        <f>"FSF202005126839"</f>
        <v>FSF202005126839</v>
      </c>
      <c r="F2154" t="str">
        <f>"TASC - FSA  FEES"</f>
        <v>TASC - FSA  FEES</v>
      </c>
      <c r="G2154" s="5">
        <v>252</v>
      </c>
      <c r="H2154" t="str">
        <f t="shared" ref="H2154:H2194" si="51">"TASC - FSA  FEES"</f>
        <v>TASC - FSA  FEES</v>
      </c>
    </row>
    <row r="2155" spans="1:8" x14ac:dyDescent="0.25">
      <c r="E2155" t="str">
        <f>""</f>
        <v/>
      </c>
      <c r="F2155" t="str">
        <f>""</f>
        <v/>
      </c>
      <c r="H2155" t="str">
        <f t="shared" si="51"/>
        <v>TASC - FSA  FEES</v>
      </c>
    </row>
    <row r="2156" spans="1:8" x14ac:dyDescent="0.25">
      <c r="E2156" t="str">
        <f>""</f>
        <v/>
      </c>
      <c r="F2156" t="str">
        <f>""</f>
        <v/>
      </c>
      <c r="H2156" t="str">
        <f t="shared" si="51"/>
        <v>TASC - FSA  FEES</v>
      </c>
    </row>
    <row r="2157" spans="1:8" x14ac:dyDescent="0.25">
      <c r="E2157" t="str">
        <f>""</f>
        <v/>
      </c>
      <c r="F2157" t="str">
        <f>""</f>
        <v/>
      </c>
      <c r="H2157" t="str">
        <f t="shared" si="51"/>
        <v>TASC - FSA  FEES</v>
      </c>
    </row>
    <row r="2158" spans="1:8" x14ac:dyDescent="0.25">
      <c r="E2158" t="str">
        <f>""</f>
        <v/>
      </c>
      <c r="F2158" t="str">
        <f>""</f>
        <v/>
      </c>
      <c r="H2158" t="str">
        <f t="shared" si="51"/>
        <v>TASC - FSA  FEES</v>
      </c>
    </row>
    <row r="2159" spans="1:8" x14ac:dyDescent="0.25">
      <c r="E2159" t="str">
        <f>""</f>
        <v/>
      </c>
      <c r="F2159" t="str">
        <f>""</f>
        <v/>
      </c>
      <c r="H2159" t="str">
        <f t="shared" si="51"/>
        <v>TASC - FSA  FEES</v>
      </c>
    </row>
    <row r="2160" spans="1:8" x14ac:dyDescent="0.25">
      <c r="E2160" t="str">
        <f>""</f>
        <v/>
      </c>
      <c r="F2160" t="str">
        <f>""</f>
        <v/>
      </c>
      <c r="H2160" t="str">
        <f t="shared" si="51"/>
        <v>TASC - FSA  FEES</v>
      </c>
    </row>
    <row r="2161" spans="5:8" x14ac:dyDescent="0.25">
      <c r="E2161" t="str">
        <f>""</f>
        <v/>
      </c>
      <c r="F2161" t="str">
        <f>""</f>
        <v/>
      </c>
      <c r="H2161" t="str">
        <f t="shared" si="51"/>
        <v>TASC - FSA  FEES</v>
      </c>
    </row>
    <row r="2162" spans="5:8" x14ac:dyDescent="0.25">
      <c r="E2162" t="str">
        <f>""</f>
        <v/>
      </c>
      <c r="F2162" t="str">
        <f>""</f>
        <v/>
      </c>
      <c r="H2162" t="str">
        <f t="shared" si="51"/>
        <v>TASC - FSA  FEES</v>
      </c>
    </row>
    <row r="2163" spans="5:8" x14ac:dyDescent="0.25">
      <c r="E2163" t="str">
        <f>""</f>
        <v/>
      </c>
      <c r="F2163" t="str">
        <f>""</f>
        <v/>
      </c>
      <c r="H2163" t="str">
        <f t="shared" si="51"/>
        <v>TASC - FSA  FEES</v>
      </c>
    </row>
    <row r="2164" spans="5:8" x14ac:dyDescent="0.25">
      <c r="E2164" t="str">
        <f>""</f>
        <v/>
      </c>
      <c r="F2164" t="str">
        <f>""</f>
        <v/>
      </c>
      <c r="H2164" t="str">
        <f t="shared" si="51"/>
        <v>TASC - FSA  FEES</v>
      </c>
    </row>
    <row r="2165" spans="5:8" x14ac:dyDescent="0.25">
      <c r="E2165" t="str">
        <f>""</f>
        <v/>
      </c>
      <c r="F2165" t="str">
        <f>""</f>
        <v/>
      </c>
      <c r="H2165" t="str">
        <f t="shared" si="51"/>
        <v>TASC - FSA  FEES</v>
      </c>
    </row>
    <row r="2166" spans="5:8" x14ac:dyDescent="0.25">
      <c r="E2166" t="str">
        <f>""</f>
        <v/>
      </c>
      <c r="F2166" t="str">
        <f>""</f>
        <v/>
      </c>
      <c r="H2166" t="str">
        <f t="shared" si="51"/>
        <v>TASC - FSA  FEES</v>
      </c>
    </row>
    <row r="2167" spans="5:8" x14ac:dyDescent="0.25">
      <c r="E2167" t="str">
        <f>""</f>
        <v/>
      </c>
      <c r="F2167" t="str">
        <f>""</f>
        <v/>
      </c>
      <c r="H2167" t="str">
        <f t="shared" si="51"/>
        <v>TASC - FSA  FEES</v>
      </c>
    </row>
    <row r="2168" spans="5:8" x14ac:dyDescent="0.25">
      <c r="E2168" t="str">
        <f>""</f>
        <v/>
      </c>
      <c r="F2168" t="str">
        <f>""</f>
        <v/>
      </c>
      <c r="H2168" t="str">
        <f t="shared" si="51"/>
        <v>TASC - FSA  FEES</v>
      </c>
    </row>
    <row r="2169" spans="5:8" x14ac:dyDescent="0.25">
      <c r="E2169" t="str">
        <f>""</f>
        <v/>
      </c>
      <c r="F2169" t="str">
        <f>""</f>
        <v/>
      </c>
      <c r="H2169" t="str">
        <f t="shared" si="51"/>
        <v>TASC - FSA  FEES</v>
      </c>
    </row>
    <row r="2170" spans="5:8" x14ac:dyDescent="0.25">
      <c r="E2170" t="str">
        <f>""</f>
        <v/>
      </c>
      <c r="F2170" t="str">
        <f>""</f>
        <v/>
      </c>
      <c r="H2170" t="str">
        <f t="shared" si="51"/>
        <v>TASC - FSA  FEES</v>
      </c>
    </row>
    <row r="2171" spans="5:8" x14ac:dyDescent="0.25">
      <c r="E2171" t="str">
        <f>""</f>
        <v/>
      </c>
      <c r="F2171" t="str">
        <f>""</f>
        <v/>
      </c>
      <c r="H2171" t="str">
        <f t="shared" si="51"/>
        <v>TASC - FSA  FEES</v>
      </c>
    </row>
    <row r="2172" spans="5:8" x14ac:dyDescent="0.25">
      <c r="E2172" t="str">
        <f>""</f>
        <v/>
      </c>
      <c r="F2172" t="str">
        <f>""</f>
        <v/>
      </c>
      <c r="H2172" t="str">
        <f t="shared" si="51"/>
        <v>TASC - FSA  FEES</v>
      </c>
    </row>
    <row r="2173" spans="5:8" x14ac:dyDescent="0.25">
      <c r="E2173" t="str">
        <f>""</f>
        <v/>
      </c>
      <c r="F2173" t="str">
        <f>""</f>
        <v/>
      </c>
      <c r="H2173" t="str">
        <f t="shared" si="51"/>
        <v>TASC - FSA  FEES</v>
      </c>
    </row>
    <row r="2174" spans="5:8" x14ac:dyDescent="0.25">
      <c r="E2174" t="str">
        <f>""</f>
        <v/>
      </c>
      <c r="F2174" t="str">
        <f>""</f>
        <v/>
      </c>
      <c r="H2174" t="str">
        <f t="shared" si="51"/>
        <v>TASC - FSA  FEES</v>
      </c>
    </row>
    <row r="2175" spans="5:8" x14ac:dyDescent="0.25">
      <c r="E2175" t="str">
        <f>""</f>
        <v/>
      </c>
      <c r="F2175" t="str">
        <f>""</f>
        <v/>
      </c>
      <c r="H2175" t="str">
        <f t="shared" si="51"/>
        <v>TASC - FSA  FEES</v>
      </c>
    </row>
    <row r="2176" spans="5:8" x14ac:dyDescent="0.25">
      <c r="E2176" t="str">
        <f>""</f>
        <v/>
      </c>
      <c r="F2176" t="str">
        <f>""</f>
        <v/>
      </c>
      <c r="H2176" t="str">
        <f t="shared" si="51"/>
        <v>TASC - FSA  FEES</v>
      </c>
    </row>
    <row r="2177" spans="5:8" x14ac:dyDescent="0.25">
      <c r="E2177" t="str">
        <f>""</f>
        <v/>
      </c>
      <c r="F2177" t="str">
        <f>""</f>
        <v/>
      </c>
      <c r="H2177" t="str">
        <f t="shared" si="51"/>
        <v>TASC - FSA  FEES</v>
      </c>
    </row>
    <row r="2178" spans="5:8" x14ac:dyDescent="0.25">
      <c r="E2178" t="str">
        <f>""</f>
        <v/>
      </c>
      <c r="F2178" t="str">
        <f>""</f>
        <v/>
      </c>
      <c r="H2178" t="str">
        <f t="shared" si="51"/>
        <v>TASC - FSA  FEES</v>
      </c>
    </row>
    <row r="2179" spans="5:8" x14ac:dyDescent="0.25">
      <c r="E2179" t="str">
        <f>""</f>
        <v/>
      </c>
      <c r="F2179" t="str">
        <f>""</f>
        <v/>
      </c>
      <c r="H2179" t="str">
        <f t="shared" si="51"/>
        <v>TASC - FSA  FEES</v>
      </c>
    </row>
    <row r="2180" spans="5:8" x14ac:dyDescent="0.25">
      <c r="E2180" t="str">
        <f>""</f>
        <v/>
      </c>
      <c r="F2180" t="str">
        <f>""</f>
        <v/>
      </c>
      <c r="H2180" t="str">
        <f t="shared" si="51"/>
        <v>TASC - FSA  FEES</v>
      </c>
    </row>
    <row r="2181" spans="5:8" x14ac:dyDescent="0.25">
      <c r="E2181" t="str">
        <f>""</f>
        <v/>
      </c>
      <c r="F2181" t="str">
        <f>""</f>
        <v/>
      </c>
      <c r="H2181" t="str">
        <f t="shared" si="51"/>
        <v>TASC - FSA  FEES</v>
      </c>
    </row>
    <row r="2182" spans="5:8" x14ac:dyDescent="0.25">
      <c r="E2182" t="str">
        <f>""</f>
        <v/>
      </c>
      <c r="F2182" t="str">
        <f>""</f>
        <v/>
      </c>
      <c r="H2182" t="str">
        <f t="shared" si="51"/>
        <v>TASC - FSA  FEES</v>
      </c>
    </row>
    <row r="2183" spans="5:8" x14ac:dyDescent="0.25">
      <c r="E2183" t="str">
        <f>""</f>
        <v/>
      </c>
      <c r="F2183" t="str">
        <f>""</f>
        <v/>
      </c>
      <c r="H2183" t="str">
        <f t="shared" si="51"/>
        <v>TASC - FSA  FEES</v>
      </c>
    </row>
    <row r="2184" spans="5:8" x14ac:dyDescent="0.25">
      <c r="E2184" t="str">
        <f>""</f>
        <v/>
      </c>
      <c r="F2184" t="str">
        <f>""</f>
        <v/>
      </c>
      <c r="H2184" t="str">
        <f t="shared" si="51"/>
        <v>TASC - FSA  FEES</v>
      </c>
    </row>
    <row r="2185" spans="5:8" x14ac:dyDescent="0.25">
      <c r="E2185" t="str">
        <f>""</f>
        <v/>
      </c>
      <c r="F2185" t="str">
        <f>""</f>
        <v/>
      </c>
      <c r="H2185" t="str">
        <f t="shared" si="51"/>
        <v>TASC - FSA  FEES</v>
      </c>
    </row>
    <row r="2186" spans="5:8" x14ac:dyDescent="0.25">
      <c r="E2186" t="str">
        <f>""</f>
        <v/>
      </c>
      <c r="F2186" t="str">
        <f>""</f>
        <v/>
      </c>
      <c r="H2186" t="str">
        <f t="shared" si="51"/>
        <v>TASC - FSA  FEES</v>
      </c>
    </row>
    <row r="2187" spans="5:8" x14ac:dyDescent="0.25">
      <c r="E2187" t="str">
        <f>""</f>
        <v/>
      </c>
      <c r="F2187" t="str">
        <f>""</f>
        <v/>
      </c>
      <c r="H2187" t="str">
        <f t="shared" si="51"/>
        <v>TASC - FSA  FEES</v>
      </c>
    </row>
    <row r="2188" spans="5:8" x14ac:dyDescent="0.25">
      <c r="E2188" t="str">
        <f>""</f>
        <v/>
      </c>
      <c r="F2188" t="str">
        <f>""</f>
        <v/>
      </c>
      <c r="H2188" t="str">
        <f t="shared" si="51"/>
        <v>TASC - FSA  FEES</v>
      </c>
    </row>
    <row r="2189" spans="5:8" x14ac:dyDescent="0.25">
      <c r="E2189" t="str">
        <f>""</f>
        <v/>
      </c>
      <c r="F2189" t="str">
        <f>""</f>
        <v/>
      </c>
      <c r="H2189" t="str">
        <f t="shared" si="51"/>
        <v>TASC - FSA  FEES</v>
      </c>
    </row>
    <row r="2190" spans="5:8" x14ac:dyDescent="0.25">
      <c r="E2190" t="str">
        <f>""</f>
        <v/>
      </c>
      <c r="F2190" t="str">
        <f>""</f>
        <v/>
      </c>
      <c r="H2190" t="str">
        <f t="shared" si="51"/>
        <v>TASC - FSA  FEES</v>
      </c>
    </row>
    <row r="2191" spans="5:8" x14ac:dyDescent="0.25">
      <c r="E2191" t="str">
        <f>""</f>
        <v/>
      </c>
      <c r="F2191" t="str">
        <f>""</f>
        <v/>
      </c>
      <c r="H2191" t="str">
        <f t="shared" si="51"/>
        <v>TASC - FSA  FEES</v>
      </c>
    </row>
    <row r="2192" spans="5:8" x14ac:dyDescent="0.25">
      <c r="E2192" t="str">
        <f>""</f>
        <v/>
      </c>
      <c r="F2192" t="str">
        <f>""</f>
        <v/>
      </c>
      <c r="H2192" t="str">
        <f t="shared" si="51"/>
        <v>TASC - FSA  FEES</v>
      </c>
    </row>
    <row r="2193" spans="5:8" x14ac:dyDescent="0.25">
      <c r="E2193" t="str">
        <f>""</f>
        <v/>
      </c>
      <c r="F2193" t="str">
        <f>""</f>
        <v/>
      </c>
      <c r="H2193" t="str">
        <f t="shared" si="51"/>
        <v>TASC - FSA  FEES</v>
      </c>
    </row>
    <row r="2194" spans="5:8" x14ac:dyDescent="0.25">
      <c r="E2194" t="str">
        <f>"FSF202005126840"</f>
        <v>FSF202005126840</v>
      </c>
      <c r="F2194" t="str">
        <f>"TASC - FSA  FEES"</f>
        <v>TASC - FSA  FEES</v>
      </c>
      <c r="G2194" s="5">
        <v>12.6</v>
      </c>
      <c r="H2194" t="str">
        <f t="shared" si="51"/>
        <v>TASC - FSA  FEES</v>
      </c>
    </row>
    <row r="2195" spans="5:8" x14ac:dyDescent="0.25">
      <c r="E2195" t="str">
        <f>"HRF202005126839"</f>
        <v>HRF202005126839</v>
      </c>
      <c r="F2195" t="str">
        <f>"TASC - HRA FEES"</f>
        <v>TASC - HRA FEES</v>
      </c>
      <c r="G2195" s="5">
        <v>792</v>
      </c>
      <c r="H2195" t="str">
        <f t="shared" ref="H2195:H2226" si="52">"TASC - HRA FEES"</f>
        <v>TASC - HRA FEES</v>
      </c>
    </row>
    <row r="2196" spans="5:8" x14ac:dyDescent="0.25">
      <c r="E2196" t="str">
        <f>""</f>
        <v/>
      </c>
      <c r="F2196" t="str">
        <f>""</f>
        <v/>
      </c>
      <c r="H2196" t="str">
        <f t="shared" si="52"/>
        <v>TASC - HRA FEES</v>
      </c>
    </row>
    <row r="2197" spans="5:8" x14ac:dyDescent="0.25">
      <c r="E2197" t="str">
        <f>""</f>
        <v/>
      </c>
      <c r="F2197" t="str">
        <f>""</f>
        <v/>
      </c>
      <c r="H2197" t="str">
        <f t="shared" si="52"/>
        <v>TASC - HRA FEES</v>
      </c>
    </row>
    <row r="2198" spans="5:8" x14ac:dyDescent="0.25">
      <c r="E2198" t="str">
        <f>""</f>
        <v/>
      </c>
      <c r="F2198" t="str">
        <f>""</f>
        <v/>
      </c>
      <c r="H2198" t="str">
        <f t="shared" si="52"/>
        <v>TASC - HRA FEES</v>
      </c>
    </row>
    <row r="2199" spans="5:8" x14ac:dyDescent="0.25">
      <c r="E2199" t="str">
        <f>""</f>
        <v/>
      </c>
      <c r="F2199" t="str">
        <f>""</f>
        <v/>
      </c>
      <c r="H2199" t="str">
        <f t="shared" si="52"/>
        <v>TASC - HRA FEES</v>
      </c>
    </row>
    <row r="2200" spans="5:8" x14ac:dyDescent="0.25">
      <c r="E2200" t="str">
        <f>""</f>
        <v/>
      </c>
      <c r="F2200" t="str">
        <f>""</f>
        <v/>
      </c>
      <c r="H2200" t="str">
        <f t="shared" si="52"/>
        <v>TASC - HRA FEES</v>
      </c>
    </row>
    <row r="2201" spans="5:8" x14ac:dyDescent="0.25">
      <c r="E2201" t="str">
        <f>""</f>
        <v/>
      </c>
      <c r="F2201" t="str">
        <f>""</f>
        <v/>
      </c>
      <c r="H2201" t="str">
        <f t="shared" si="52"/>
        <v>TASC - HRA FEES</v>
      </c>
    </row>
    <row r="2202" spans="5:8" x14ac:dyDescent="0.25">
      <c r="E2202" t="str">
        <f>""</f>
        <v/>
      </c>
      <c r="F2202" t="str">
        <f>""</f>
        <v/>
      </c>
      <c r="H2202" t="str">
        <f t="shared" si="52"/>
        <v>TASC - HRA FEES</v>
      </c>
    </row>
    <row r="2203" spans="5:8" x14ac:dyDescent="0.25">
      <c r="E2203" t="str">
        <f>""</f>
        <v/>
      </c>
      <c r="F2203" t="str">
        <f>""</f>
        <v/>
      </c>
      <c r="H2203" t="str">
        <f t="shared" si="52"/>
        <v>TASC - HRA FEES</v>
      </c>
    </row>
    <row r="2204" spans="5:8" x14ac:dyDescent="0.25">
      <c r="E2204" t="str">
        <f>""</f>
        <v/>
      </c>
      <c r="F2204" t="str">
        <f>""</f>
        <v/>
      </c>
      <c r="H2204" t="str">
        <f t="shared" si="52"/>
        <v>TASC - HRA FEES</v>
      </c>
    </row>
    <row r="2205" spans="5:8" x14ac:dyDescent="0.25">
      <c r="E2205" t="str">
        <f>""</f>
        <v/>
      </c>
      <c r="F2205" t="str">
        <f>""</f>
        <v/>
      </c>
      <c r="H2205" t="str">
        <f t="shared" si="52"/>
        <v>TASC - HRA FEES</v>
      </c>
    </row>
    <row r="2206" spans="5:8" x14ac:dyDescent="0.25">
      <c r="E2206" t="str">
        <f>""</f>
        <v/>
      </c>
      <c r="F2206" t="str">
        <f>""</f>
        <v/>
      </c>
      <c r="H2206" t="str">
        <f t="shared" si="52"/>
        <v>TASC - HRA FEES</v>
      </c>
    </row>
    <row r="2207" spans="5:8" x14ac:dyDescent="0.25">
      <c r="E2207" t="str">
        <f>""</f>
        <v/>
      </c>
      <c r="F2207" t="str">
        <f>""</f>
        <v/>
      </c>
      <c r="H2207" t="str">
        <f t="shared" si="52"/>
        <v>TASC - HRA FEES</v>
      </c>
    </row>
    <row r="2208" spans="5:8" x14ac:dyDescent="0.25">
      <c r="E2208" t="str">
        <f>""</f>
        <v/>
      </c>
      <c r="F2208" t="str">
        <f>""</f>
        <v/>
      </c>
      <c r="H2208" t="str">
        <f t="shared" si="52"/>
        <v>TASC - HRA FEES</v>
      </c>
    </row>
    <row r="2209" spans="5:8" x14ac:dyDescent="0.25">
      <c r="E2209" t="str">
        <f>""</f>
        <v/>
      </c>
      <c r="F2209" t="str">
        <f>""</f>
        <v/>
      </c>
      <c r="H2209" t="str">
        <f t="shared" si="52"/>
        <v>TASC - HRA FEES</v>
      </c>
    </row>
    <row r="2210" spans="5:8" x14ac:dyDescent="0.25">
      <c r="E2210" t="str">
        <f>""</f>
        <v/>
      </c>
      <c r="F2210" t="str">
        <f>""</f>
        <v/>
      </c>
      <c r="H2210" t="str">
        <f t="shared" si="52"/>
        <v>TASC - HRA FEES</v>
      </c>
    </row>
    <row r="2211" spans="5:8" x14ac:dyDescent="0.25">
      <c r="E2211" t="str">
        <f>""</f>
        <v/>
      </c>
      <c r="F2211" t="str">
        <f>""</f>
        <v/>
      </c>
      <c r="H2211" t="str">
        <f t="shared" si="52"/>
        <v>TASC - HRA FEES</v>
      </c>
    </row>
    <row r="2212" spans="5:8" x14ac:dyDescent="0.25">
      <c r="E2212" t="str">
        <f>""</f>
        <v/>
      </c>
      <c r="F2212" t="str">
        <f>""</f>
        <v/>
      </c>
      <c r="H2212" t="str">
        <f t="shared" si="52"/>
        <v>TASC - HRA FEES</v>
      </c>
    </row>
    <row r="2213" spans="5:8" x14ac:dyDescent="0.25">
      <c r="E2213" t="str">
        <f>""</f>
        <v/>
      </c>
      <c r="F2213" t="str">
        <f>""</f>
        <v/>
      </c>
      <c r="H2213" t="str">
        <f t="shared" si="52"/>
        <v>TASC - HRA FEES</v>
      </c>
    </row>
    <row r="2214" spans="5:8" x14ac:dyDescent="0.25">
      <c r="E2214" t="str">
        <f>""</f>
        <v/>
      </c>
      <c r="F2214" t="str">
        <f>""</f>
        <v/>
      </c>
      <c r="H2214" t="str">
        <f t="shared" si="52"/>
        <v>TASC - HRA FEES</v>
      </c>
    </row>
    <row r="2215" spans="5:8" x14ac:dyDescent="0.25">
      <c r="E2215" t="str">
        <f>""</f>
        <v/>
      </c>
      <c r="F2215" t="str">
        <f>""</f>
        <v/>
      </c>
      <c r="H2215" t="str">
        <f t="shared" si="52"/>
        <v>TASC - HRA FEES</v>
      </c>
    </row>
    <row r="2216" spans="5:8" x14ac:dyDescent="0.25">
      <c r="E2216" t="str">
        <f>""</f>
        <v/>
      </c>
      <c r="F2216" t="str">
        <f>""</f>
        <v/>
      </c>
      <c r="H2216" t="str">
        <f t="shared" si="52"/>
        <v>TASC - HRA FEES</v>
      </c>
    </row>
    <row r="2217" spans="5:8" x14ac:dyDescent="0.25">
      <c r="E2217" t="str">
        <f>""</f>
        <v/>
      </c>
      <c r="F2217" t="str">
        <f>""</f>
        <v/>
      </c>
      <c r="H2217" t="str">
        <f t="shared" si="52"/>
        <v>TASC - HRA FEES</v>
      </c>
    </row>
    <row r="2218" spans="5:8" x14ac:dyDescent="0.25">
      <c r="E2218" t="str">
        <f>""</f>
        <v/>
      </c>
      <c r="F2218" t="str">
        <f>""</f>
        <v/>
      </c>
      <c r="H2218" t="str">
        <f t="shared" si="52"/>
        <v>TASC - HRA FEES</v>
      </c>
    </row>
    <row r="2219" spans="5:8" x14ac:dyDescent="0.25">
      <c r="E2219" t="str">
        <f>""</f>
        <v/>
      </c>
      <c r="F2219" t="str">
        <f>""</f>
        <v/>
      </c>
      <c r="H2219" t="str">
        <f t="shared" si="52"/>
        <v>TASC - HRA FEES</v>
      </c>
    </row>
    <row r="2220" spans="5:8" x14ac:dyDescent="0.25">
      <c r="E2220" t="str">
        <f>""</f>
        <v/>
      </c>
      <c r="F2220" t="str">
        <f>""</f>
        <v/>
      </c>
      <c r="H2220" t="str">
        <f t="shared" si="52"/>
        <v>TASC - HRA FEES</v>
      </c>
    </row>
    <row r="2221" spans="5:8" x14ac:dyDescent="0.25">
      <c r="E2221" t="str">
        <f>""</f>
        <v/>
      </c>
      <c r="F2221" t="str">
        <f>""</f>
        <v/>
      </c>
      <c r="H2221" t="str">
        <f t="shared" si="52"/>
        <v>TASC - HRA FEES</v>
      </c>
    </row>
    <row r="2222" spans="5:8" x14ac:dyDescent="0.25">
      <c r="E2222" t="str">
        <f>""</f>
        <v/>
      </c>
      <c r="F2222" t="str">
        <f>""</f>
        <v/>
      </c>
      <c r="H2222" t="str">
        <f t="shared" si="52"/>
        <v>TASC - HRA FEES</v>
      </c>
    </row>
    <row r="2223" spans="5:8" x14ac:dyDescent="0.25">
      <c r="E2223" t="str">
        <f>""</f>
        <v/>
      </c>
      <c r="F2223" t="str">
        <f>""</f>
        <v/>
      </c>
      <c r="H2223" t="str">
        <f t="shared" si="52"/>
        <v>TASC - HRA FEES</v>
      </c>
    </row>
    <row r="2224" spans="5:8" x14ac:dyDescent="0.25">
      <c r="E2224" t="str">
        <f>""</f>
        <v/>
      </c>
      <c r="F2224" t="str">
        <f>""</f>
        <v/>
      </c>
      <c r="H2224" t="str">
        <f t="shared" si="52"/>
        <v>TASC - HRA FEES</v>
      </c>
    </row>
    <row r="2225" spans="5:8" x14ac:dyDescent="0.25">
      <c r="E2225" t="str">
        <f>""</f>
        <v/>
      </c>
      <c r="F2225" t="str">
        <f>""</f>
        <v/>
      </c>
      <c r="H2225" t="str">
        <f t="shared" si="52"/>
        <v>TASC - HRA FEES</v>
      </c>
    </row>
    <row r="2226" spans="5:8" x14ac:dyDescent="0.25">
      <c r="E2226" t="str">
        <f>""</f>
        <v/>
      </c>
      <c r="F2226" t="str">
        <f>""</f>
        <v/>
      </c>
      <c r="H2226" t="str">
        <f t="shared" si="52"/>
        <v>TASC - HRA FEES</v>
      </c>
    </row>
    <row r="2227" spans="5:8" x14ac:dyDescent="0.25">
      <c r="E2227" t="str">
        <f>""</f>
        <v/>
      </c>
      <c r="F2227" t="str">
        <f>""</f>
        <v/>
      </c>
      <c r="H2227" t="str">
        <f t="shared" ref="H2227:H2246" si="53">"TASC - HRA FEES"</f>
        <v>TASC - HRA FEES</v>
      </c>
    </row>
    <row r="2228" spans="5:8" x14ac:dyDescent="0.25">
      <c r="E2228" t="str">
        <f>""</f>
        <v/>
      </c>
      <c r="F2228" t="str">
        <f>""</f>
        <v/>
      </c>
      <c r="H2228" t="str">
        <f t="shared" si="53"/>
        <v>TASC - HRA FEES</v>
      </c>
    </row>
    <row r="2229" spans="5:8" x14ac:dyDescent="0.25">
      <c r="E2229" t="str">
        <f>""</f>
        <v/>
      </c>
      <c r="F2229" t="str">
        <f>""</f>
        <v/>
      </c>
      <c r="H2229" t="str">
        <f t="shared" si="53"/>
        <v>TASC - HRA FEES</v>
      </c>
    </row>
    <row r="2230" spans="5:8" x14ac:dyDescent="0.25">
      <c r="E2230" t="str">
        <f>""</f>
        <v/>
      </c>
      <c r="F2230" t="str">
        <f>""</f>
        <v/>
      </c>
      <c r="H2230" t="str">
        <f t="shared" si="53"/>
        <v>TASC - HRA FEES</v>
      </c>
    </row>
    <row r="2231" spans="5:8" x14ac:dyDescent="0.25">
      <c r="E2231" t="str">
        <f>""</f>
        <v/>
      </c>
      <c r="F2231" t="str">
        <f>""</f>
        <v/>
      </c>
      <c r="H2231" t="str">
        <f t="shared" si="53"/>
        <v>TASC - HRA FEES</v>
      </c>
    </row>
    <row r="2232" spans="5:8" x14ac:dyDescent="0.25">
      <c r="E2232" t="str">
        <f>""</f>
        <v/>
      </c>
      <c r="F2232" t="str">
        <f>""</f>
        <v/>
      </c>
      <c r="H2232" t="str">
        <f t="shared" si="53"/>
        <v>TASC - HRA FEES</v>
      </c>
    </row>
    <row r="2233" spans="5:8" x14ac:dyDescent="0.25">
      <c r="E2233" t="str">
        <f>""</f>
        <v/>
      </c>
      <c r="F2233" t="str">
        <f>""</f>
        <v/>
      </c>
      <c r="H2233" t="str">
        <f t="shared" si="53"/>
        <v>TASC - HRA FEES</v>
      </c>
    </row>
    <row r="2234" spans="5:8" x14ac:dyDescent="0.25">
      <c r="E2234" t="str">
        <f>""</f>
        <v/>
      </c>
      <c r="F2234" t="str">
        <f>""</f>
        <v/>
      </c>
      <c r="H2234" t="str">
        <f t="shared" si="53"/>
        <v>TASC - HRA FEES</v>
      </c>
    </row>
    <row r="2235" spans="5:8" x14ac:dyDescent="0.25">
      <c r="E2235" t="str">
        <f>""</f>
        <v/>
      </c>
      <c r="F2235" t="str">
        <f>""</f>
        <v/>
      </c>
      <c r="H2235" t="str">
        <f t="shared" si="53"/>
        <v>TASC - HRA FEES</v>
      </c>
    </row>
    <row r="2236" spans="5:8" x14ac:dyDescent="0.25">
      <c r="E2236" t="str">
        <f>""</f>
        <v/>
      </c>
      <c r="F2236" t="str">
        <f>""</f>
        <v/>
      </c>
      <c r="H2236" t="str">
        <f t="shared" si="53"/>
        <v>TASC - HRA FEES</v>
      </c>
    </row>
    <row r="2237" spans="5:8" x14ac:dyDescent="0.25">
      <c r="E2237" t="str">
        <f>""</f>
        <v/>
      </c>
      <c r="F2237" t="str">
        <f>""</f>
        <v/>
      </c>
      <c r="H2237" t="str">
        <f t="shared" si="53"/>
        <v>TASC - HRA FEES</v>
      </c>
    </row>
    <row r="2238" spans="5:8" x14ac:dyDescent="0.25">
      <c r="E2238" t="str">
        <f>""</f>
        <v/>
      </c>
      <c r="F2238" t="str">
        <f>""</f>
        <v/>
      </c>
      <c r="H2238" t="str">
        <f t="shared" si="53"/>
        <v>TASC - HRA FEES</v>
      </c>
    </row>
    <row r="2239" spans="5:8" x14ac:dyDescent="0.25">
      <c r="E2239" t="str">
        <f>""</f>
        <v/>
      </c>
      <c r="F2239" t="str">
        <f>""</f>
        <v/>
      </c>
      <c r="H2239" t="str">
        <f t="shared" si="53"/>
        <v>TASC - HRA FEES</v>
      </c>
    </row>
    <row r="2240" spans="5:8" x14ac:dyDescent="0.25">
      <c r="E2240" t="str">
        <f>""</f>
        <v/>
      </c>
      <c r="F2240" t="str">
        <f>""</f>
        <v/>
      </c>
      <c r="H2240" t="str">
        <f t="shared" si="53"/>
        <v>TASC - HRA FEES</v>
      </c>
    </row>
    <row r="2241" spans="1:8" x14ac:dyDescent="0.25">
      <c r="E2241" t="str">
        <f>""</f>
        <v/>
      </c>
      <c r="F2241" t="str">
        <f>""</f>
        <v/>
      </c>
      <c r="H2241" t="str">
        <f t="shared" si="53"/>
        <v>TASC - HRA FEES</v>
      </c>
    </row>
    <row r="2242" spans="1:8" x14ac:dyDescent="0.25">
      <c r="E2242" t="str">
        <f>""</f>
        <v/>
      </c>
      <c r="F2242" t="str">
        <f>""</f>
        <v/>
      </c>
      <c r="H2242" t="str">
        <f t="shared" si="53"/>
        <v>TASC - HRA FEES</v>
      </c>
    </row>
    <row r="2243" spans="1:8" x14ac:dyDescent="0.25">
      <c r="E2243" t="str">
        <f>""</f>
        <v/>
      </c>
      <c r="F2243" t="str">
        <f>""</f>
        <v/>
      </c>
      <c r="H2243" t="str">
        <f t="shared" si="53"/>
        <v>TASC - HRA FEES</v>
      </c>
    </row>
    <row r="2244" spans="1:8" x14ac:dyDescent="0.25">
      <c r="E2244" t="str">
        <f>""</f>
        <v/>
      </c>
      <c r="F2244" t="str">
        <f>""</f>
        <v/>
      </c>
      <c r="H2244" t="str">
        <f t="shared" si="53"/>
        <v>TASC - HRA FEES</v>
      </c>
    </row>
    <row r="2245" spans="1:8" x14ac:dyDescent="0.25">
      <c r="E2245" t="str">
        <f>""</f>
        <v/>
      </c>
      <c r="F2245" t="str">
        <f>""</f>
        <v/>
      </c>
      <c r="H2245" t="str">
        <f t="shared" si="53"/>
        <v>TASC - HRA FEES</v>
      </c>
    </row>
    <row r="2246" spans="1:8" x14ac:dyDescent="0.25">
      <c r="E2246" t="str">
        <f>"HRF202005126840"</f>
        <v>HRF202005126840</v>
      </c>
      <c r="F2246" t="str">
        <f>"TASC - HRA FEES"</f>
        <v>TASC - HRA FEES</v>
      </c>
      <c r="G2246" s="5">
        <v>30.6</v>
      </c>
      <c r="H2246" t="str">
        <f t="shared" si="53"/>
        <v>TASC - HRA FEES</v>
      </c>
    </row>
    <row r="2247" spans="1:8" x14ac:dyDescent="0.25">
      <c r="A2247" t="s">
        <v>313</v>
      </c>
      <c r="B2247">
        <v>506</v>
      </c>
      <c r="C2247" s="5">
        <v>5416.93</v>
      </c>
      <c r="D2247" s="1">
        <v>43952</v>
      </c>
      <c r="E2247" t="str">
        <f>"C18202004296629"</f>
        <v>C18202004296629</v>
      </c>
      <c r="F2247" t="str">
        <f>"CAUSE# 0011635329"</f>
        <v>CAUSE# 0011635329</v>
      </c>
      <c r="G2247" s="5">
        <v>603.23</v>
      </c>
      <c r="H2247" t="str">
        <f>"CAUSE# 0011635329"</f>
        <v>CAUSE# 0011635329</v>
      </c>
    </row>
    <row r="2248" spans="1:8" x14ac:dyDescent="0.25">
      <c r="E2248" t="str">
        <f>"C2 202004296629"</f>
        <v>C2 202004296629</v>
      </c>
      <c r="F2248" t="str">
        <f>"0012982132CCL7445"</f>
        <v>0012982132CCL7445</v>
      </c>
      <c r="G2248" s="5">
        <v>692.31</v>
      </c>
      <c r="H2248" t="str">
        <f>"0012982132CCL7445"</f>
        <v>0012982132CCL7445</v>
      </c>
    </row>
    <row r="2249" spans="1:8" x14ac:dyDescent="0.25">
      <c r="E2249" t="str">
        <f>"C20202004296628"</f>
        <v>C20202004296628</v>
      </c>
      <c r="F2249" t="str">
        <f>"001003981107-12252"</f>
        <v>001003981107-12252</v>
      </c>
      <c r="G2249" s="5">
        <v>115.39</v>
      </c>
      <c r="H2249" t="str">
        <f>"001003981107-12252"</f>
        <v>001003981107-12252</v>
      </c>
    </row>
    <row r="2250" spans="1:8" x14ac:dyDescent="0.25">
      <c r="E2250" t="str">
        <f>"C42202004296628"</f>
        <v>C42202004296628</v>
      </c>
      <c r="F2250" t="str">
        <f>"001236769211-14410"</f>
        <v>001236769211-14410</v>
      </c>
      <c r="G2250" s="5">
        <v>230.31</v>
      </c>
      <c r="H2250" t="str">
        <f>"001236769211-14410"</f>
        <v>001236769211-14410</v>
      </c>
    </row>
    <row r="2251" spans="1:8" x14ac:dyDescent="0.25">
      <c r="E2251" t="str">
        <f>"C46202004296628"</f>
        <v>C46202004296628</v>
      </c>
      <c r="F2251" t="str">
        <f>"CAUSE# 11-14911"</f>
        <v>CAUSE# 11-14911</v>
      </c>
      <c r="G2251" s="5">
        <v>238.62</v>
      </c>
      <c r="H2251" t="str">
        <f>"CAUSE# 11-14911"</f>
        <v>CAUSE# 11-14911</v>
      </c>
    </row>
    <row r="2252" spans="1:8" x14ac:dyDescent="0.25">
      <c r="E2252" t="str">
        <f>"C53202004296628"</f>
        <v>C53202004296628</v>
      </c>
      <c r="F2252" t="str">
        <f>"0012453366"</f>
        <v>0012453366</v>
      </c>
      <c r="G2252" s="5">
        <v>138.46</v>
      </c>
      <c r="H2252" t="str">
        <f>"0012453366"</f>
        <v>0012453366</v>
      </c>
    </row>
    <row r="2253" spans="1:8" x14ac:dyDescent="0.25">
      <c r="E2253" t="str">
        <f>"C60202004296628"</f>
        <v>C60202004296628</v>
      </c>
      <c r="F2253" t="str">
        <f>"00130730762012V300"</f>
        <v>00130730762012V300</v>
      </c>
      <c r="G2253" s="5">
        <v>399.32</v>
      </c>
      <c r="H2253" t="str">
        <f>"00130730762012V300"</f>
        <v>00130730762012V300</v>
      </c>
    </row>
    <row r="2254" spans="1:8" x14ac:dyDescent="0.25">
      <c r="E2254" t="str">
        <f>"C62202004296628"</f>
        <v>C62202004296628</v>
      </c>
      <c r="F2254" t="str">
        <f>"# 0012128865"</f>
        <v># 0012128865</v>
      </c>
      <c r="G2254" s="5">
        <v>243.23</v>
      </c>
      <c r="H2254" t="str">
        <f>"# 0012128865"</f>
        <v># 0012128865</v>
      </c>
    </row>
    <row r="2255" spans="1:8" x14ac:dyDescent="0.25">
      <c r="E2255" t="str">
        <f>"C66202004296628"</f>
        <v>C66202004296628</v>
      </c>
      <c r="F2255" t="str">
        <f>"# 0012871801"</f>
        <v># 0012871801</v>
      </c>
      <c r="G2255" s="5">
        <v>90</v>
      </c>
      <c r="H2255" t="str">
        <f>"# 0012871801"</f>
        <v># 0012871801</v>
      </c>
    </row>
    <row r="2256" spans="1:8" x14ac:dyDescent="0.25">
      <c r="E2256" t="str">
        <f>"C67202004296628"</f>
        <v>C67202004296628</v>
      </c>
      <c r="F2256" t="str">
        <f>"13154657"</f>
        <v>13154657</v>
      </c>
      <c r="G2256" s="5">
        <v>101.99</v>
      </c>
      <c r="H2256" t="str">
        <f>"13154657"</f>
        <v>13154657</v>
      </c>
    </row>
    <row r="2257" spans="1:8" x14ac:dyDescent="0.25">
      <c r="E2257" t="str">
        <f>"C69202004296628"</f>
        <v>C69202004296628</v>
      </c>
      <c r="F2257" t="str">
        <f>"0012046911423672"</f>
        <v>0012046911423672</v>
      </c>
      <c r="G2257" s="5">
        <v>187.38</v>
      </c>
      <c r="H2257" t="str">
        <f>"0012046911423672"</f>
        <v>0012046911423672</v>
      </c>
    </row>
    <row r="2258" spans="1:8" x14ac:dyDescent="0.25">
      <c r="E2258" t="str">
        <f>"C70202004296628"</f>
        <v>C70202004296628</v>
      </c>
      <c r="F2258" t="str">
        <f>"00136881334235026"</f>
        <v>00136881334235026</v>
      </c>
      <c r="G2258" s="5">
        <v>195.15</v>
      </c>
      <c r="H2258" t="str">
        <f>"00136881334235026"</f>
        <v>00136881334235026</v>
      </c>
    </row>
    <row r="2259" spans="1:8" x14ac:dyDescent="0.25">
      <c r="E2259" t="str">
        <f>"C71202004296628"</f>
        <v>C71202004296628</v>
      </c>
      <c r="F2259" t="str">
        <f>"00137390532018V215"</f>
        <v>00137390532018V215</v>
      </c>
      <c r="G2259" s="5">
        <v>264</v>
      </c>
      <c r="H2259" t="str">
        <f>"00137390532018V215"</f>
        <v>00137390532018V215</v>
      </c>
    </row>
    <row r="2260" spans="1:8" x14ac:dyDescent="0.25">
      <c r="E2260" t="str">
        <f>"C72202004296628"</f>
        <v>C72202004296628</v>
      </c>
      <c r="F2260" t="str">
        <f>"0012797601C20130529B"</f>
        <v>0012797601C20130529B</v>
      </c>
      <c r="G2260" s="5">
        <v>241.85</v>
      </c>
      <c r="H2260" t="str">
        <f>"0012797601C20130529B"</f>
        <v>0012797601C20130529B</v>
      </c>
    </row>
    <row r="2261" spans="1:8" x14ac:dyDescent="0.25">
      <c r="E2261" t="str">
        <f>"C78202004296628"</f>
        <v>C78202004296628</v>
      </c>
      <c r="F2261" t="str">
        <f>"00105115972005106221"</f>
        <v>00105115972005106221</v>
      </c>
      <c r="G2261" s="5">
        <v>144.68</v>
      </c>
      <c r="H2261" t="str">
        <f>"00105115972005106221"</f>
        <v>00105115972005106221</v>
      </c>
    </row>
    <row r="2262" spans="1:8" x14ac:dyDescent="0.25">
      <c r="E2262" t="str">
        <f>"C82202004296628"</f>
        <v>C82202004296628</v>
      </c>
      <c r="F2262" t="str">
        <f>"0009476377203172B"</f>
        <v>0009476377203172B</v>
      </c>
      <c r="G2262" s="5">
        <v>46.15</v>
      </c>
      <c r="H2262" t="str">
        <f>"0009476377203172B"</f>
        <v>0009476377203172B</v>
      </c>
    </row>
    <row r="2263" spans="1:8" x14ac:dyDescent="0.25">
      <c r="E2263" t="str">
        <f>"C83202004296628"</f>
        <v>C83202004296628</v>
      </c>
      <c r="F2263" t="str">
        <f>"0013096953150533"</f>
        <v>0013096953150533</v>
      </c>
      <c r="G2263" s="5">
        <v>346.15</v>
      </c>
      <c r="H2263" t="str">
        <f>"0013096953150533"</f>
        <v>0013096953150533</v>
      </c>
    </row>
    <row r="2264" spans="1:8" x14ac:dyDescent="0.25">
      <c r="E2264" t="str">
        <f>"C84202004296628"</f>
        <v>C84202004296628</v>
      </c>
      <c r="F2264" t="str">
        <f>"00128499834232566"</f>
        <v>00128499834232566</v>
      </c>
      <c r="G2264" s="5">
        <v>439.94</v>
      </c>
      <c r="H2264" t="str">
        <f>"00128499834232566"</f>
        <v>00128499834232566</v>
      </c>
    </row>
    <row r="2265" spans="1:8" x14ac:dyDescent="0.25">
      <c r="E2265" t="str">
        <f>"C85202004296628"</f>
        <v>C85202004296628</v>
      </c>
      <c r="F2265" t="str">
        <f>"0012469425201770874"</f>
        <v>0012469425201770874</v>
      </c>
      <c r="G2265" s="5">
        <v>138.46</v>
      </c>
      <c r="H2265" t="str">
        <f>"0012469425201770874"</f>
        <v>0012469425201770874</v>
      </c>
    </row>
    <row r="2266" spans="1:8" x14ac:dyDescent="0.25">
      <c r="E2266" t="str">
        <f>"C86202004296628"</f>
        <v>C86202004296628</v>
      </c>
      <c r="F2266" t="str">
        <f>"0013854015101285F"</f>
        <v>0013854015101285F</v>
      </c>
      <c r="G2266" s="5">
        <v>241.85</v>
      </c>
      <c r="H2266" t="str">
        <f>"0013854015101285F"</f>
        <v>0013854015101285F</v>
      </c>
    </row>
    <row r="2267" spans="1:8" x14ac:dyDescent="0.25">
      <c r="E2267" t="str">
        <f>"C87202004296628"</f>
        <v>C87202004296628</v>
      </c>
      <c r="F2267" t="str">
        <f>"0012963634L130019CVB"</f>
        <v>0012963634L130019CVB</v>
      </c>
      <c r="G2267" s="5">
        <v>318.45999999999998</v>
      </c>
      <c r="H2267" t="str">
        <f>"0012963634L130019CVB"</f>
        <v>0012963634L130019CVB</v>
      </c>
    </row>
    <row r="2268" spans="1:8" x14ac:dyDescent="0.25">
      <c r="A2268" t="s">
        <v>313</v>
      </c>
      <c r="B2268">
        <v>514</v>
      </c>
      <c r="C2268" s="5">
        <v>5221.78</v>
      </c>
      <c r="D2268" s="1">
        <v>43966</v>
      </c>
      <c r="E2268" t="str">
        <f>"C18202005126840"</f>
        <v>C18202005126840</v>
      </c>
      <c r="F2268" t="str">
        <f>"CAUSE# 0011635329"</f>
        <v>CAUSE# 0011635329</v>
      </c>
      <c r="G2268" s="5">
        <v>603.23</v>
      </c>
      <c r="H2268" t="str">
        <f>"CAUSE# 0011635329"</f>
        <v>CAUSE# 0011635329</v>
      </c>
    </row>
    <row r="2269" spans="1:8" x14ac:dyDescent="0.25">
      <c r="E2269" t="str">
        <f>"C2 202005126840"</f>
        <v>C2 202005126840</v>
      </c>
      <c r="F2269" t="str">
        <f>"0012982132CCL7445"</f>
        <v>0012982132CCL7445</v>
      </c>
      <c r="G2269" s="5">
        <v>692.31</v>
      </c>
      <c r="H2269" t="str">
        <f>"0012982132CCL7445"</f>
        <v>0012982132CCL7445</v>
      </c>
    </row>
    <row r="2270" spans="1:8" x14ac:dyDescent="0.25">
      <c r="E2270" t="str">
        <f>"C20202005126839"</f>
        <v>C20202005126839</v>
      </c>
      <c r="F2270" t="str">
        <f>"001003981107-12252"</f>
        <v>001003981107-12252</v>
      </c>
      <c r="G2270" s="5">
        <v>115.39</v>
      </c>
      <c r="H2270" t="str">
        <f>"001003981107-12252"</f>
        <v>001003981107-12252</v>
      </c>
    </row>
    <row r="2271" spans="1:8" x14ac:dyDescent="0.25">
      <c r="E2271" t="str">
        <f>"C42202005126839"</f>
        <v>C42202005126839</v>
      </c>
      <c r="F2271" t="str">
        <f>"001236769211-14410"</f>
        <v>001236769211-14410</v>
      </c>
      <c r="G2271" s="5">
        <v>230.31</v>
      </c>
      <c r="H2271" t="str">
        <f>"001236769211-14410"</f>
        <v>001236769211-14410</v>
      </c>
    </row>
    <row r="2272" spans="1:8" x14ac:dyDescent="0.25">
      <c r="E2272" t="str">
        <f>"C46202005126839"</f>
        <v>C46202005126839</v>
      </c>
      <c r="F2272" t="str">
        <f>"CAUSE# 11-14911"</f>
        <v>CAUSE# 11-14911</v>
      </c>
      <c r="G2272" s="5">
        <v>238.62</v>
      </c>
      <c r="H2272" t="str">
        <f>"CAUSE# 11-14911"</f>
        <v>CAUSE# 11-14911</v>
      </c>
    </row>
    <row r="2273" spans="1:8" x14ac:dyDescent="0.25">
      <c r="E2273" t="str">
        <f>"C53202005126839"</f>
        <v>C53202005126839</v>
      </c>
      <c r="F2273" t="str">
        <f>"0012453366"</f>
        <v>0012453366</v>
      </c>
      <c r="G2273" s="5">
        <v>138.46</v>
      </c>
      <c r="H2273" t="str">
        <f>"0012453366"</f>
        <v>0012453366</v>
      </c>
    </row>
    <row r="2274" spans="1:8" x14ac:dyDescent="0.25">
      <c r="E2274" t="str">
        <f>"C60202005126839"</f>
        <v>C60202005126839</v>
      </c>
      <c r="F2274" t="str">
        <f>"00130730762012V300"</f>
        <v>00130730762012V300</v>
      </c>
      <c r="G2274" s="5">
        <v>399.32</v>
      </c>
      <c r="H2274" t="str">
        <f>"00130730762012V300"</f>
        <v>00130730762012V300</v>
      </c>
    </row>
    <row r="2275" spans="1:8" x14ac:dyDescent="0.25">
      <c r="E2275" t="str">
        <f>"C62202005126839"</f>
        <v>C62202005126839</v>
      </c>
      <c r="F2275" t="str">
        <f>"# 0012128865"</f>
        <v># 0012128865</v>
      </c>
      <c r="G2275" s="5">
        <v>243.23</v>
      </c>
      <c r="H2275" t="str">
        <f>"# 0012128865"</f>
        <v># 0012128865</v>
      </c>
    </row>
    <row r="2276" spans="1:8" x14ac:dyDescent="0.25">
      <c r="E2276" t="str">
        <f>"C66202005126839"</f>
        <v>C66202005126839</v>
      </c>
      <c r="F2276" t="str">
        <f>"# 0012871801"</f>
        <v># 0012871801</v>
      </c>
      <c r="G2276" s="5">
        <v>90</v>
      </c>
      <c r="H2276" t="str">
        <f>"# 0012871801"</f>
        <v># 0012871801</v>
      </c>
    </row>
    <row r="2277" spans="1:8" x14ac:dyDescent="0.25">
      <c r="E2277" t="str">
        <f>"C67202005126839"</f>
        <v>C67202005126839</v>
      </c>
      <c r="F2277" t="str">
        <f>"13154657"</f>
        <v>13154657</v>
      </c>
      <c r="G2277" s="5">
        <v>101.99</v>
      </c>
      <c r="H2277" t="str">
        <f>"13154657"</f>
        <v>13154657</v>
      </c>
    </row>
    <row r="2278" spans="1:8" x14ac:dyDescent="0.25">
      <c r="E2278" t="str">
        <f>"C69202005126839"</f>
        <v>C69202005126839</v>
      </c>
      <c r="F2278" t="str">
        <f>"0012046911423672"</f>
        <v>0012046911423672</v>
      </c>
      <c r="G2278" s="5">
        <v>187.38</v>
      </c>
      <c r="H2278" t="str">
        <f>"0012046911423672"</f>
        <v>0012046911423672</v>
      </c>
    </row>
    <row r="2279" spans="1:8" x14ac:dyDescent="0.25">
      <c r="E2279" t="str">
        <f>"C71202005126839"</f>
        <v>C71202005126839</v>
      </c>
      <c r="F2279" t="str">
        <f>"00137390532018V215"</f>
        <v>00137390532018V215</v>
      </c>
      <c r="G2279" s="5">
        <v>264</v>
      </c>
      <c r="H2279" t="str">
        <f>"00137390532018V215"</f>
        <v>00137390532018V215</v>
      </c>
    </row>
    <row r="2280" spans="1:8" x14ac:dyDescent="0.25">
      <c r="E2280" t="str">
        <f>"C72202005126839"</f>
        <v>C72202005126839</v>
      </c>
      <c r="F2280" t="str">
        <f>"0012797601C20130529B"</f>
        <v>0012797601C20130529B</v>
      </c>
      <c r="G2280" s="5">
        <v>241.85</v>
      </c>
      <c r="H2280" t="str">
        <f>"0012797601C20130529B"</f>
        <v>0012797601C20130529B</v>
      </c>
    </row>
    <row r="2281" spans="1:8" x14ac:dyDescent="0.25">
      <c r="E2281" t="str">
        <f>"C78202005126839"</f>
        <v>C78202005126839</v>
      </c>
      <c r="F2281" t="str">
        <f>"00105115972005106221"</f>
        <v>00105115972005106221</v>
      </c>
      <c r="G2281" s="5">
        <v>144.68</v>
      </c>
      <c r="H2281" t="str">
        <f>"00105115972005106221"</f>
        <v>00105115972005106221</v>
      </c>
    </row>
    <row r="2282" spans="1:8" x14ac:dyDescent="0.25">
      <c r="E2282" t="str">
        <f>"C82202005126839"</f>
        <v>C82202005126839</v>
      </c>
      <c r="F2282" t="str">
        <f>"0009476377203172B"</f>
        <v>0009476377203172B</v>
      </c>
      <c r="G2282" s="5">
        <v>46.15</v>
      </c>
      <c r="H2282" t="str">
        <f>"0009476377203172B"</f>
        <v>0009476377203172B</v>
      </c>
    </row>
    <row r="2283" spans="1:8" x14ac:dyDescent="0.25">
      <c r="E2283" t="str">
        <f>"C83202005126839"</f>
        <v>C83202005126839</v>
      </c>
      <c r="F2283" t="str">
        <f>"0013096953150533"</f>
        <v>0013096953150533</v>
      </c>
      <c r="G2283" s="5">
        <v>346.15</v>
      </c>
      <c r="H2283" t="str">
        <f>"0013096953150533"</f>
        <v>0013096953150533</v>
      </c>
    </row>
    <row r="2284" spans="1:8" x14ac:dyDescent="0.25">
      <c r="E2284" t="str">
        <f>"C84202005126839"</f>
        <v>C84202005126839</v>
      </c>
      <c r="F2284" t="str">
        <f>"00128499834232566"</f>
        <v>00128499834232566</v>
      </c>
      <c r="G2284" s="5">
        <v>439.94</v>
      </c>
      <c r="H2284" t="str">
        <f>"00128499834232566"</f>
        <v>00128499834232566</v>
      </c>
    </row>
    <row r="2285" spans="1:8" x14ac:dyDescent="0.25">
      <c r="E2285" t="str">
        <f>"C85202005126839"</f>
        <v>C85202005126839</v>
      </c>
      <c r="F2285" t="str">
        <f>"0012469425201770874"</f>
        <v>0012469425201770874</v>
      </c>
      <c r="G2285" s="5">
        <v>138.46</v>
      </c>
      <c r="H2285" t="str">
        <f>"0012469425201770874"</f>
        <v>0012469425201770874</v>
      </c>
    </row>
    <row r="2286" spans="1:8" x14ac:dyDescent="0.25">
      <c r="E2286" t="str">
        <f>"C86202005126839"</f>
        <v>C86202005126839</v>
      </c>
      <c r="F2286" t="str">
        <f>"0013854015101285F"</f>
        <v>0013854015101285F</v>
      </c>
      <c r="G2286" s="5">
        <v>241.85</v>
      </c>
      <c r="H2286" t="str">
        <f>"0013854015101285F"</f>
        <v>0013854015101285F</v>
      </c>
    </row>
    <row r="2287" spans="1:8" x14ac:dyDescent="0.25">
      <c r="E2287" t="str">
        <f>"C87202005126839"</f>
        <v>C87202005126839</v>
      </c>
      <c r="F2287" t="str">
        <f>"0012963634L130019CVB"</f>
        <v>0012963634L130019CVB</v>
      </c>
      <c r="G2287" s="5">
        <v>318.45999999999998</v>
      </c>
      <c r="H2287" t="str">
        <f>"0012963634L130019CVB"</f>
        <v>0012963634L130019CVB</v>
      </c>
    </row>
    <row r="2288" spans="1:8" x14ac:dyDescent="0.25">
      <c r="A2288" t="s">
        <v>313</v>
      </c>
      <c r="B2288">
        <v>539</v>
      </c>
      <c r="C2288" s="5">
        <v>5175.63</v>
      </c>
      <c r="D2288" s="1">
        <v>43980</v>
      </c>
      <c r="E2288" t="str">
        <f>"C18202005267010"</f>
        <v>C18202005267010</v>
      </c>
      <c r="F2288" t="str">
        <f>"CAUSE# 0011635329"</f>
        <v>CAUSE# 0011635329</v>
      </c>
      <c r="G2288" s="5">
        <v>603.23</v>
      </c>
      <c r="H2288" t="str">
        <f>"CAUSE# 0011635329"</f>
        <v>CAUSE# 0011635329</v>
      </c>
    </row>
    <row r="2289" spans="5:8" x14ac:dyDescent="0.25">
      <c r="E2289" t="str">
        <f>"C2 202005267010"</f>
        <v>C2 202005267010</v>
      </c>
      <c r="F2289" t="str">
        <f>"0012982132CCL7445"</f>
        <v>0012982132CCL7445</v>
      </c>
      <c r="G2289" s="5">
        <v>692.31</v>
      </c>
      <c r="H2289" t="str">
        <f>"0012982132CCL7445"</f>
        <v>0012982132CCL7445</v>
      </c>
    </row>
    <row r="2290" spans="5:8" x14ac:dyDescent="0.25">
      <c r="E2290" t="str">
        <f>"C20202005267009"</f>
        <v>C20202005267009</v>
      </c>
      <c r="F2290" t="str">
        <f>"001003981107-12252"</f>
        <v>001003981107-12252</v>
      </c>
      <c r="G2290" s="5">
        <v>115.39</v>
      </c>
      <c r="H2290" t="str">
        <f>"001003981107-12252"</f>
        <v>001003981107-12252</v>
      </c>
    </row>
    <row r="2291" spans="5:8" x14ac:dyDescent="0.25">
      <c r="E2291" t="str">
        <f>"C42202005267009"</f>
        <v>C42202005267009</v>
      </c>
      <c r="F2291" t="str">
        <f>"001236769211-14410"</f>
        <v>001236769211-14410</v>
      </c>
      <c r="G2291" s="5">
        <v>230.31</v>
      </c>
      <c r="H2291" t="str">
        <f>"001236769211-14410"</f>
        <v>001236769211-14410</v>
      </c>
    </row>
    <row r="2292" spans="5:8" x14ac:dyDescent="0.25">
      <c r="E2292" t="str">
        <f>"C46202005267009"</f>
        <v>C46202005267009</v>
      </c>
      <c r="F2292" t="str">
        <f>"CAUSE# 11-14911"</f>
        <v>CAUSE# 11-14911</v>
      </c>
      <c r="G2292" s="5">
        <v>238.62</v>
      </c>
      <c r="H2292" t="str">
        <f>"CAUSE# 11-14911"</f>
        <v>CAUSE# 11-14911</v>
      </c>
    </row>
    <row r="2293" spans="5:8" x14ac:dyDescent="0.25">
      <c r="E2293" t="str">
        <f>"C53202005267009"</f>
        <v>C53202005267009</v>
      </c>
      <c r="F2293" t="str">
        <f>"0012453366"</f>
        <v>0012453366</v>
      </c>
      <c r="G2293" s="5">
        <v>138.46</v>
      </c>
      <c r="H2293" t="str">
        <f>"0012453366"</f>
        <v>0012453366</v>
      </c>
    </row>
    <row r="2294" spans="5:8" x14ac:dyDescent="0.25">
      <c r="E2294" t="str">
        <f>"C60202005267009"</f>
        <v>C60202005267009</v>
      </c>
      <c r="F2294" t="str">
        <f>"00130730762012V300"</f>
        <v>00130730762012V300</v>
      </c>
      <c r="G2294" s="5">
        <v>399.32</v>
      </c>
      <c r="H2294" t="str">
        <f>"00130730762012V300"</f>
        <v>00130730762012V300</v>
      </c>
    </row>
    <row r="2295" spans="5:8" x14ac:dyDescent="0.25">
      <c r="E2295" t="str">
        <f>"C62202005267009"</f>
        <v>C62202005267009</v>
      </c>
      <c r="F2295" t="str">
        <f>"# 0012128865"</f>
        <v># 0012128865</v>
      </c>
      <c r="G2295" s="5">
        <v>243.23</v>
      </c>
      <c r="H2295" t="str">
        <f>"# 0012128865"</f>
        <v># 0012128865</v>
      </c>
    </row>
    <row r="2296" spans="5:8" x14ac:dyDescent="0.25">
      <c r="E2296" t="str">
        <f>"C66202005267009"</f>
        <v>C66202005267009</v>
      </c>
      <c r="F2296" t="str">
        <f>"# 0012871801"</f>
        <v># 0012871801</v>
      </c>
      <c r="G2296" s="5">
        <v>90</v>
      </c>
      <c r="H2296" t="str">
        <f>"# 0012871801"</f>
        <v># 0012871801</v>
      </c>
    </row>
    <row r="2297" spans="5:8" x14ac:dyDescent="0.25">
      <c r="E2297" t="str">
        <f>"C67202005267009"</f>
        <v>C67202005267009</v>
      </c>
      <c r="F2297" t="str">
        <f>"13154657"</f>
        <v>13154657</v>
      </c>
      <c r="G2297" s="5">
        <v>101.99</v>
      </c>
      <c r="H2297" t="str">
        <f>"13154657"</f>
        <v>13154657</v>
      </c>
    </row>
    <row r="2298" spans="5:8" x14ac:dyDescent="0.25">
      <c r="E2298" t="str">
        <f>"C69202005267009"</f>
        <v>C69202005267009</v>
      </c>
      <c r="F2298" t="str">
        <f>"0012046911423672"</f>
        <v>0012046911423672</v>
      </c>
      <c r="G2298" s="5">
        <v>187.38</v>
      </c>
      <c r="H2298" t="str">
        <f>"0012046911423672"</f>
        <v>0012046911423672</v>
      </c>
    </row>
    <row r="2299" spans="5:8" x14ac:dyDescent="0.25">
      <c r="E2299" t="str">
        <f>"C71202005267009"</f>
        <v>C71202005267009</v>
      </c>
      <c r="F2299" t="str">
        <f>"00137390532018V215"</f>
        <v>00137390532018V215</v>
      </c>
      <c r="G2299" s="5">
        <v>264</v>
      </c>
      <c r="H2299" t="str">
        <f>"00137390532018V215"</f>
        <v>00137390532018V215</v>
      </c>
    </row>
    <row r="2300" spans="5:8" x14ac:dyDescent="0.25">
      <c r="E2300" t="str">
        <f>"C72202005267009"</f>
        <v>C72202005267009</v>
      </c>
      <c r="F2300" t="str">
        <f>"0012797601C20130529B"</f>
        <v>0012797601C20130529B</v>
      </c>
      <c r="G2300" s="5">
        <v>241.85</v>
      </c>
      <c r="H2300" t="str">
        <f>"0012797601C20130529B"</f>
        <v>0012797601C20130529B</v>
      </c>
    </row>
    <row r="2301" spans="5:8" x14ac:dyDescent="0.25">
      <c r="E2301" t="str">
        <f>"C78202005267009"</f>
        <v>C78202005267009</v>
      </c>
      <c r="F2301" t="str">
        <f>"00105115972005106221"</f>
        <v>00105115972005106221</v>
      </c>
      <c r="G2301" s="5">
        <v>144.68</v>
      </c>
      <c r="H2301" t="str">
        <f>"00105115972005106221"</f>
        <v>00105115972005106221</v>
      </c>
    </row>
    <row r="2302" spans="5:8" x14ac:dyDescent="0.25">
      <c r="E2302" t="str">
        <f>"C83202005267009"</f>
        <v>C83202005267009</v>
      </c>
      <c r="F2302" t="str">
        <f>"0013096953150533"</f>
        <v>0013096953150533</v>
      </c>
      <c r="G2302" s="5">
        <v>346.15</v>
      </c>
      <c r="H2302" t="str">
        <f>"0013096953150533"</f>
        <v>0013096953150533</v>
      </c>
    </row>
    <row r="2303" spans="5:8" x14ac:dyDescent="0.25">
      <c r="E2303" t="str">
        <f>"C84202005267009"</f>
        <v>C84202005267009</v>
      </c>
      <c r="F2303" t="str">
        <f>"00128499834232566"</f>
        <v>00128499834232566</v>
      </c>
      <c r="G2303" s="5">
        <v>439.94</v>
      </c>
      <c r="H2303" t="str">
        <f>"00128499834232566"</f>
        <v>00128499834232566</v>
      </c>
    </row>
    <row r="2304" spans="5:8" x14ac:dyDescent="0.25">
      <c r="E2304" t="str">
        <f>"C85202005267009"</f>
        <v>C85202005267009</v>
      </c>
      <c r="F2304" t="str">
        <f>"0012469425201770874"</f>
        <v>0012469425201770874</v>
      </c>
      <c r="G2304" s="5">
        <v>138.46</v>
      </c>
      <c r="H2304" t="str">
        <f>"0012469425201770874"</f>
        <v>0012469425201770874</v>
      </c>
    </row>
    <row r="2305" spans="1:8" x14ac:dyDescent="0.25">
      <c r="E2305" t="str">
        <f>"C86202005267009"</f>
        <v>C86202005267009</v>
      </c>
      <c r="F2305" t="str">
        <f>"0013854015101285F"</f>
        <v>0013854015101285F</v>
      </c>
      <c r="G2305" s="5">
        <v>241.85</v>
      </c>
      <c r="H2305" t="str">
        <f>"0013854015101285F"</f>
        <v>0013854015101285F</v>
      </c>
    </row>
    <row r="2306" spans="1:8" x14ac:dyDescent="0.25">
      <c r="E2306" t="str">
        <f>"C87202005267009"</f>
        <v>C87202005267009</v>
      </c>
      <c r="F2306" t="str">
        <f>"0012963634L130019CVB"</f>
        <v>0012963634L130019CVB</v>
      </c>
      <c r="G2306" s="5">
        <v>318.45999999999998</v>
      </c>
      <c r="H2306" t="str">
        <f>"0012963634L130019CVB"</f>
        <v>0012963634L130019CVB</v>
      </c>
    </row>
    <row r="2307" spans="1:8" x14ac:dyDescent="0.25">
      <c r="A2307" t="s">
        <v>314</v>
      </c>
      <c r="B2307">
        <v>540</v>
      </c>
      <c r="C2307" s="5">
        <v>564930</v>
      </c>
      <c r="D2307" s="1">
        <v>43980</v>
      </c>
      <c r="E2307" t="str">
        <f>"RET202005136842"</f>
        <v>RET202005136842</v>
      </c>
      <c r="F2307" t="str">
        <f>"TEXAS COUNTY &amp; DISTRICT RET"</f>
        <v>TEXAS COUNTY &amp; DISTRICT RET</v>
      </c>
      <c r="G2307" s="5">
        <v>-42.57</v>
      </c>
      <c r="H2307" t="str">
        <f t="shared" ref="H2307:H2338" si="54">"TEXAS COUNTY &amp; DISTRICT RET"</f>
        <v>TEXAS COUNTY &amp; DISTRICT RET</v>
      </c>
    </row>
    <row r="2308" spans="1:8" x14ac:dyDescent="0.25">
      <c r="E2308" t="str">
        <f>""</f>
        <v/>
      </c>
      <c r="F2308" t="str">
        <f>""</f>
        <v/>
      </c>
      <c r="H2308" t="str">
        <f t="shared" si="54"/>
        <v>TEXAS COUNTY &amp; DISTRICT RET</v>
      </c>
    </row>
    <row r="2309" spans="1:8" x14ac:dyDescent="0.25">
      <c r="E2309" t="str">
        <f>"RET202004296628"</f>
        <v>RET202004296628</v>
      </c>
      <c r="F2309" t="str">
        <f>"TEXAS COUNTY &amp; DISTRICT RET"</f>
        <v>TEXAS COUNTY &amp; DISTRICT RET</v>
      </c>
      <c r="G2309" s="5">
        <v>175002.07</v>
      </c>
      <c r="H2309" t="str">
        <f t="shared" si="54"/>
        <v>TEXAS COUNTY &amp; DISTRICT RET</v>
      </c>
    </row>
    <row r="2310" spans="1:8" x14ac:dyDescent="0.25">
      <c r="E2310" t="str">
        <f>""</f>
        <v/>
      </c>
      <c r="F2310" t="str">
        <f>""</f>
        <v/>
      </c>
      <c r="H2310" t="str">
        <f t="shared" si="54"/>
        <v>TEXAS COUNTY &amp; DISTRICT RET</v>
      </c>
    </row>
    <row r="2311" spans="1:8" x14ac:dyDescent="0.25">
      <c r="E2311" t="str">
        <f>""</f>
        <v/>
      </c>
      <c r="F2311" t="str">
        <f>""</f>
        <v/>
      </c>
      <c r="H2311" t="str">
        <f t="shared" si="54"/>
        <v>TEXAS COUNTY &amp; DISTRICT RET</v>
      </c>
    </row>
    <row r="2312" spans="1:8" x14ac:dyDescent="0.25">
      <c r="E2312" t="str">
        <f>""</f>
        <v/>
      </c>
      <c r="F2312" t="str">
        <f>""</f>
        <v/>
      </c>
      <c r="H2312" t="str">
        <f t="shared" si="54"/>
        <v>TEXAS COUNTY &amp; DISTRICT RET</v>
      </c>
    </row>
    <row r="2313" spans="1:8" x14ac:dyDescent="0.25">
      <c r="E2313" t="str">
        <f>""</f>
        <v/>
      </c>
      <c r="F2313" t="str">
        <f>""</f>
        <v/>
      </c>
      <c r="H2313" t="str">
        <f t="shared" si="54"/>
        <v>TEXAS COUNTY &amp; DISTRICT RET</v>
      </c>
    </row>
    <row r="2314" spans="1:8" x14ac:dyDescent="0.25">
      <c r="E2314" t="str">
        <f>""</f>
        <v/>
      </c>
      <c r="F2314" t="str">
        <f>""</f>
        <v/>
      </c>
      <c r="H2314" t="str">
        <f t="shared" si="54"/>
        <v>TEXAS COUNTY &amp; DISTRICT RET</v>
      </c>
    </row>
    <row r="2315" spans="1:8" x14ac:dyDescent="0.25">
      <c r="E2315" t="str">
        <f>""</f>
        <v/>
      </c>
      <c r="F2315" t="str">
        <f>""</f>
        <v/>
      </c>
      <c r="H2315" t="str">
        <f t="shared" si="54"/>
        <v>TEXAS COUNTY &amp; DISTRICT RET</v>
      </c>
    </row>
    <row r="2316" spans="1:8" x14ac:dyDescent="0.25">
      <c r="E2316" t="str">
        <f>""</f>
        <v/>
      </c>
      <c r="F2316" t="str">
        <f>""</f>
        <v/>
      </c>
      <c r="H2316" t="str">
        <f t="shared" si="54"/>
        <v>TEXAS COUNTY &amp; DISTRICT RET</v>
      </c>
    </row>
    <row r="2317" spans="1:8" x14ac:dyDescent="0.25">
      <c r="E2317" t="str">
        <f>""</f>
        <v/>
      </c>
      <c r="F2317" t="str">
        <f>""</f>
        <v/>
      </c>
      <c r="H2317" t="str">
        <f t="shared" si="54"/>
        <v>TEXAS COUNTY &amp; DISTRICT RET</v>
      </c>
    </row>
    <row r="2318" spans="1:8" x14ac:dyDescent="0.25">
      <c r="E2318" t="str">
        <f>""</f>
        <v/>
      </c>
      <c r="F2318" t="str">
        <f>""</f>
        <v/>
      </c>
      <c r="H2318" t="str">
        <f t="shared" si="54"/>
        <v>TEXAS COUNTY &amp; DISTRICT RET</v>
      </c>
    </row>
    <row r="2319" spans="1:8" x14ac:dyDescent="0.25">
      <c r="E2319" t="str">
        <f>""</f>
        <v/>
      </c>
      <c r="F2319" t="str">
        <f>""</f>
        <v/>
      </c>
      <c r="H2319" t="str">
        <f t="shared" si="54"/>
        <v>TEXAS COUNTY &amp; DISTRICT RET</v>
      </c>
    </row>
    <row r="2320" spans="1:8" x14ac:dyDescent="0.25">
      <c r="E2320" t="str">
        <f>""</f>
        <v/>
      </c>
      <c r="F2320" t="str">
        <f>""</f>
        <v/>
      </c>
      <c r="H2320" t="str">
        <f t="shared" si="54"/>
        <v>TEXAS COUNTY &amp; DISTRICT RET</v>
      </c>
    </row>
    <row r="2321" spans="5:8" x14ac:dyDescent="0.25">
      <c r="E2321" t="str">
        <f>""</f>
        <v/>
      </c>
      <c r="F2321" t="str">
        <f>""</f>
        <v/>
      </c>
      <c r="H2321" t="str">
        <f t="shared" si="54"/>
        <v>TEXAS COUNTY &amp; DISTRICT RET</v>
      </c>
    </row>
    <row r="2322" spans="5:8" x14ac:dyDescent="0.25">
      <c r="E2322" t="str">
        <f>""</f>
        <v/>
      </c>
      <c r="F2322" t="str">
        <f>""</f>
        <v/>
      </c>
      <c r="H2322" t="str">
        <f t="shared" si="54"/>
        <v>TEXAS COUNTY &amp; DISTRICT RET</v>
      </c>
    </row>
    <row r="2323" spans="5:8" x14ac:dyDescent="0.25">
      <c r="E2323" t="str">
        <f>""</f>
        <v/>
      </c>
      <c r="F2323" t="str">
        <f>""</f>
        <v/>
      </c>
      <c r="H2323" t="str">
        <f t="shared" si="54"/>
        <v>TEXAS COUNTY &amp; DISTRICT RET</v>
      </c>
    </row>
    <row r="2324" spans="5:8" x14ac:dyDescent="0.25">
      <c r="E2324" t="str">
        <f>""</f>
        <v/>
      </c>
      <c r="F2324" t="str">
        <f>""</f>
        <v/>
      </c>
      <c r="H2324" t="str">
        <f t="shared" si="54"/>
        <v>TEXAS COUNTY &amp; DISTRICT RET</v>
      </c>
    </row>
    <row r="2325" spans="5:8" x14ac:dyDescent="0.25">
      <c r="E2325" t="str">
        <f>""</f>
        <v/>
      </c>
      <c r="F2325" t="str">
        <f>""</f>
        <v/>
      </c>
      <c r="H2325" t="str">
        <f t="shared" si="54"/>
        <v>TEXAS COUNTY &amp; DISTRICT RET</v>
      </c>
    </row>
    <row r="2326" spans="5:8" x14ac:dyDescent="0.25">
      <c r="E2326" t="str">
        <f>""</f>
        <v/>
      </c>
      <c r="F2326" t="str">
        <f>""</f>
        <v/>
      </c>
      <c r="H2326" t="str">
        <f t="shared" si="54"/>
        <v>TEXAS COUNTY &amp; DISTRICT RET</v>
      </c>
    </row>
    <row r="2327" spans="5:8" x14ac:dyDescent="0.25">
      <c r="E2327" t="str">
        <f>""</f>
        <v/>
      </c>
      <c r="F2327" t="str">
        <f>""</f>
        <v/>
      </c>
      <c r="H2327" t="str">
        <f t="shared" si="54"/>
        <v>TEXAS COUNTY &amp; DISTRICT RET</v>
      </c>
    </row>
    <row r="2328" spans="5:8" x14ac:dyDescent="0.25">
      <c r="E2328" t="str">
        <f>""</f>
        <v/>
      </c>
      <c r="F2328" t="str">
        <f>""</f>
        <v/>
      </c>
      <c r="H2328" t="str">
        <f t="shared" si="54"/>
        <v>TEXAS COUNTY &amp; DISTRICT RET</v>
      </c>
    </row>
    <row r="2329" spans="5:8" x14ac:dyDescent="0.25">
      <c r="E2329" t="str">
        <f>""</f>
        <v/>
      </c>
      <c r="F2329" t="str">
        <f>""</f>
        <v/>
      </c>
      <c r="H2329" t="str">
        <f t="shared" si="54"/>
        <v>TEXAS COUNTY &amp; DISTRICT RET</v>
      </c>
    </row>
    <row r="2330" spans="5:8" x14ac:dyDescent="0.25">
      <c r="E2330" t="str">
        <f>""</f>
        <v/>
      </c>
      <c r="F2330" t="str">
        <f>""</f>
        <v/>
      </c>
      <c r="H2330" t="str">
        <f t="shared" si="54"/>
        <v>TEXAS COUNTY &amp; DISTRICT RET</v>
      </c>
    </row>
    <row r="2331" spans="5:8" x14ac:dyDescent="0.25">
      <c r="E2331" t="str">
        <f>""</f>
        <v/>
      </c>
      <c r="F2331" t="str">
        <f>""</f>
        <v/>
      </c>
      <c r="H2331" t="str">
        <f t="shared" si="54"/>
        <v>TEXAS COUNTY &amp; DISTRICT RET</v>
      </c>
    </row>
    <row r="2332" spans="5:8" x14ac:dyDescent="0.25">
      <c r="E2332" t="str">
        <f>""</f>
        <v/>
      </c>
      <c r="F2332" t="str">
        <f>""</f>
        <v/>
      </c>
      <c r="H2332" t="str">
        <f t="shared" si="54"/>
        <v>TEXAS COUNTY &amp; DISTRICT RET</v>
      </c>
    </row>
    <row r="2333" spans="5:8" x14ac:dyDescent="0.25">
      <c r="E2333" t="str">
        <f>""</f>
        <v/>
      </c>
      <c r="F2333" t="str">
        <f>""</f>
        <v/>
      </c>
      <c r="H2333" t="str">
        <f t="shared" si="54"/>
        <v>TEXAS COUNTY &amp; DISTRICT RET</v>
      </c>
    </row>
    <row r="2334" spans="5:8" x14ac:dyDescent="0.25">
      <c r="E2334" t="str">
        <f>""</f>
        <v/>
      </c>
      <c r="F2334" t="str">
        <f>""</f>
        <v/>
      </c>
      <c r="H2334" t="str">
        <f t="shared" si="54"/>
        <v>TEXAS COUNTY &amp; DISTRICT RET</v>
      </c>
    </row>
    <row r="2335" spans="5:8" x14ac:dyDescent="0.25">
      <c r="E2335" t="str">
        <f>""</f>
        <v/>
      </c>
      <c r="F2335" t="str">
        <f>""</f>
        <v/>
      </c>
      <c r="H2335" t="str">
        <f t="shared" si="54"/>
        <v>TEXAS COUNTY &amp; DISTRICT RET</v>
      </c>
    </row>
    <row r="2336" spans="5:8" x14ac:dyDescent="0.25">
      <c r="E2336" t="str">
        <f>""</f>
        <v/>
      </c>
      <c r="F2336" t="str">
        <f>""</f>
        <v/>
      </c>
      <c r="H2336" t="str">
        <f t="shared" si="54"/>
        <v>TEXAS COUNTY &amp; DISTRICT RET</v>
      </c>
    </row>
    <row r="2337" spans="5:8" x14ac:dyDescent="0.25">
      <c r="E2337" t="str">
        <f>""</f>
        <v/>
      </c>
      <c r="F2337" t="str">
        <f>""</f>
        <v/>
      </c>
      <c r="H2337" t="str">
        <f t="shared" si="54"/>
        <v>TEXAS COUNTY &amp; DISTRICT RET</v>
      </c>
    </row>
    <row r="2338" spans="5:8" x14ac:dyDescent="0.25">
      <c r="E2338" t="str">
        <f>""</f>
        <v/>
      </c>
      <c r="F2338" t="str">
        <f>""</f>
        <v/>
      </c>
      <c r="H2338" t="str">
        <f t="shared" si="54"/>
        <v>TEXAS COUNTY &amp; DISTRICT RET</v>
      </c>
    </row>
    <row r="2339" spans="5:8" x14ac:dyDescent="0.25">
      <c r="E2339" t="str">
        <f>""</f>
        <v/>
      </c>
      <c r="F2339" t="str">
        <f>""</f>
        <v/>
      </c>
      <c r="H2339" t="str">
        <f t="shared" ref="H2339:H2360" si="55">"TEXAS COUNTY &amp; DISTRICT RET"</f>
        <v>TEXAS COUNTY &amp; DISTRICT RET</v>
      </c>
    </row>
    <row r="2340" spans="5:8" x14ac:dyDescent="0.25">
      <c r="E2340" t="str">
        <f>""</f>
        <v/>
      </c>
      <c r="F2340" t="str">
        <f>""</f>
        <v/>
      </c>
      <c r="H2340" t="str">
        <f t="shared" si="55"/>
        <v>TEXAS COUNTY &amp; DISTRICT RET</v>
      </c>
    </row>
    <row r="2341" spans="5:8" x14ac:dyDescent="0.25">
      <c r="E2341" t="str">
        <f>""</f>
        <v/>
      </c>
      <c r="F2341" t="str">
        <f>""</f>
        <v/>
      </c>
      <c r="H2341" t="str">
        <f t="shared" si="55"/>
        <v>TEXAS COUNTY &amp; DISTRICT RET</v>
      </c>
    </row>
    <row r="2342" spans="5:8" x14ac:dyDescent="0.25">
      <c r="E2342" t="str">
        <f>""</f>
        <v/>
      </c>
      <c r="F2342" t="str">
        <f>""</f>
        <v/>
      </c>
      <c r="H2342" t="str">
        <f t="shared" si="55"/>
        <v>TEXAS COUNTY &amp; DISTRICT RET</v>
      </c>
    </row>
    <row r="2343" spans="5:8" x14ac:dyDescent="0.25">
      <c r="E2343" t="str">
        <f>""</f>
        <v/>
      </c>
      <c r="F2343" t="str">
        <f>""</f>
        <v/>
      </c>
      <c r="H2343" t="str">
        <f t="shared" si="55"/>
        <v>TEXAS COUNTY &amp; DISTRICT RET</v>
      </c>
    </row>
    <row r="2344" spans="5:8" x14ac:dyDescent="0.25">
      <c r="E2344" t="str">
        <f>""</f>
        <v/>
      </c>
      <c r="F2344" t="str">
        <f>""</f>
        <v/>
      </c>
      <c r="H2344" t="str">
        <f t="shared" si="55"/>
        <v>TEXAS COUNTY &amp; DISTRICT RET</v>
      </c>
    </row>
    <row r="2345" spans="5:8" x14ac:dyDescent="0.25">
      <c r="E2345" t="str">
        <f>""</f>
        <v/>
      </c>
      <c r="F2345" t="str">
        <f>""</f>
        <v/>
      </c>
      <c r="H2345" t="str">
        <f t="shared" si="55"/>
        <v>TEXAS COUNTY &amp; DISTRICT RET</v>
      </c>
    </row>
    <row r="2346" spans="5:8" x14ac:dyDescent="0.25">
      <c r="E2346" t="str">
        <f>""</f>
        <v/>
      </c>
      <c r="F2346" t="str">
        <f>""</f>
        <v/>
      </c>
      <c r="H2346" t="str">
        <f t="shared" si="55"/>
        <v>TEXAS COUNTY &amp; DISTRICT RET</v>
      </c>
    </row>
    <row r="2347" spans="5:8" x14ac:dyDescent="0.25">
      <c r="E2347" t="str">
        <f>""</f>
        <v/>
      </c>
      <c r="F2347" t="str">
        <f>""</f>
        <v/>
      </c>
      <c r="H2347" t="str">
        <f t="shared" si="55"/>
        <v>TEXAS COUNTY &amp; DISTRICT RET</v>
      </c>
    </row>
    <row r="2348" spans="5:8" x14ac:dyDescent="0.25">
      <c r="E2348" t="str">
        <f>""</f>
        <v/>
      </c>
      <c r="F2348" t="str">
        <f>""</f>
        <v/>
      </c>
      <c r="H2348" t="str">
        <f t="shared" si="55"/>
        <v>TEXAS COUNTY &amp; DISTRICT RET</v>
      </c>
    </row>
    <row r="2349" spans="5:8" x14ac:dyDescent="0.25">
      <c r="E2349" t="str">
        <f>""</f>
        <v/>
      </c>
      <c r="F2349" t="str">
        <f>""</f>
        <v/>
      </c>
      <c r="H2349" t="str">
        <f t="shared" si="55"/>
        <v>TEXAS COUNTY &amp; DISTRICT RET</v>
      </c>
    </row>
    <row r="2350" spans="5:8" x14ac:dyDescent="0.25">
      <c r="E2350" t="str">
        <f>""</f>
        <v/>
      </c>
      <c r="F2350" t="str">
        <f>""</f>
        <v/>
      </c>
      <c r="H2350" t="str">
        <f t="shared" si="55"/>
        <v>TEXAS COUNTY &amp; DISTRICT RET</v>
      </c>
    </row>
    <row r="2351" spans="5:8" x14ac:dyDescent="0.25">
      <c r="E2351" t="str">
        <f>""</f>
        <v/>
      </c>
      <c r="F2351" t="str">
        <f>""</f>
        <v/>
      </c>
      <c r="H2351" t="str">
        <f t="shared" si="55"/>
        <v>TEXAS COUNTY &amp; DISTRICT RET</v>
      </c>
    </row>
    <row r="2352" spans="5:8" x14ac:dyDescent="0.25">
      <c r="E2352" t="str">
        <f>""</f>
        <v/>
      </c>
      <c r="F2352" t="str">
        <f>""</f>
        <v/>
      </c>
      <c r="H2352" t="str">
        <f t="shared" si="55"/>
        <v>TEXAS COUNTY &amp; DISTRICT RET</v>
      </c>
    </row>
    <row r="2353" spans="5:8" x14ac:dyDescent="0.25">
      <c r="E2353" t="str">
        <f>""</f>
        <v/>
      </c>
      <c r="F2353" t="str">
        <f>""</f>
        <v/>
      </c>
      <c r="H2353" t="str">
        <f t="shared" si="55"/>
        <v>TEXAS COUNTY &amp; DISTRICT RET</v>
      </c>
    </row>
    <row r="2354" spans="5:8" x14ac:dyDescent="0.25">
      <c r="E2354" t="str">
        <f>""</f>
        <v/>
      </c>
      <c r="F2354" t="str">
        <f>""</f>
        <v/>
      </c>
      <c r="H2354" t="str">
        <f t="shared" si="55"/>
        <v>TEXAS COUNTY &amp; DISTRICT RET</v>
      </c>
    </row>
    <row r="2355" spans="5:8" x14ac:dyDescent="0.25">
      <c r="E2355" t="str">
        <f>""</f>
        <v/>
      </c>
      <c r="F2355" t="str">
        <f>""</f>
        <v/>
      </c>
      <c r="H2355" t="str">
        <f t="shared" si="55"/>
        <v>TEXAS COUNTY &amp; DISTRICT RET</v>
      </c>
    </row>
    <row r="2356" spans="5:8" x14ac:dyDescent="0.25">
      <c r="E2356" t="str">
        <f>""</f>
        <v/>
      </c>
      <c r="F2356" t="str">
        <f>""</f>
        <v/>
      </c>
      <c r="H2356" t="str">
        <f t="shared" si="55"/>
        <v>TEXAS COUNTY &amp; DISTRICT RET</v>
      </c>
    </row>
    <row r="2357" spans="5:8" x14ac:dyDescent="0.25">
      <c r="E2357" t="str">
        <f>""</f>
        <v/>
      </c>
      <c r="F2357" t="str">
        <f>""</f>
        <v/>
      </c>
      <c r="H2357" t="str">
        <f t="shared" si="55"/>
        <v>TEXAS COUNTY &amp; DISTRICT RET</v>
      </c>
    </row>
    <row r="2358" spans="5:8" x14ac:dyDescent="0.25">
      <c r="E2358" t="str">
        <f>""</f>
        <v/>
      </c>
      <c r="F2358" t="str">
        <f>""</f>
        <v/>
      </c>
      <c r="H2358" t="str">
        <f t="shared" si="55"/>
        <v>TEXAS COUNTY &amp; DISTRICT RET</v>
      </c>
    </row>
    <row r="2359" spans="5:8" x14ac:dyDescent="0.25">
      <c r="E2359" t="str">
        <f>""</f>
        <v/>
      </c>
      <c r="F2359" t="str">
        <f>""</f>
        <v/>
      </c>
      <c r="H2359" t="str">
        <f t="shared" si="55"/>
        <v>TEXAS COUNTY &amp; DISTRICT RET</v>
      </c>
    </row>
    <row r="2360" spans="5:8" x14ac:dyDescent="0.25">
      <c r="E2360" t="str">
        <f>""</f>
        <v/>
      </c>
      <c r="F2360" t="str">
        <f>""</f>
        <v/>
      </c>
      <c r="H2360" t="str">
        <f t="shared" si="55"/>
        <v>TEXAS COUNTY &amp; DISTRICT RET</v>
      </c>
    </row>
    <row r="2361" spans="5:8" x14ac:dyDescent="0.25">
      <c r="E2361" t="str">
        <f>"RET202004296629"</f>
        <v>RET202004296629</v>
      </c>
      <c r="F2361" t="str">
        <f>"TEXAS COUNTY  DISTRICT RET"</f>
        <v>TEXAS COUNTY  DISTRICT RET</v>
      </c>
      <c r="G2361" s="5">
        <v>6628.82</v>
      </c>
      <c r="H2361" t="str">
        <f>"TEXAS COUNTY  DISTRICT RET"</f>
        <v>TEXAS COUNTY  DISTRICT RET</v>
      </c>
    </row>
    <row r="2362" spans="5:8" x14ac:dyDescent="0.25">
      <c r="E2362" t="str">
        <f>""</f>
        <v/>
      </c>
      <c r="F2362" t="str">
        <f>""</f>
        <v/>
      </c>
      <c r="H2362" t="str">
        <f>"TEXAS COUNTY  DISTRICT RET"</f>
        <v>TEXAS COUNTY  DISTRICT RET</v>
      </c>
    </row>
    <row r="2363" spans="5:8" x14ac:dyDescent="0.25">
      <c r="E2363" t="str">
        <f>"RET202004296630"</f>
        <v>RET202004296630</v>
      </c>
      <c r="F2363" t="str">
        <f>"TEXAS COUNTY &amp; DISTRICT RET"</f>
        <v>TEXAS COUNTY &amp; DISTRICT RET</v>
      </c>
      <c r="G2363" s="5">
        <v>7579.6</v>
      </c>
      <c r="H2363" t="str">
        <f t="shared" ref="H2363:H2394" si="56">"TEXAS COUNTY &amp; DISTRICT RET"</f>
        <v>TEXAS COUNTY &amp; DISTRICT RET</v>
      </c>
    </row>
    <row r="2364" spans="5:8" x14ac:dyDescent="0.25">
      <c r="E2364" t="str">
        <f>""</f>
        <v/>
      </c>
      <c r="F2364" t="str">
        <f>""</f>
        <v/>
      </c>
      <c r="H2364" t="str">
        <f t="shared" si="56"/>
        <v>TEXAS COUNTY &amp; DISTRICT RET</v>
      </c>
    </row>
    <row r="2365" spans="5:8" x14ac:dyDescent="0.25">
      <c r="E2365" t="str">
        <f>"RET202005126839"</f>
        <v>RET202005126839</v>
      </c>
      <c r="F2365" t="str">
        <f>"TEXAS COUNTY &amp; DISTRICT RET"</f>
        <v>TEXAS COUNTY &amp; DISTRICT RET</v>
      </c>
      <c r="G2365" s="5">
        <v>177290.23999999999</v>
      </c>
      <c r="H2365" t="str">
        <f t="shared" si="56"/>
        <v>TEXAS COUNTY &amp; DISTRICT RET</v>
      </c>
    </row>
    <row r="2366" spans="5:8" x14ac:dyDescent="0.25">
      <c r="E2366" t="str">
        <f>""</f>
        <v/>
      </c>
      <c r="F2366" t="str">
        <f>""</f>
        <v/>
      </c>
      <c r="H2366" t="str">
        <f t="shared" si="56"/>
        <v>TEXAS COUNTY &amp; DISTRICT RET</v>
      </c>
    </row>
    <row r="2367" spans="5:8" x14ac:dyDescent="0.25">
      <c r="E2367" t="str">
        <f>""</f>
        <v/>
      </c>
      <c r="F2367" t="str">
        <f>""</f>
        <v/>
      </c>
      <c r="H2367" t="str">
        <f t="shared" si="56"/>
        <v>TEXAS COUNTY &amp; DISTRICT RET</v>
      </c>
    </row>
    <row r="2368" spans="5:8" x14ac:dyDescent="0.25">
      <c r="E2368" t="str">
        <f>""</f>
        <v/>
      </c>
      <c r="F2368" t="str">
        <f>""</f>
        <v/>
      </c>
      <c r="H2368" t="str">
        <f t="shared" si="56"/>
        <v>TEXAS COUNTY &amp; DISTRICT RET</v>
      </c>
    </row>
    <row r="2369" spans="5:8" x14ac:dyDescent="0.25">
      <c r="E2369" t="str">
        <f>""</f>
        <v/>
      </c>
      <c r="F2369" t="str">
        <f>""</f>
        <v/>
      </c>
      <c r="H2369" t="str">
        <f t="shared" si="56"/>
        <v>TEXAS COUNTY &amp; DISTRICT RET</v>
      </c>
    </row>
    <row r="2370" spans="5:8" x14ac:dyDescent="0.25">
      <c r="E2370" t="str">
        <f>""</f>
        <v/>
      </c>
      <c r="F2370" t="str">
        <f>""</f>
        <v/>
      </c>
      <c r="H2370" t="str">
        <f t="shared" si="56"/>
        <v>TEXAS COUNTY &amp; DISTRICT RET</v>
      </c>
    </row>
    <row r="2371" spans="5:8" x14ac:dyDescent="0.25">
      <c r="E2371" t="str">
        <f>""</f>
        <v/>
      </c>
      <c r="F2371" t="str">
        <f>""</f>
        <v/>
      </c>
      <c r="H2371" t="str">
        <f t="shared" si="56"/>
        <v>TEXAS COUNTY &amp; DISTRICT RET</v>
      </c>
    </row>
    <row r="2372" spans="5:8" x14ac:dyDescent="0.25">
      <c r="E2372" t="str">
        <f>""</f>
        <v/>
      </c>
      <c r="F2372" t="str">
        <f>""</f>
        <v/>
      </c>
      <c r="H2372" t="str">
        <f t="shared" si="56"/>
        <v>TEXAS COUNTY &amp; DISTRICT RET</v>
      </c>
    </row>
    <row r="2373" spans="5:8" x14ac:dyDescent="0.25">
      <c r="E2373" t="str">
        <f>""</f>
        <v/>
      </c>
      <c r="F2373" t="str">
        <f>""</f>
        <v/>
      </c>
      <c r="H2373" t="str">
        <f t="shared" si="56"/>
        <v>TEXAS COUNTY &amp; DISTRICT RET</v>
      </c>
    </row>
    <row r="2374" spans="5:8" x14ac:dyDescent="0.25">
      <c r="E2374" t="str">
        <f>""</f>
        <v/>
      </c>
      <c r="F2374" t="str">
        <f>""</f>
        <v/>
      </c>
      <c r="H2374" t="str">
        <f t="shared" si="56"/>
        <v>TEXAS COUNTY &amp; DISTRICT RET</v>
      </c>
    </row>
    <row r="2375" spans="5:8" x14ac:dyDescent="0.25">
      <c r="E2375" t="str">
        <f>""</f>
        <v/>
      </c>
      <c r="F2375" t="str">
        <f>""</f>
        <v/>
      </c>
      <c r="H2375" t="str">
        <f t="shared" si="56"/>
        <v>TEXAS COUNTY &amp; DISTRICT RET</v>
      </c>
    </row>
    <row r="2376" spans="5:8" x14ac:dyDescent="0.25">
      <c r="E2376" t="str">
        <f>""</f>
        <v/>
      </c>
      <c r="F2376" t="str">
        <f>""</f>
        <v/>
      </c>
      <c r="H2376" t="str">
        <f t="shared" si="56"/>
        <v>TEXAS COUNTY &amp; DISTRICT RET</v>
      </c>
    </row>
    <row r="2377" spans="5:8" x14ac:dyDescent="0.25">
      <c r="E2377" t="str">
        <f>""</f>
        <v/>
      </c>
      <c r="F2377" t="str">
        <f>""</f>
        <v/>
      </c>
      <c r="H2377" t="str">
        <f t="shared" si="56"/>
        <v>TEXAS COUNTY &amp; DISTRICT RET</v>
      </c>
    </row>
    <row r="2378" spans="5:8" x14ac:dyDescent="0.25">
      <c r="E2378" t="str">
        <f>""</f>
        <v/>
      </c>
      <c r="F2378" t="str">
        <f>""</f>
        <v/>
      </c>
      <c r="H2378" t="str">
        <f t="shared" si="56"/>
        <v>TEXAS COUNTY &amp; DISTRICT RET</v>
      </c>
    </row>
    <row r="2379" spans="5:8" x14ac:dyDescent="0.25">
      <c r="E2379" t="str">
        <f>""</f>
        <v/>
      </c>
      <c r="F2379" t="str">
        <f>""</f>
        <v/>
      </c>
      <c r="H2379" t="str">
        <f t="shared" si="56"/>
        <v>TEXAS COUNTY &amp; DISTRICT RET</v>
      </c>
    </row>
    <row r="2380" spans="5:8" x14ac:dyDescent="0.25">
      <c r="E2380" t="str">
        <f>""</f>
        <v/>
      </c>
      <c r="F2380" t="str">
        <f>""</f>
        <v/>
      </c>
      <c r="H2380" t="str">
        <f t="shared" si="56"/>
        <v>TEXAS COUNTY &amp; DISTRICT RET</v>
      </c>
    </row>
    <row r="2381" spans="5:8" x14ac:dyDescent="0.25">
      <c r="E2381" t="str">
        <f>""</f>
        <v/>
      </c>
      <c r="F2381" t="str">
        <f>""</f>
        <v/>
      </c>
      <c r="H2381" t="str">
        <f t="shared" si="56"/>
        <v>TEXAS COUNTY &amp; DISTRICT RET</v>
      </c>
    </row>
    <row r="2382" spans="5:8" x14ac:dyDescent="0.25">
      <c r="E2382" t="str">
        <f>""</f>
        <v/>
      </c>
      <c r="F2382" t="str">
        <f>""</f>
        <v/>
      </c>
      <c r="H2382" t="str">
        <f t="shared" si="56"/>
        <v>TEXAS COUNTY &amp; DISTRICT RET</v>
      </c>
    </row>
    <row r="2383" spans="5:8" x14ac:dyDescent="0.25">
      <c r="E2383" t="str">
        <f>""</f>
        <v/>
      </c>
      <c r="F2383" t="str">
        <f>""</f>
        <v/>
      </c>
      <c r="H2383" t="str">
        <f t="shared" si="56"/>
        <v>TEXAS COUNTY &amp; DISTRICT RET</v>
      </c>
    </row>
    <row r="2384" spans="5:8" x14ac:dyDescent="0.25">
      <c r="E2384" t="str">
        <f>""</f>
        <v/>
      </c>
      <c r="F2384" t="str">
        <f>""</f>
        <v/>
      </c>
      <c r="H2384" t="str">
        <f t="shared" si="56"/>
        <v>TEXAS COUNTY &amp; DISTRICT RET</v>
      </c>
    </row>
    <row r="2385" spans="5:8" x14ac:dyDescent="0.25">
      <c r="E2385" t="str">
        <f>""</f>
        <v/>
      </c>
      <c r="F2385" t="str">
        <f>""</f>
        <v/>
      </c>
      <c r="H2385" t="str">
        <f t="shared" si="56"/>
        <v>TEXAS COUNTY &amp; DISTRICT RET</v>
      </c>
    </row>
    <row r="2386" spans="5:8" x14ac:dyDescent="0.25">
      <c r="E2386" t="str">
        <f>""</f>
        <v/>
      </c>
      <c r="F2386" t="str">
        <f>""</f>
        <v/>
      </c>
      <c r="H2386" t="str">
        <f t="shared" si="56"/>
        <v>TEXAS COUNTY &amp; DISTRICT RET</v>
      </c>
    </row>
    <row r="2387" spans="5:8" x14ac:dyDescent="0.25">
      <c r="E2387" t="str">
        <f>""</f>
        <v/>
      </c>
      <c r="F2387" t="str">
        <f>""</f>
        <v/>
      </c>
      <c r="H2387" t="str">
        <f t="shared" si="56"/>
        <v>TEXAS COUNTY &amp; DISTRICT RET</v>
      </c>
    </row>
    <row r="2388" spans="5:8" x14ac:dyDescent="0.25">
      <c r="E2388" t="str">
        <f>""</f>
        <v/>
      </c>
      <c r="F2388" t="str">
        <f>""</f>
        <v/>
      </c>
      <c r="H2388" t="str">
        <f t="shared" si="56"/>
        <v>TEXAS COUNTY &amp; DISTRICT RET</v>
      </c>
    </row>
    <row r="2389" spans="5:8" x14ac:dyDescent="0.25">
      <c r="E2389" t="str">
        <f>""</f>
        <v/>
      </c>
      <c r="F2389" t="str">
        <f>""</f>
        <v/>
      </c>
      <c r="H2389" t="str">
        <f t="shared" si="56"/>
        <v>TEXAS COUNTY &amp; DISTRICT RET</v>
      </c>
    </row>
    <row r="2390" spans="5:8" x14ac:dyDescent="0.25">
      <c r="E2390" t="str">
        <f>""</f>
        <v/>
      </c>
      <c r="F2390" t="str">
        <f>""</f>
        <v/>
      </c>
      <c r="H2390" t="str">
        <f t="shared" si="56"/>
        <v>TEXAS COUNTY &amp; DISTRICT RET</v>
      </c>
    </row>
    <row r="2391" spans="5:8" x14ac:dyDescent="0.25">
      <c r="E2391" t="str">
        <f>""</f>
        <v/>
      </c>
      <c r="F2391" t="str">
        <f>""</f>
        <v/>
      </c>
      <c r="H2391" t="str">
        <f t="shared" si="56"/>
        <v>TEXAS COUNTY &amp; DISTRICT RET</v>
      </c>
    </row>
    <row r="2392" spans="5:8" x14ac:dyDescent="0.25">
      <c r="E2392" t="str">
        <f>""</f>
        <v/>
      </c>
      <c r="F2392" t="str">
        <f>""</f>
        <v/>
      </c>
      <c r="H2392" t="str">
        <f t="shared" si="56"/>
        <v>TEXAS COUNTY &amp; DISTRICT RET</v>
      </c>
    </row>
    <row r="2393" spans="5:8" x14ac:dyDescent="0.25">
      <c r="E2393" t="str">
        <f>""</f>
        <v/>
      </c>
      <c r="F2393" t="str">
        <f>""</f>
        <v/>
      </c>
      <c r="H2393" t="str">
        <f t="shared" si="56"/>
        <v>TEXAS COUNTY &amp; DISTRICT RET</v>
      </c>
    </row>
    <row r="2394" spans="5:8" x14ac:dyDescent="0.25">
      <c r="E2394" t="str">
        <f>""</f>
        <v/>
      </c>
      <c r="F2394" t="str">
        <f>""</f>
        <v/>
      </c>
      <c r="H2394" t="str">
        <f t="shared" si="56"/>
        <v>TEXAS COUNTY &amp; DISTRICT RET</v>
      </c>
    </row>
    <row r="2395" spans="5:8" x14ac:dyDescent="0.25">
      <c r="E2395" t="str">
        <f>""</f>
        <v/>
      </c>
      <c r="F2395" t="str">
        <f>""</f>
        <v/>
      </c>
      <c r="H2395" t="str">
        <f t="shared" ref="H2395:H2416" si="57">"TEXAS COUNTY &amp; DISTRICT RET"</f>
        <v>TEXAS COUNTY &amp; DISTRICT RET</v>
      </c>
    </row>
    <row r="2396" spans="5:8" x14ac:dyDescent="0.25">
      <c r="E2396" t="str">
        <f>""</f>
        <v/>
      </c>
      <c r="F2396" t="str">
        <f>""</f>
        <v/>
      </c>
      <c r="H2396" t="str">
        <f t="shared" si="57"/>
        <v>TEXAS COUNTY &amp; DISTRICT RET</v>
      </c>
    </row>
    <row r="2397" spans="5:8" x14ac:dyDescent="0.25">
      <c r="E2397" t="str">
        <f>""</f>
        <v/>
      </c>
      <c r="F2397" t="str">
        <f>""</f>
        <v/>
      </c>
      <c r="H2397" t="str">
        <f t="shared" si="57"/>
        <v>TEXAS COUNTY &amp; DISTRICT RET</v>
      </c>
    </row>
    <row r="2398" spans="5:8" x14ac:dyDescent="0.25">
      <c r="E2398" t="str">
        <f>""</f>
        <v/>
      </c>
      <c r="F2398" t="str">
        <f>""</f>
        <v/>
      </c>
      <c r="H2398" t="str">
        <f t="shared" si="57"/>
        <v>TEXAS COUNTY &amp; DISTRICT RET</v>
      </c>
    </row>
    <row r="2399" spans="5:8" x14ac:dyDescent="0.25">
      <c r="E2399" t="str">
        <f>""</f>
        <v/>
      </c>
      <c r="F2399" t="str">
        <f>""</f>
        <v/>
      </c>
      <c r="H2399" t="str">
        <f t="shared" si="57"/>
        <v>TEXAS COUNTY &amp; DISTRICT RET</v>
      </c>
    </row>
    <row r="2400" spans="5:8" x14ac:dyDescent="0.25">
      <c r="E2400" t="str">
        <f>""</f>
        <v/>
      </c>
      <c r="F2400" t="str">
        <f>""</f>
        <v/>
      </c>
      <c r="H2400" t="str">
        <f t="shared" si="57"/>
        <v>TEXAS COUNTY &amp; DISTRICT RET</v>
      </c>
    </row>
    <row r="2401" spans="5:8" x14ac:dyDescent="0.25">
      <c r="E2401" t="str">
        <f>""</f>
        <v/>
      </c>
      <c r="F2401" t="str">
        <f>""</f>
        <v/>
      </c>
      <c r="H2401" t="str">
        <f t="shared" si="57"/>
        <v>TEXAS COUNTY &amp; DISTRICT RET</v>
      </c>
    </row>
    <row r="2402" spans="5:8" x14ac:dyDescent="0.25">
      <c r="E2402" t="str">
        <f>""</f>
        <v/>
      </c>
      <c r="F2402" t="str">
        <f>""</f>
        <v/>
      </c>
      <c r="H2402" t="str">
        <f t="shared" si="57"/>
        <v>TEXAS COUNTY &amp; DISTRICT RET</v>
      </c>
    </row>
    <row r="2403" spans="5:8" x14ac:dyDescent="0.25">
      <c r="E2403" t="str">
        <f>""</f>
        <v/>
      </c>
      <c r="F2403" t="str">
        <f>""</f>
        <v/>
      </c>
      <c r="H2403" t="str">
        <f t="shared" si="57"/>
        <v>TEXAS COUNTY &amp; DISTRICT RET</v>
      </c>
    </row>
    <row r="2404" spans="5:8" x14ac:dyDescent="0.25">
      <c r="E2404" t="str">
        <f>""</f>
        <v/>
      </c>
      <c r="F2404" t="str">
        <f>""</f>
        <v/>
      </c>
      <c r="H2404" t="str">
        <f t="shared" si="57"/>
        <v>TEXAS COUNTY &amp; DISTRICT RET</v>
      </c>
    </row>
    <row r="2405" spans="5:8" x14ac:dyDescent="0.25">
      <c r="E2405" t="str">
        <f>""</f>
        <v/>
      </c>
      <c r="F2405" t="str">
        <f>""</f>
        <v/>
      </c>
      <c r="H2405" t="str">
        <f t="shared" si="57"/>
        <v>TEXAS COUNTY &amp; DISTRICT RET</v>
      </c>
    </row>
    <row r="2406" spans="5:8" x14ac:dyDescent="0.25">
      <c r="E2406" t="str">
        <f>""</f>
        <v/>
      </c>
      <c r="F2406" t="str">
        <f>""</f>
        <v/>
      </c>
      <c r="H2406" t="str">
        <f t="shared" si="57"/>
        <v>TEXAS COUNTY &amp; DISTRICT RET</v>
      </c>
    </row>
    <row r="2407" spans="5:8" x14ac:dyDescent="0.25">
      <c r="E2407" t="str">
        <f>""</f>
        <v/>
      </c>
      <c r="F2407" t="str">
        <f>""</f>
        <v/>
      </c>
      <c r="H2407" t="str">
        <f t="shared" si="57"/>
        <v>TEXAS COUNTY &amp; DISTRICT RET</v>
      </c>
    </row>
    <row r="2408" spans="5:8" x14ac:dyDescent="0.25">
      <c r="E2408" t="str">
        <f>""</f>
        <v/>
      </c>
      <c r="F2408" t="str">
        <f>""</f>
        <v/>
      </c>
      <c r="H2408" t="str">
        <f t="shared" si="57"/>
        <v>TEXAS COUNTY &amp; DISTRICT RET</v>
      </c>
    </row>
    <row r="2409" spans="5:8" x14ac:dyDescent="0.25">
      <c r="E2409" t="str">
        <f>""</f>
        <v/>
      </c>
      <c r="F2409" t="str">
        <f>""</f>
        <v/>
      </c>
      <c r="H2409" t="str">
        <f t="shared" si="57"/>
        <v>TEXAS COUNTY &amp; DISTRICT RET</v>
      </c>
    </row>
    <row r="2410" spans="5:8" x14ac:dyDescent="0.25">
      <c r="E2410" t="str">
        <f>""</f>
        <v/>
      </c>
      <c r="F2410" t="str">
        <f>""</f>
        <v/>
      </c>
      <c r="H2410" t="str">
        <f t="shared" si="57"/>
        <v>TEXAS COUNTY &amp; DISTRICT RET</v>
      </c>
    </row>
    <row r="2411" spans="5:8" x14ac:dyDescent="0.25">
      <c r="E2411" t="str">
        <f>""</f>
        <v/>
      </c>
      <c r="F2411" t="str">
        <f>""</f>
        <v/>
      </c>
      <c r="H2411" t="str">
        <f t="shared" si="57"/>
        <v>TEXAS COUNTY &amp; DISTRICT RET</v>
      </c>
    </row>
    <row r="2412" spans="5:8" x14ac:dyDescent="0.25">
      <c r="E2412" t="str">
        <f>""</f>
        <v/>
      </c>
      <c r="F2412" t="str">
        <f>""</f>
        <v/>
      </c>
      <c r="H2412" t="str">
        <f t="shared" si="57"/>
        <v>TEXAS COUNTY &amp; DISTRICT RET</v>
      </c>
    </row>
    <row r="2413" spans="5:8" x14ac:dyDescent="0.25">
      <c r="E2413" t="str">
        <f>""</f>
        <v/>
      </c>
      <c r="F2413" t="str">
        <f>""</f>
        <v/>
      </c>
      <c r="H2413" t="str">
        <f t="shared" si="57"/>
        <v>TEXAS COUNTY &amp; DISTRICT RET</v>
      </c>
    </row>
    <row r="2414" spans="5:8" x14ac:dyDescent="0.25">
      <c r="E2414" t="str">
        <f>""</f>
        <v/>
      </c>
      <c r="F2414" t="str">
        <f>""</f>
        <v/>
      </c>
      <c r="H2414" t="str">
        <f t="shared" si="57"/>
        <v>TEXAS COUNTY &amp; DISTRICT RET</v>
      </c>
    </row>
    <row r="2415" spans="5:8" x14ac:dyDescent="0.25">
      <c r="E2415" t="str">
        <f>""</f>
        <v/>
      </c>
      <c r="F2415" t="str">
        <f>""</f>
        <v/>
      </c>
      <c r="H2415" t="str">
        <f t="shared" si="57"/>
        <v>TEXAS COUNTY &amp; DISTRICT RET</v>
      </c>
    </row>
    <row r="2416" spans="5:8" x14ac:dyDescent="0.25">
      <c r="E2416" t="str">
        <f>""</f>
        <v/>
      </c>
      <c r="F2416" t="str">
        <f>""</f>
        <v/>
      </c>
      <c r="H2416" t="str">
        <f t="shared" si="57"/>
        <v>TEXAS COUNTY &amp; DISTRICT RET</v>
      </c>
    </row>
    <row r="2417" spans="5:8" x14ac:dyDescent="0.25">
      <c r="E2417" t="str">
        <f>"RET202005126840"</f>
        <v>RET202005126840</v>
      </c>
      <c r="F2417" t="str">
        <f>"TEXAS COUNTY  DISTRICT RET"</f>
        <v>TEXAS COUNTY  DISTRICT RET</v>
      </c>
      <c r="G2417" s="5">
        <v>6628.82</v>
      </c>
      <c r="H2417" t="str">
        <f>"TEXAS COUNTY  DISTRICT RET"</f>
        <v>TEXAS COUNTY  DISTRICT RET</v>
      </c>
    </row>
    <row r="2418" spans="5:8" x14ac:dyDescent="0.25">
      <c r="E2418" t="str">
        <f>""</f>
        <v/>
      </c>
      <c r="F2418" t="str">
        <f>""</f>
        <v/>
      </c>
      <c r="H2418" t="str">
        <f>"TEXAS COUNTY  DISTRICT RET"</f>
        <v>TEXAS COUNTY  DISTRICT RET</v>
      </c>
    </row>
    <row r="2419" spans="5:8" x14ac:dyDescent="0.25">
      <c r="E2419" t="str">
        <f>"RET202005126841"</f>
        <v>RET202005126841</v>
      </c>
      <c r="F2419" t="str">
        <f>"TEXAS COUNTY &amp; DISTRICT RET"</f>
        <v>TEXAS COUNTY &amp; DISTRICT RET</v>
      </c>
      <c r="G2419" s="5">
        <v>7579.6</v>
      </c>
      <c r="H2419" t="str">
        <f t="shared" ref="H2419:H2450" si="58">"TEXAS COUNTY &amp; DISTRICT RET"</f>
        <v>TEXAS COUNTY &amp; DISTRICT RET</v>
      </c>
    </row>
    <row r="2420" spans="5:8" x14ac:dyDescent="0.25">
      <c r="E2420" t="str">
        <f>""</f>
        <v/>
      </c>
      <c r="F2420" t="str">
        <f>""</f>
        <v/>
      </c>
      <c r="H2420" t="str">
        <f t="shared" si="58"/>
        <v>TEXAS COUNTY &amp; DISTRICT RET</v>
      </c>
    </row>
    <row r="2421" spans="5:8" x14ac:dyDescent="0.25">
      <c r="E2421" t="str">
        <f>"RET202005267009"</f>
        <v>RET202005267009</v>
      </c>
      <c r="F2421" t="str">
        <f>"TEXAS COUNTY &amp; DISTRICT RET"</f>
        <v>TEXAS COUNTY &amp; DISTRICT RET</v>
      </c>
      <c r="G2421" s="5">
        <v>169677.52</v>
      </c>
      <c r="H2421" t="str">
        <f t="shared" si="58"/>
        <v>TEXAS COUNTY &amp; DISTRICT RET</v>
      </c>
    </row>
    <row r="2422" spans="5:8" x14ac:dyDescent="0.25">
      <c r="E2422" t="str">
        <f>""</f>
        <v/>
      </c>
      <c r="F2422" t="str">
        <f>""</f>
        <v/>
      </c>
      <c r="H2422" t="str">
        <f t="shared" si="58"/>
        <v>TEXAS COUNTY &amp; DISTRICT RET</v>
      </c>
    </row>
    <row r="2423" spans="5:8" x14ac:dyDescent="0.25">
      <c r="E2423" t="str">
        <f>""</f>
        <v/>
      </c>
      <c r="F2423" t="str">
        <f>""</f>
        <v/>
      </c>
      <c r="H2423" t="str">
        <f t="shared" si="58"/>
        <v>TEXAS COUNTY &amp; DISTRICT RET</v>
      </c>
    </row>
    <row r="2424" spans="5:8" x14ac:dyDescent="0.25">
      <c r="E2424" t="str">
        <f>""</f>
        <v/>
      </c>
      <c r="F2424" t="str">
        <f>""</f>
        <v/>
      </c>
      <c r="H2424" t="str">
        <f t="shared" si="58"/>
        <v>TEXAS COUNTY &amp; DISTRICT RET</v>
      </c>
    </row>
    <row r="2425" spans="5:8" x14ac:dyDescent="0.25">
      <c r="E2425" t="str">
        <f>""</f>
        <v/>
      </c>
      <c r="F2425" t="str">
        <f>""</f>
        <v/>
      </c>
      <c r="H2425" t="str">
        <f t="shared" si="58"/>
        <v>TEXAS COUNTY &amp; DISTRICT RET</v>
      </c>
    </row>
    <row r="2426" spans="5:8" x14ac:dyDescent="0.25">
      <c r="E2426" t="str">
        <f>""</f>
        <v/>
      </c>
      <c r="F2426" t="str">
        <f>""</f>
        <v/>
      </c>
      <c r="H2426" t="str">
        <f t="shared" si="58"/>
        <v>TEXAS COUNTY &amp; DISTRICT RET</v>
      </c>
    </row>
    <row r="2427" spans="5:8" x14ac:dyDescent="0.25">
      <c r="E2427" t="str">
        <f>""</f>
        <v/>
      </c>
      <c r="F2427" t="str">
        <f>""</f>
        <v/>
      </c>
      <c r="H2427" t="str">
        <f t="shared" si="58"/>
        <v>TEXAS COUNTY &amp; DISTRICT RET</v>
      </c>
    </row>
    <row r="2428" spans="5:8" x14ac:dyDescent="0.25">
      <c r="E2428" t="str">
        <f>""</f>
        <v/>
      </c>
      <c r="F2428" t="str">
        <f>""</f>
        <v/>
      </c>
      <c r="H2428" t="str">
        <f t="shared" si="58"/>
        <v>TEXAS COUNTY &amp; DISTRICT RET</v>
      </c>
    </row>
    <row r="2429" spans="5:8" x14ac:dyDescent="0.25">
      <c r="E2429" t="str">
        <f>""</f>
        <v/>
      </c>
      <c r="F2429" t="str">
        <f>""</f>
        <v/>
      </c>
      <c r="H2429" t="str">
        <f t="shared" si="58"/>
        <v>TEXAS COUNTY &amp; DISTRICT RET</v>
      </c>
    </row>
    <row r="2430" spans="5:8" x14ac:dyDescent="0.25">
      <c r="E2430" t="str">
        <f>""</f>
        <v/>
      </c>
      <c r="F2430" t="str">
        <f>""</f>
        <v/>
      </c>
      <c r="H2430" t="str">
        <f t="shared" si="58"/>
        <v>TEXAS COUNTY &amp; DISTRICT RET</v>
      </c>
    </row>
    <row r="2431" spans="5:8" x14ac:dyDescent="0.25">
      <c r="E2431" t="str">
        <f>""</f>
        <v/>
      </c>
      <c r="F2431" t="str">
        <f>""</f>
        <v/>
      </c>
      <c r="H2431" t="str">
        <f t="shared" si="58"/>
        <v>TEXAS COUNTY &amp; DISTRICT RET</v>
      </c>
    </row>
    <row r="2432" spans="5:8" x14ac:dyDescent="0.25">
      <c r="E2432" t="str">
        <f>""</f>
        <v/>
      </c>
      <c r="F2432" t="str">
        <f>""</f>
        <v/>
      </c>
      <c r="H2432" t="str">
        <f t="shared" si="58"/>
        <v>TEXAS COUNTY &amp; DISTRICT RET</v>
      </c>
    </row>
    <row r="2433" spans="5:8" x14ac:dyDescent="0.25">
      <c r="E2433" t="str">
        <f>""</f>
        <v/>
      </c>
      <c r="F2433" t="str">
        <f>""</f>
        <v/>
      </c>
      <c r="H2433" t="str">
        <f t="shared" si="58"/>
        <v>TEXAS COUNTY &amp; DISTRICT RET</v>
      </c>
    </row>
    <row r="2434" spans="5:8" x14ac:dyDescent="0.25">
      <c r="E2434" t="str">
        <f>""</f>
        <v/>
      </c>
      <c r="F2434" t="str">
        <f>""</f>
        <v/>
      </c>
      <c r="H2434" t="str">
        <f t="shared" si="58"/>
        <v>TEXAS COUNTY &amp; DISTRICT RET</v>
      </c>
    </row>
    <row r="2435" spans="5:8" x14ac:dyDescent="0.25">
      <c r="E2435" t="str">
        <f>""</f>
        <v/>
      </c>
      <c r="F2435" t="str">
        <f>""</f>
        <v/>
      </c>
      <c r="H2435" t="str">
        <f t="shared" si="58"/>
        <v>TEXAS COUNTY &amp; DISTRICT RET</v>
      </c>
    </row>
    <row r="2436" spans="5:8" x14ac:dyDescent="0.25">
      <c r="E2436" t="str">
        <f>""</f>
        <v/>
      </c>
      <c r="F2436" t="str">
        <f>""</f>
        <v/>
      </c>
      <c r="H2436" t="str">
        <f t="shared" si="58"/>
        <v>TEXAS COUNTY &amp; DISTRICT RET</v>
      </c>
    </row>
    <row r="2437" spans="5:8" x14ac:dyDescent="0.25">
      <c r="E2437" t="str">
        <f>""</f>
        <v/>
      </c>
      <c r="F2437" t="str">
        <f>""</f>
        <v/>
      </c>
      <c r="H2437" t="str">
        <f t="shared" si="58"/>
        <v>TEXAS COUNTY &amp; DISTRICT RET</v>
      </c>
    </row>
    <row r="2438" spans="5:8" x14ac:dyDescent="0.25">
      <c r="E2438" t="str">
        <f>""</f>
        <v/>
      </c>
      <c r="F2438" t="str">
        <f>""</f>
        <v/>
      </c>
      <c r="H2438" t="str">
        <f t="shared" si="58"/>
        <v>TEXAS COUNTY &amp; DISTRICT RET</v>
      </c>
    </row>
    <row r="2439" spans="5:8" x14ac:dyDescent="0.25">
      <c r="E2439" t="str">
        <f>""</f>
        <v/>
      </c>
      <c r="F2439" t="str">
        <f>""</f>
        <v/>
      </c>
      <c r="H2439" t="str">
        <f t="shared" si="58"/>
        <v>TEXAS COUNTY &amp; DISTRICT RET</v>
      </c>
    </row>
    <row r="2440" spans="5:8" x14ac:dyDescent="0.25">
      <c r="E2440" t="str">
        <f>""</f>
        <v/>
      </c>
      <c r="F2440" t="str">
        <f>""</f>
        <v/>
      </c>
      <c r="H2440" t="str">
        <f t="shared" si="58"/>
        <v>TEXAS COUNTY &amp; DISTRICT RET</v>
      </c>
    </row>
    <row r="2441" spans="5:8" x14ac:dyDescent="0.25">
      <c r="E2441" t="str">
        <f>""</f>
        <v/>
      </c>
      <c r="F2441" t="str">
        <f>""</f>
        <v/>
      </c>
      <c r="H2441" t="str">
        <f t="shared" si="58"/>
        <v>TEXAS COUNTY &amp; DISTRICT RET</v>
      </c>
    </row>
    <row r="2442" spans="5:8" x14ac:dyDescent="0.25">
      <c r="E2442" t="str">
        <f>""</f>
        <v/>
      </c>
      <c r="F2442" t="str">
        <f>""</f>
        <v/>
      </c>
      <c r="H2442" t="str">
        <f t="shared" si="58"/>
        <v>TEXAS COUNTY &amp; DISTRICT RET</v>
      </c>
    </row>
    <row r="2443" spans="5:8" x14ac:dyDescent="0.25">
      <c r="E2443" t="str">
        <f>""</f>
        <v/>
      </c>
      <c r="F2443" t="str">
        <f>""</f>
        <v/>
      </c>
      <c r="H2443" t="str">
        <f t="shared" si="58"/>
        <v>TEXAS COUNTY &amp; DISTRICT RET</v>
      </c>
    </row>
    <row r="2444" spans="5:8" x14ac:dyDescent="0.25">
      <c r="E2444" t="str">
        <f>""</f>
        <v/>
      </c>
      <c r="F2444" t="str">
        <f>""</f>
        <v/>
      </c>
      <c r="H2444" t="str">
        <f t="shared" si="58"/>
        <v>TEXAS COUNTY &amp; DISTRICT RET</v>
      </c>
    </row>
    <row r="2445" spans="5:8" x14ac:dyDescent="0.25">
      <c r="E2445" t="str">
        <f>""</f>
        <v/>
      </c>
      <c r="F2445" t="str">
        <f>""</f>
        <v/>
      </c>
      <c r="H2445" t="str">
        <f t="shared" si="58"/>
        <v>TEXAS COUNTY &amp; DISTRICT RET</v>
      </c>
    </row>
    <row r="2446" spans="5:8" x14ac:dyDescent="0.25">
      <c r="E2446" t="str">
        <f>""</f>
        <v/>
      </c>
      <c r="F2446" t="str">
        <f>""</f>
        <v/>
      </c>
      <c r="H2446" t="str">
        <f t="shared" si="58"/>
        <v>TEXAS COUNTY &amp; DISTRICT RET</v>
      </c>
    </row>
    <row r="2447" spans="5:8" x14ac:dyDescent="0.25">
      <c r="E2447" t="str">
        <f>""</f>
        <v/>
      </c>
      <c r="F2447" t="str">
        <f>""</f>
        <v/>
      </c>
      <c r="H2447" t="str">
        <f t="shared" si="58"/>
        <v>TEXAS COUNTY &amp; DISTRICT RET</v>
      </c>
    </row>
    <row r="2448" spans="5:8" x14ac:dyDescent="0.25">
      <c r="E2448" t="str">
        <f>""</f>
        <v/>
      </c>
      <c r="F2448" t="str">
        <f>""</f>
        <v/>
      </c>
      <c r="H2448" t="str">
        <f t="shared" si="58"/>
        <v>TEXAS COUNTY &amp; DISTRICT RET</v>
      </c>
    </row>
    <row r="2449" spans="5:8" x14ac:dyDescent="0.25">
      <c r="E2449" t="str">
        <f>""</f>
        <v/>
      </c>
      <c r="F2449" t="str">
        <f>""</f>
        <v/>
      </c>
      <c r="H2449" t="str">
        <f t="shared" si="58"/>
        <v>TEXAS COUNTY &amp; DISTRICT RET</v>
      </c>
    </row>
    <row r="2450" spans="5:8" x14ac:dyDescent="0.25">
      <c r="E2450" t="str">
        <f>""</f>
        <v/>
      </c>
      <c r="F2450" t="str">
        <f>""</f>
        <v/>
      </c>
      <c r="H2450" t="str">
        <f t="shared" si="58"/>
        <v>TEXAS COUNTY &amp; DISTRICT RET</v>
      </c>
    </row>
    <row r="2451" spans="5:8" x14ac:dyDescent="0.25">
      <c r="E2451" t="str">
        <f>""</f>
        <v/>
      </c>
      <c r="F2451" t="str">
        <f>""</f>
        <v/>
      </c>
      <c r="H2451" t="str">
        <f t="shared" ref="H2451:H2472" si="59">"TEXAS COUNTY &amp; DISTRICT RET"</f>
        <v>TEXAS COUNTY &amp; DISTRICT RET</v>
      </c>
    </row>
    <row r="2452" spans="5:8" x14ac:dyDescent="0.25">
      <c r="E2452" t="str">
        <f>""</f>
        <v/>
      </c>
      <c r="F2452" t="str">
        <f>""</f>
        <v/>
      </c>
      <c r="H2452" t="str">
        <f t="shared" si="59"/>
        <v>TEXAS COUNTY &amp; DISTRICT RET</v>
      </c>
    </row>
    <row r="2453" spans="5:8" x14ac:dyDescent="0.25">
      <c r="E2453" t="str">
        <f>""</f>
        <v/>
      </c>
      <c r="F2453" t="str">
        <f>""</f>
        <v/>
      </c>
      <c r="H2453" t="str">
        <f t="shared" si="59"/>
        <v>TEXAS COUNTY &amp; DISTRICT RET</v>
      </c>
    </row>
    <row r="2454" spans="5:8" x14ac:dyDescent="0.25">
      <c r="E2454" t="str">
        <f>""</f>
        <v/>
      </c>
      <c r="F2454" t="str">
        <f>""</f>
        <v/>
      </c>
      <c r="H2454" t="str">
        <f t="shared" si="59"/>
        <v>TEXAS COUNTY &amp; DISTRICT RET</v>
      </c>
    </row>
    <row r="2455" spans="5:8" x14ac:dyDescent="0.25">
      <c r="E2455" t="str">
        <f>""</f>
        <v/>
      </c>
      <c r="F2455" t="str">
        <f>""</f>
        <v/>
      </c>
      <c r="H2455" t="str">
        <f t="shared" si="59"/>
        <v>TEXAS COUNTY &amp; DISTRICT RET</v>
      </c>
    </row>
    <row r="2456" spans="5:8" x14ac:dyDescent="0.25">
      <c r="E2456" t="str">
        <f>""</f>
        <v/>
      </c>
      <c r="F2456" t="str">
        <f>""</f>
        <v/>
      </c>
      <c r="H2456" t="str">
        <f t="shared" si="59"/>
        <v>TEXAS COUNTY &amp; DISTRICT RET</v>
      </c>
    </row>
    <row r="2457" spans="5:8" x14ac:dyDescent="0.25">
      <c r="E2457" t="str">
        <f>""</f>
        <v/>
      </c>
      <c r="F2457" t="str">
        <f>""</f>
        <v/>
      </c>
      <c r="H2457" t="str">
        <f t="shared" si="59"/>
        <v>TEXAS COUNTY &amp; DISTRICT RET</v>
      </c>
    </row>
    <row r="2458" spans="5:8" x14ac:dyDescent="0.25">
      <c r="E2458" t="str">
        <f>""</f>
        <v/>
      </c>
      <c r="F2458" t="str">
        <f>""</f>
        <v/>
      </c>
      <c r="H2458" t="str">
        <f t="shared" si="59"/>
        <v>TEXAS COUNTY &amp; DISTRICT RET</v>
      </c>
    </row>
    <row r="2459" spans="5:8" x14ac:dyDescent="0.25">
      <c r="E2459" t="str">
        <f>""</f>
        <v/>
      </c>
      <c r="F2459" t="str">
        <f>""</f>
        <v/>
      </c>
      <c r="H2459" t="str">
        <f t="shared" si="59"/>
        <v>TEXAS COUNTY &amp; DISTRICT RET</v>
      </c>
    </row>
    <row r="2460" spans="5:8" x14ac:dyDescent="0.25">
      <c r="E2460" t="str">
        <f>""</f>
        <v/>
      </c>
      <c r="F2460" t="str">
        <f>""</f>
        <v/>
      </c>
      <c r="H2460" t="str">
        <f t="shared" si="59"/>
        <v>TEXAS COUNTY &amp; DISTRICT RET</v>
      </c>
    </row>
    <row r="2461" spans="5:8" x14ac:dyDescent="0.25">
      <c r="E2461" t="str">
        <f>""</f>
        <v/>
      </c>
      <c r="F2461" t="str">
        <f>""</f>
        <v/>
      </c>
      <c r="H2461" t="str">
        <f t="shared" si="59"/>
        <v>TEXAS COUNTY &amp; DISTRICT RET</v>
      </c>
    </row>
    <row r="2462" spans="5:8" x14ac:dyDescent="0.25">
      <c r="E2462" t="str">
        <f>""</f>
        <v/>
      </c>
      <c r="F2462" t="str">
        <f>""</f>
        <v/>
      </c>
      <c r="H2462" t="str">
        <f t="shared" si="59"/>
        <v>TEXAS COUNTY &amp; DISTRICT RET</v>
      </c>
    </row>
    <row r="2463" spans="5:8" x14ac:dyDescent="0.25">
      <c r="E2463" t="str">
        <f>""</f>
        <v/>
      </c>
      <c r="F2463" t="str">
        <f>""</f>
        <v/>
      </c>
      <c r="H2463" t="str">
        <f t="shared" si="59"/>
        <v>TEXAS COUNTY &amp; DISTRICT RET</v>
      </c>
    </row>
    <row r="2464" spans="5:8" x14ac:dyDescent="0.25">
      <c r="E2464" t="str">
        <f>""</f>
        <v/>
      </c>
      <c r="F2464" t="str">
        <f>""</f>
        <v/>
      </c>
      <c r="H2464" t="str">
        <f t="shared" si="59"/>
        <v>TEXAS COUNTY &amp; DISTRICT RET</v>
      </c>
    </row>
    <row r="2465" spans="1:8" x14ac:dyDescent="0.25">
      <c r="E2465" t="str">
        <f>""</f>
        <v/>
      </c>
      <c r="F2465" t="str">
        <f>""</f>
        <v/>
      </c>
      <c r="H2465" t="str">
        <f t="shared" si="59"/>
        <v>TEXAS COUNTY &amp; DISTRICT RET</v>
      </c>
    </row>
    <row r="2466" spans="1:8" x14ac:dyDescent="0.25">
      <c r="E2466" t="str">
        <f>""</f>
        <v/>
      </c>
      <c r="F2466" t="str">
        <f>""</f>
        <v/>
      </c>
      <c r="H2466" t="str">
        <f t="shared" si="59"/>
        <v>TEXAS COUNTY &amp; DISTRICT RET</v>
      </c>
    </row>
    <row r="2467" spans="1:8" x14ac:dyDescent="0.25">
      <c r="E2467" t="str">
        <f>""</f>
        <v/>
      </c>
      <c r="F2467" t="str">
        <f>""</f>
        <v/>
      </c>
      <c r="H2467" t="str">
        <f t="shared" si="59"/>
        <v>TEXAS COUNTY &amp; DISTRICT RET</v>
      </c>
    </row>
    <row r="2468" spans="1:8" x14ac:dyDescent="0.25">
      <c r="E2468" t="str">
        <f>""</f>
        <v/>
      </c>
      <c r="F2468" t="str">
        <f>""</f>
        <v/>
      </c>
      <c r="H2468" t="str">
        <f t="shared" si="59"/>
        <v>TEXAS COUNTY &amp; DISTRICT RET</v>
      </c>
    </row>
    <row r="2469" spans="1:8" x14ac:dyDescent="0.25">
      <c r="E2469" t="str">
        <f>""</f>
        <v/>
      </c>
      <c r="F2469" t="str">
        <f>""</f>
        <v/>
      </c>
      <c r="H2469" t="str">
        <f t="shared" si="59"/>
        <v>TEXAS COUNTY &amp; DISTRICT RET</v>
      </c>
    </row>
    <row r="2470" spans="1:8" x14ac:dyDescent="0.25">
      <c r="E2470" t="str">
        <f>""</f>
        <v/>
      </c>
      <c r="F2470" t="str">
        <f>""</f>
        <v/>
      </c>
      <c r="H2470" t="str">
        <f t="shared" si="59"/>
        <v>TEXAS COUNTY &amp; DISTRICT RET</v>
      </c>
    </row>
    <row r="2471" spans="1:8" x14ac:dyDescent="0.25">
      <c r="E2471" t="str">
        <f>""</f>
        <v/>
      </c>
      <c r="F2471" t="str">
        <f>""</f>
        <v/>
      </c>
      <c r="H2471" t="str">
        <f t="shared" si="59"/>
        <v>TEXAS COUNTY &amp; DISTRICT RET</v>
      </c>
    </row>
    <row r="2472" spans="1:8" x14ac:dyDescent="0.25">
      <c r="E2472" t="str">
        <f>""</f>
        <v/>
      </c>
      <c r="F2472" t="str">
        <f>""</f>
        <v/>
      </c>
      <c r="H2472" t="str">
        <f t="shared" si="59"/>
        <v>TEXAS COUNTY &amp; DISTRICT RET</v>
      </c>
    </row>
    <row r="2473" spans="1:8" x14ac:dyDescent="0.25">
      <c r="E2473" t="str">
        <f>"RET202005267010"</f>
        <v>RET202005267010</v>
      </c>
      <c r="F2473" t="str">
        <f>"TEXAS COUNTY  DISTRICT RET"</f>
        <v>TEXAS COUNTY  DISTRICT RET</v>
      </c>
      <c r="G2473" s="5">
        <v>6611.81</v>
      </c>
      <c r="H2473" t="str">
        <f>"TEXAS COUNTY  DISTRICT RET"</f>
        <v>TEXAS COUNTY  DISTRICT RET</v>
      </c>
    </row>
    <row r="2474" spans="1:8" x14ac:dyDescent="0.25">
      <c r="E2474" t="str">
        <f>""</f>
        <v/>
      </c>
      <c r="F2474" t="str">
        <f>""</f>
        <v/>
      </c>
      <c r="H2474" t="str">
        <f>"TEXAS COUNTY  DISTRICT RET"</f>
        <v>TEXAS COUNTY  DISTRICT RET</v>
      </c>
    </row>
    <row r="2475" spans="1:8" x14ac:dyDescent="0.25">
      <c r="E2475" t="str">
        <f>"RET202005267011"</f>
        <v>RET202005267011</v>
      </c>
      <c r="F2475" t="str">
        <f>"TEXAS COUNTY &amp; DISTRICT RET"</f>
        <v>TEXAS COUNTY &amp; DISTRICT RET</v>
      </c>
      <c r="G2475" s="5">
        <v>7974.09</v>
      </c>
      <c r="H2475" t="str">
        <f>"TEXAS COUNTY &amp; DISTRICT RET"</f>
        <v>TEXAS COUNTY &amp; DISTRICT RET</v>
      </c>
    </row>
    <row r="2476" spans="1:8" x14ac:dyDescent="0.25">
      <c r="E2476" t="str">
        <f>""</f>
        <v/>
      </c>
      <c r="F2476" t="str">
        <f>""</f>
        <v/>
      </c>
      <c r="H2476" t="str">
        <f>"TEXAS COUNTY &amp; DISTRICT RET"</f>
        <v>TEXAS COUNTY &amp; DISTRICT RET</v>
      </c>
    </row>
    <row r="2477" spans="1:8" x14ac:dyDescent="0.25">
      <c r="A2477" t="s">
        <v>315</v>
      </c>
      <c r="B2477">
        <v>47934</v>
      </c>
      <c r="C2477" s="5">
        <v>1452</v>
      </c>
      <c r="D2477" s="1">
        <v>43978</v>
      </c>
      <c r="E2477" t="str">
        <f>"LEG202004296628"</f>
        <v>LEG202004296628</v>
      </c>
      <c r="F2477" t="str">
        <f>"TEXAS LEGAL PROTECTION PLAN"</f>
        <v>TEXAS LEGAL PROTECTION PLAN</v>
      </c>
      <c r="G2477" s="5">
        <v>246</v>
      </c>
      <c r="H2477" t="str">
        <f>"TEXAS LEGAL PROTECTION PLAN"</f>
        <v>TEXAS LEGAL PROTECTION PLAN</v>
      </c>
    </row>
    <row r="2478" spans="1:8" x14ac:dyDescent="0.25">
      <c r="E2478" t="str">
        <f>"LEG202005126839"</f>
        <v>LEG202005126839</v>
      </c>
      <c r="F2478" t="str">
        <f>"TEXAS LEGAL PROTECTION PLAN"</f>
        <v>TEXAS LEGAL PROTECTION PLAN</v>
      </c>
      <c r="G2478" s="5">
        <v>246</v>
      </c>
      <c r="H2478" t="str">
        <f>"TEXAS LEGAL PROTECTION PLAN"</f>
        <v>TEXAS LEGAL PROTECTION PLAN</v>
      </c>
    </row>
    <row r="2479" spans="1:8" x14ac:dyDescent="0.25">
      <c r="E2479" t="str">
        <f>"LGF202004296628"</f>
        <v>LGF202004296628</v>
      </c>
      <c r="F2479" t="str">
        <f>"TEXAS LEGAL PROTECTION PLAN"</f>
        <v>TEXAS LEGAL PROTECTION PLAN</v>
      </c>
      <c r="G2479" s="5">
        <v>480</v>
      </c>
      <c r="H2479" t="str">
        <f>"TEXAS LEGAL PROTECTION PLAN"</f>
        <v>TEXAS LEGAL PROTECTION PLAN</v>
      </c>
    </row>
    <row r="2480" spans="1:8" x14ac:dyDescent="0.25">
      <c r="E2480" t="str">
        <f>"LGF202005126839"</f>
        <v>LGF202005126839</v>
      </c>
      <c r="F2480" t="str">
        <f>"TEXAS LEGAL PROTECTION PLAN"</f>
        <v>TEXAS LEGAL PROTECTION PLAN</v>
      </c>
      <c r="G2480" s="5">
        <v>480</v>
      </c>
      <c r="H2480" t="str">
        <f>"TEXAS LEGAL PROTECTION PLAN"</f>
        <v>TEXAS LEGAL PROTECTION PLAN</v>
      </c>
    </row>
    <row r="2481" spans="1:8" x14ac:dyDescent="0.25">
      <c r="A2481" t="s">
        <v>316</v>
      </c>
      <c r="B2481">
        <v>525</v>
      </c>
      <c r="C2481" s="5">
        <v>282.02999999999997</v>
      </c>
      <c r="D2481" s="1">
        <v>43973</v>
      </c>
      <c r="E2481" t="str">
        <f>"202005216982"</f>
        <v>202005216982</v>
      </c>
      <c r="F2481" t="str">
        <f t="shared" ref="F2481:F2491" si="60">"ACCT#72-5613 / 05032020"</f>
        <v>ACCT#72-5613 / 05032020</v>
      </c>
      <c r="G2481" s="5">
        <v>282.02999999999997</v>
      </c>
      <c r="H2481" t="str">
        <f t="shared" ref="H2481:H2491" si="61">"ACCT#72-5613 / 05032020"</f>
        <v>ACCT#72-5613 / 05032020</v>
      </c>
    </row>
    <row r="2482" spans="1:8" x14ac:dyDescent="0.25">
      <c r="A2482" t="s">
        <v>317</v>
      </c>
      <c r="B2482">
        <v>523</v>
      </c>
      <c r="C2482" s="5">
        <v>99.66</v>
      </c>
      <c r="D2482" s="1">
        <v>43973</v>
      </c>
      <c r="E2482" t="str">
        <f>"202005216980"</f>
        <v>202005216980</v>
      </c>
      <c r="F2482" t="str">
        <f t="shared" si="60"/>
        <v>ACCT#72-5613 / 05032020</v>
      </c>
      <c r="G2482" s="5">
        <v>99.66</v>
      </c>
      <c r="H2482" t="str">
        <f t="shared" si="61"/>
        <v>ACCT#72-5613 / 05032020</v>
      </c>
    </row>
    <row r="2483" spans="1:8" x14ac:dyDescent="0.25">
      <c r="A2483" t="s">
        <v>318</v>
      </c>
      <c r="B2483">
        <v>524</v>
      </c>
      <c r="C2483" s="5">
        <v>89.97</v>
      </c>
      <c r="D2483" s="1">
        <v>43973</v>
      </c>
      <c r="E2483" t="str">
        <f>"202005216981"</f>
        <v>202005216981</v>
      </c>
      <c r="F2483" t="str">
        <f t="shared" si="60"/>
        <v>ACCT#72-5613 / 05032020</v>
      </c>
      <c r="G2483" s="5">
        <v>89.97</v>
      </c>
      <c r="H2483" t="str">
        <f t="shared" si="61"/>
        <v>ACCT#72-5613 / 05032020</v>
      </c>
    </row>
    <row r="2484" spans="1:8" x14ac:dyDescent="0.25">
      <c r="A2484" t="s">
        <v>319</v>
      </c>
      <c r="B2484">
        <v>526</v>
      </c>
      <c r="C2484" s="5">
        <v>195.02</v>
      </c>
      <c r="D2484" s="1">
        <v>43973</v>
      </c>
      <c r="E2484" t="str">
        <f>"202005216983"</f>
        <v>202005216983</v>
      </c>
      <c r="F2484" t="str">
        <f t="shared" si="60"/>
        <v>ACCT#72-5613 / 05032020</v>
      </c>
      <c r="G2484" s="5">
        <v>195.02</v>
      </c>
      <c r="H2484" t="str">
        <f t="shared" si="61"/>
        <v>ACCT#72-5613 / 05032020</v>
      </c>
    </row>
    <row r="2485" spans="1:8" x14ac:dyDescent="0.25">
      <c r="A2485" t="s">
        <v>320</v>
      </c>
      <c r="B2485">
        <v>520</v>
      </c>
      <c r="C2485" s="5">
        <v>263.94</v>
      </c>
      <c r="D2485" s="1">
        <v>43973</v>
      </c>
      <c r="E2485" t="str">
        <f>"202005216988"</f>
        <v>202005216988</v>
      </c>
      <c r="F2485" t="str">
        <f t="shared" si="60"/>
        <v>ACCT#72-5613 / 05032020</v>
      </c>
      <c r="G2485" s="5">
        <v>263.94</v>
      </c>
      <c r="H2485" t="str">
        <f t="shared" si="61"/>
        <v>ACCT#72-5613 / 05032020</v>
      </c>
    </row>
    <row r="2486" spans="1:8" x14ac:dyDescent="0.25">
      <c r="A2486" t="s">
        <v>321</v>
      </c>
      <c r="B2486">
        <v>516</v>
      </c>
      <c r="C2486" s="5">
        <v>1769.8</v>
      </c>
      <c r="D2486" s="1">
        <v>43973</v>
      </c>
      <c r="E2486" t="str">
        <f>"202005216984"</f>
        <v>202005216984</v>
      </c>
      <c r="F2486" t="str">
        <f t="shared" si="60"/>
        <v>ACCT#72-5613 / 05032020</v>
      </c>
      <c r="G2486" s="5">
        <v>1769.8</v>
      </c>
      <c r="H2486" t="str">
        <f t="shared" si="61"/>
        <v>ACCT#72-5613 / 05032020</v>
      </c>
    </row>
    <row r="2487" spans="1:8" x14ac:dyDescent="0.25">
      <c r="A2487" t="s">
        <v>48</v>
      </c>
      <c r="B2487">
        <v>518</v>
      </c>
      <c r="C2487" s="5">
        <v>59.99</v>
      </c>
      <c r="D2487" s="1">
        <v>43973</v>
      </c>
      <c r="E2487" t="str">
        <f>"202005216986"</f>
        <v>202005216986</v>
      </c>
      <c r="F2487" t="str">
        <f t="shared" si="60"/>
        <v>ACCT#72-5613 / 05032020</v>
      </c>
      <c r="G2487" s="5">
        <v>59.99</v>
      </c>
      <c r="H2487" t="str">
        <f t="shared" si="61"/>
        <v>ACCT#72-5613 / 05032020</v>
      </c>
    </row>
    <row r="2488" spans="1:8" x14ac:dyDescent="0.25">
      <c r="A2488" t="s">
        <v>322</v>
      </c>
      <c r="B2488">
        <v>519</v>
      </c>
      <c r="C2488" s="5">
        <v>6472.9</v>
      </c>
      <c r="D2488" s="1">
        <v>43973</v>
      </c>
      <c r="E2488" t="str">
        <f>"202005216987"</f>
        <v>202005216987</v>
      </c>
      <c r="F2488" t="str">
        <f t="shared" si="60"/>
        <v>ACCT#72-5613 / 05032020</v>
      </c>
      <c r="G2488" s="5">
        <v>6472.9</v>
      </c>
      <c r="H2488" t="str">
        <f t="shared" si="61"/>
        <v>ACCT#72-5613 / 05032020</v>
      </c>
    </row>
    <row r="2489" spans="1:8" x14ac:dyDescent="0.25">
      <c r="A2489" t="s">
        <v>117</v>
      </c>
      <c r="B2489">
        <v>521</v>
      </c>
      <c r="C2489" s="5">
        <v>93.21</v>
      </c>
      <c r="D2489" s="1">
        <v>43973</v>
      </c>
      <c r="E2489" t="str">
        <f>"202005216989"</f>
        <v>202005216989</v>
      </c>
      <c r="F2489" t="str">
        <f t="shared" si="60"/>
        <v>ACCT#72-5613 / 05032020</v>
      </c>
      <c r="G2489" s="5">
        <v>93.21</v>
      </c>
      <c r="H2489" t="str">
        <f t="shared" si="61"/>
        <v>ACCT#72-5613 / 05032020</v>
      </c>
    </row>
    <row r="2490" spans="1:8" x14ac:dyDescent="0.25">
      <c r="A2490" t="s">
        <v>317</v>
      </c>
      <c r="B2490">
        <v>517</v>
      </c>
      <c r="C2490" s="5">
        <v>35.89</v>
      </c>
      <c r="D2490" s="1">
        <v>43973</v>
      </c>
      <c r="E2490" t="str">
        <f>"202005216985"</f>
        <v>202005216985</v>
      </c>
      <c r="F2490" t="str">
        <f t="shared" si="60"/>
        <v>ACCT#72-5613 / 05032020</v>
      </c>
      <c r="G2490" s="5">
        <v>35.89</v>
      </c>
      <c r="H2490" t="str">
        <f t="shared" si="61"/>
        <v>ACCT#72-5613 / 05032020</v>
      </c>
    </row>
    <row r="2491" spans="1:8" x14ac:dyDescent="0.25">
      <c r="A2491" t="s">
        <v>319</v>
      </c>
      <c r="B2491">
        <v>522</v>
      </c>
      <c r="C2491" s="5">
        <v>18.899999999999999</v>
      </c>
      <c r="D2491" s="1">
        <v>43973</v>
      </c>
      <c r="E2491" t="str">
        <f>"202005216990"</f>
        <v>202005216990</v>
      </c>
      <c r="F2491" t="str">
        <f t="shared" si="60"/>
        <v>ACCT#72-5613 / 05032020</v>
      </c>
      <c r="G2491" s="5">
        <v>18.899999999999999</v>
      </c>
      <c r="H2491" t="str">
        <f t="shared" si="61"/>
        <v>ACCT#72-5613 / 05032020</v>
      </c>
    </row>
    <row r="2492" spans="1:8" ht="17.25" x14ac:dyDescent="0.4">
      <c r="C2492" s="6">
        <f>SUM(C2:C2491)</f>
        <v>5387760.1699999999</v>
      </c>
      <c r="D2492" s="2" t="s">
        <v>323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 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Dawn Bomar</dc:creator>
  <cp:lastModifiedBy>Jo Dawn Bomar</cp:lastModifiedBy>
  <dcterms:created xsi:type="dcterms:W3CDTF">2020-07-15T14:04:42Z</dcterms:created>
  <dcterms:modified xsi:type="dcterms:W3CDTF">2020-07-15T14:04:51Z</dcterms:modified>
</cp:coreProperties>
</file>