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Check Registers\"/>
    </mc:Choice>
  </mc:AlternateContent>
  <bookViews>
    <workbookView xWindow="0" yWindow="0" windowWidth="28800" windowHeight="12435"/>
  </bookViews>
  <sheets>
    <sheet name="March 2020" sheetId="1" r:id="rId1"/>
  </sheets>
  <definedNames>
    <definedName name="_xlnm._FilterDatabase" localSheetId="0" hidden="1">'March 2020'!$A$1:$H$2775</definedName>
  </definedNames>
  <calcPr calcId="0"/>
</workbook>
</file>

<file path=xl/calcChain.xml><?xml version="1.0" encoding="utf-8"?>
<calcChain xmlns="http://schemas.openxmlformats.org/spreadsheetml/2006/main">
  <c r="C2775" i="1" l="1"/>
  <c r="E2" i="1"/>
  <c r="F2" i="1"/>
  <c r="H2" i="1"/>
  <c r="E3" i="1"/>
  <c r="F3" i="1"/>
  <c r="H3" i="1"/>
  <c r="E4" i="1"/>
  <c r="F4" i="1"/>
  <c r="H4" i="1"/>
  <c r="E5" i="1"/>
  <c r="F5" i="1"/>
  <c r="H5" i="1"/>
  <c r="E6" i="1"/>
  <c r="F6" i="1"/>
  <c r="H6" i="1"/>
  <c r="E7" i="1"/>
  <c r="F7" i="1"/>
  <c r="H7" i="1"/>
  <c r="E8" i="1"/>
  <c r="F8" i="1"/>
  <c r="H8" i="1"/>
  <c r="E9" i="1"/>
  <c r="F9" i="1"/>
  <c r="H9" i="1"/>
  <c r="E10" i="1"/>
  <c r="F10" i="1"/>
  <c r="H10" i="1"/>
  <c r="E11" i="1"/>
  <c r="F11" i="1"/>
  <c r="H11" i="1"/>
  <c r="E12" i="1"/>
  <c r="F12" i="1"/>
  <c r="H12" i="1"/>
  <c r="E13" i="1"/>
  <c r="F13" i="1"/>
  <c r="H13" i="1"/>
  <c r="E14" i="1"/>
  <c r="F14" i="1"/>
  <c r="H14" i="1"/>
  <c r="E15" i="1"/>
  <c r="F15" i="1"/>
  <c r="H15" i="1"/>
  <c r="E16" i="1"/>
  <c r="F16" i="1"/>
  <c r="H16" i="1"/>
  <c r="E17" i="1"/>
  <c r="F17" i="1"/>
  <c r="H17" i="1"/>
  <c r="E18" i="1"/>
  <c r="F18" i="1"/>
  <c r="H18" i="1"/>
  <c r="E19" i="1"/>
  <c r="F19" i="1"/>
  <c r="H19" i="1"/>
  <c r="E20" i="1"/>
  <c r="F20" i="1"/>
  <c r="H20" i="1"/>
  <c r="E21" i="1"/>
  <c r="F21" i="1"/>
  <c r="H21" i="1"/>
  <c r="E22" i="1"/>
  <c r="F22" i="1"/>
  <c r="H22" i="1"/>
  <c r="E23" i="1"/>
  <c r="F23" i="1"/>
  <c r="H23" i="1"/>
  <c r="E24" i="1"/>
  <c r="F24" i="1"/>
  <c r="H24" i="1"/>
  <c r="E25" i="1"/>
  <c r="F25" i="1"/>
  <c r="H25" i="1"/>
  <c r="E26" i="1"/>
  <c r="F26" i="1"/>
  <c r="H26" i="1"/>
  <c r="E27" i="1"/>
  <c r="F27" i="1"/>
  <c r="H27" i="1"/>
  <c r="E28" i="1"/>
  <c r="F28" i="1"/>
  <c r="H28" i="1"/>
  <c r="E29" i="1"/>
  <c r="F29" i="1"/>
  <c r="H29" i="1"/>
  <c r="E30" i="1"/>
  <c r="F30" i="1"/>
  <c r="H30" i="1"/>
  <c r="E31" i="1"/>
  <c r="F31" i="1"/>
  <c r="H31" i="1"/>
  <c r="E32" i="1"/>
  <c r="F32" i="1"/>
  <c r="H32" i="1"/>
  <c r="E33" i="1"/>
  <c r="F33" i="1"/>
  <c r="H33" i="1"/>
  <c r="E34" i="1"/>
  <c r="F34" i="1"/>
  <c r="H34" i="1"/>
  <c r="E35" i="1"/>
  <c r="F35" i="1"/>
  <c r="H35" i="1"/>
  <c r="E36" i="1"/>
  <c r="F36" i="1"/>
  <c r="H36" i="1"/>
  <c r="E37" i="1"/>
  <c r="F37" i="1"/>
  <c r="H37" i="1"/>
  <c r="E38" i="1"/>
  <c r="F38" i="1"/>
  <c r="H38" i="1"/>
  <c r="E39" i="1"/>
  <c r="F39" i="1"/>
  <c r="H39" i="1"/>
  <c r="E40" i="1"/>
  <c r="F40" i="1"/>
  <c r="H40" i="1"/>
  <c r="E41" i="1"/>
  <c r="F41" i="1"/>
  <c r="H41" i="1"/>
  <c r="E42" i="1"/>
  <c r="F42" i="1"/>
  <c r="H42" i="1"/>
  <c r="E43" i="1"/>
  <c r="F43" i="1"/>
  <c r="H43" i="1"/>
  <c r="E44" i="1"/>
  <c r="F44" i="1"/>
  <c r="H44" i="1"/>
  <c r="E45" i="1"/>
  <c r="F45" i="1"/>
  <c r="H45" i="1"/>
  <c r="E46" i="1"/>
  <c r="F46" i="1"/>
  <c r="H46" i="1"/>
  <c r="E47" i="1"/>
  <c r="F47" i="1"/>
  <c r="H47" i="1"/>
  <c r="E48" i="1"/>
  <c r="F48" i="1"/>
  <c r="H48" i="1"/>
  <c r="E49" i="1"/>
  <c r="F49" i="1"/>
  <c r="H49" i="1"/>
  <c r="E50" i="1"/>
  <c r="F50" i="1"/>
  <c r="H50" i="1"/>
  <c r="E51" i="1"/>
  <c r="F51" i="1"/>
  <c r="H51" i="1"/>
  <c r="E52" i="1"/>
  <c r="F52" i="1"/>
  <c r="H52" i="1"/>
  <c r="E53" i="1"/>
  <c r="F53" i="1"/>
  <c r="H53" i="1"/>
  <c r="E54" i="1"/>
  <c r="F54" i="1"/>
  <c r="H54" i="1"/>
  <c r="E55" i="1"/>
  <c r="F55" i="1"/>
  <c r="H55" i="1"/>
  <c r="E56" i="1"/>
  <c r="F56" i="1"/>
  <c r="H56" i="1"/>
  <c r="E57" i="1"/>
  <c r="F57" i="1"/>
  <c r="H57" i="1"/>
  <c r="E58" i="1"/>
  <c r="F58" i="1"/>
  <c r="H58" i="1"/>
  <c r="E59" i="1"/>
  <c r="F59" i="1"/>
  <c r="H59" i="1"/>
  <c r="E60" i="1"/>
  <c r="F60" i="1"/>
  <c r="H60" i="1"/>
  <c r="E61" i="1"/>
  <c r="F61" i="1"/>
  <c r="H61" i="1"/>
  <c r="E62" i="1"/>
  <c r="F62" i="1"/>
  <c r="H62" i="1"/>
  <c r="E63" i="1"/>
  <c r="F63" i="1"/>
  <c r="H63" i="1"/>
  <c r="E64" i="1"/>
  <c r="F64" i="1"/>
  <c r="H64" i="1"/>
  <c r="E65" i="1"/>
  <c r="F65" i="1"/>
  <c r="H65" i="1"/>
  <c r="E66" i="1"/>
  <c r="F66" i="1"/>
  <c r="H66" i="1"/>
  <c r="E67" i="1"/>
  <c r="F67" i="1"/>
  <c r="H67" i="1"/>
  <c r="E68" i="1"/>
  <c r="F68" i="1"/>
  <c r="H68" i="1"/>
  <c r="E69" i="1"/>
  <c r="F69" i="1"/>
  <c r="H69" i="1"/>
  <c r="E70" i="1"/>
  <c r="F70" i="1"/>
  <c r="H70" i="1"/>
  <c r="E71" i="1"/>
  <c r="F71" i="1"/>
  <c r="H71" i="1"/>
  <c r="E72" i="1"/>
  <c r="F72" i="1"/>
  <c r="H72" i="1"/>
  <c r="E73" i="1"/>
  <c r="F73" i="1"/>
  <c r="H73" i="1"/>
  <c r="E74" i="1"/>
  <c r="F74" i="1"/>
  <c r="H74" i="1"/>
  <c r="E75" i="1"/>
  <c r="F75" i="1"/>
  <c r="H75" i="1"/>
  <c r="E76" i="1"/>
  <c r="F76" i="1"/>
  <c r="H76" i="1"/>
  <c r="E77" i="1"/>
  <c r="F77" i="1"/>
  <c r="H77" i="1"/>
  <c r="E78" i="1"/>
  <c r="F78" i="1"/>
  <c r="H78" i="1"/>
  <c r="E79" i="1"/>
  <c r="F79" i="1"/>
  <c r="H79" i="1"/>
  <c r="E80" i="1"/>
  <c r="F80" i="1"/>
  <c r="H80" i="1"/>
  <c r="E81" i="1"/>
  <c r="F81" i="1"/>
  <c r="H81" i="1"/>
  <c r="E82" i="1"/>
  <c r="F82" i="1"/>
  <c r="H82" i="1"/>
  <c r="E83" i="1"/>
  <c r="F83" i="1"/>
  <c r="H83" i="1"/>
  <c r="E84" i="1"/>
  <c r="F84" i="1"/>
  <c r="H84" i="1"/>
  <c r="E85" i="1"/>
  <c r="F85" i="1"/>
  <c r="H85" i="1"/>
  <c r="E86" i="1"/>
  <c r="F86" i="1"/>
  <c r="H86" i="1"/>
  <c r="E87" i="1"/>
  <c r="F87" i="1"/>
  <c r="H87" i="1"/>
  <c r="E88" i="1"/>
  <c r="F88" i="1"/>
  <c r="H88" i="1"/>
  <c r="E89" i="1"/>
  <c r="F89" i="1"/>
  <c r="H89" i="1"/>
  <c r="E90" i="1"/>
  <c r="F90" i="1"/>
  <c r="H90" i="1"/>
  <c r="E91" i="1"/>
  <c r="F91" i="1"/>
  <c r="H91" i="1"/>
  <c r="E92" i="1"/>
  <c r="F92" i="1"/>
  <c r="H92" i="1"/>
  <c r="E93" i="1"/>
  <c r="F93" i="1"/>
  <c r="H93" i="1"/>
  <c r="E94" i="1"/>
  <c r="F94" i="1"/>
  <c r="H94" i="1"/>
  <c r="E95" i="1"/>
  <c r="F95" i="1"/>
  <c r="H95" i="1"/>
  <c r="E96" i="1"/>
  <c r="F96" i="1"/>
  <c r="H96" i="1"/>
  <c r="E97" i="1"/>
  <c r="F97" i="1"/>
  <c r="H97" i="1"/>
  <c r="E98" i="1"/>
  <c r="F98" i="1"/>
  <c r="H98" i="1"/>
  <c r="E99" i="1"/>
  <c r="F99" i="1"/>
  <c r="H99" i="1"/>
  <c r="E100" i="1"/>
  <c r="F100" i="1"/>
  <c r="H100" i="1"/>
  <c r="E101" i="1"/>
  <c r="F101" i="1"/>
  <c r="H101" i="1"/>
  <c r="E102" i="1"/>
  <c r="F102" i="1"/>
  <c r="H102" i="1"/>
  <c r="E103" i="1"/>
  <c r="F103" i="1"/>
  <c r="H103" i="1"/>
  <c r="E104" i="1"/>
  <c r="F104" i="1"/>
  <c r="H104" i="1"/>
  <c r="E105" i="1"/>
  <c r="F105" i="1"/>
  <c r="H105" i="1"/>
  <c r="E106" i="1"/>
  <c r="F106" i="1"/>
  <c r="H106" i="1"/>
  <c r="E107" i="1"/>
  <c r="F107" i="1"/>
  <c r="H107" i="1"/>
  <c r="E108" i="1"/>
  <c r="F108" i="1"/>
  <c r="H108" i="1"/>
  <c r="E109" i="1"/>
  <c r="F109" i="1"/>
  <c r="H109" i="1"/>
  <c r="E110" i="1"/>
  <c r="F110" i="1"/>
  <c r="H110" i="1"/>
  <c r="E111" i="1"/>
  <c r="F111" i="1"/>
  <c r="H111" i="1"/>
  <c r="E112" i="1"/>
  <c r="F112" i="1"/>
  <c r="H112" i="1"/>
  <c r="E113" i="1"/>
  <c r="F113" i="1"/>
  <c r="H113" i="1"/>
  <c r="E114" i="1"/>
  <c r="F114" i="1"/>
  <c r="H114" i="1"/>
  <c r="E115" i="1"/>
  <c r="F115" i="1"/>
  <c r="H115" i="1"/>
  <c r="E116" i="1"/>
  <c r="F116" i="1"/>
  <c r="H116" i="1"/>
  <c r="E117" i="1"/>
  <c r="F117" i="1"/>
  <c r="H117" i="1"/>
  <c r="E118" i="1"/>
  <c r="F118" i="1"/>
  <c r="H118" i="1"/>
  <c r="E119" i="1"/>
  <c r="F119" i="1"/>
  <c r="H119" i="1"/>
  <c r="E120" i="1"/>
  <c r="F120" i="1"/>
  <c r="H120" i="1"/>
  <c r="E121" i="1"/>
  <c r="F121" i="1"/>
  <c r="H121" i="1"/>
  <c r="E122" i="1"/>
  <c r="F122" i="1"/>
  <c r="H122" i="1"/>
  <c r="E123" i="1"/>
  <c r="F123" i="1"/>
  <c r="H123" i="1"/>
  <c r="E124" i="1"/>
  <c r="F124" i="1"/>
  <c r="H124" i="1"/>
  <c r="E125" i="1"/>
  <c r="F125" i="1"/>
  <c r="H125" i="1"/>
  <c r="E126" i="1"/>
  <c r="F126" i="1"/>
  <c r="H126" i="1"/>
  <c r="E127" i="1"/>
  <c r="F127" i="1"/>
  <c r="H127" i="1"/>
  <c r="E128" i="1"/>
  <c r="F128" i="1"/>
  <c r="H128" i="1"/>
  <c r="E129" i="1"/>
  <c r="F129" i="1"/>
  <c r="H129" i="1"/>
  <c r="E130" i="1"/>
  <c r="F130" i="1"/>
  <c r="H130" i="1"/>
  <c r="E131" i="1"/>
  <c r="F131" i="1"/>
  <c r="H131" i="1"/>
  <c r="E132" i="1"/>
  <c r="F132" i="1"/>
  <c r="H132" i="1"/>
  <c r="E133" i="1"/>
  <c r="F133" i="1"/>
  <c r="H133" i="1"/>
  <c r="E134" i="1"/>
  <c r="F134" i="1"/>
  <c r="H134" i="1"/>
  <c r="E135" i="1"/>
  <c r="F135" i="1"/>
  <c r="H135" i="1"/>
  <c r="E136" i="1"/>
  <c r="F136" i="1"/>
  <c r="H136" i="1"/>
  <c r="E137" i="1"/>
  <c r="F137" i="1"/>
  <c r="H137" i="1"/>
  <c r="E138" i="1"/>
  <c r="F138" i="1"/>
  <c r="H138" i="1"/>
  <c r="E139" i="1"/>
  <c r="F139" i="1"/>
  <c r="H139" i="1"/>
  <c r="E140" i="1"/>
  <c r="F140" i="1"/>
  <c r="H140" i="1"/>
  <c r="E141" i="1"/>
  <c r="F141" i="1"/>
  <c r="H141" i="1"/>
  <c r="E142" i="1"/>
  <c r="F142" i="1"/>
  <c r="H142" i="1"/>
  <c r="E143" i="1"/>
  <c r="F143" i="1"/>
  <c r="H143" i="1"/>
  <c r="E144" i="1"/>
  <c r="F144" i="1"/>
  <c r="H144" i="1"/>
  <c r="E145" i="1"/>
  <c r="F145" i="1"/>
  <c r="H145" i="1"/>
  <c r="E146" i="1"/>
  <c r="F146" i="1"/>
  <c r="H146" i="1"/>
  <c r="E147" i="1"/>
  <c r="F147" i="1"/>
  <c r="H147" i="1"/>
  <c r="E148" i="1"/>
  <c r="F148" i="1"/>
  <c r="H148" i="1"/>
  <c r="E149" i="1"/>
  <c r="F149" i="1"/>
  <c r="H149" i="1"/>
  <c r="E150" i="1"/>
  <c r="F150" i="1"/>
  <c r="H150" i="1"/>
  <c r="E151" i="1"/>
  <c r="F151" i="1"/>
  <c r="H151" i="1"/>
  <c r="E152" i="1"/>
  <c r="F152" i="1"/>
  <c r="H152" i="1"/>
  <c r="E153" i="1"/>
  <c r="F153" i="1"/>
  <c r="H153" i="1"/>
  <c r="E154" i="1"/>
  <c r="F154" i="1"/>
  <c r="H154" i="1"/>
  <c r="E155" i="1"/>
  <c r="F155" i="1"/>
  <c r="H155" i="1"/>
  <c r="E156" i="1"/>
  <c r="F156" i="1"/>
  <c r="H156" i="1"/>
  <c r="E157" i="1"/>
  <c r="F157" i="1"/>
  <c r="H157" i="1"/>
  <c r="E158" i="1"/>
  <c r="F158" i="1"/>
  <c r="H158" i="1"/>
  <c r="E159" i="1"/>
  <c r="F159" i="1"/>
  <c r="H159" i="1"/>
  <c r="E160" i="1"/>
  <c r="F160" i="1"/>
  <c r="H160" i="1"/>
  <c r="E161" i="1"/>
  <c r="F161" i="1"/>
  <c r="H161" i="1"/>
  <c r="E162" i="1"/>
  <c r="F162" i="1"/>
  <c r="H162" i="1"/>
  <c r="E163" i="1"/>
  <c r="F163" i="1"/>
  <c r="H163" i="1"/>
  <c r="E164" i="1"/>
  <c r="F164" i="1"/>
  <c r="H164" i="1"/>
  <c r="E165" i="1"/>
  <c r="F165" i="1"/>
  <c r="H165" i="1"/>
  <c r="E166" i="1"/>
  <c r="F166" i="1"/>
  <c r="H166" i="1"/>
  <c r="E167" i="1"/>
  <c r="F167" i="1"/>
  <c r="H167" i="1"/>
  <c r="E168" i="1"/>
  <c r="F168" i="1"/>
  <c r="H168" i="1"/>
  <c r="E169" i="1"/>
  <c r="F169" i="1"/>
  <c r="H169" i="1"/>
  <c r="E170" i="1"/>
  <c r="F170" i="1"/>
  <c r="H170" i="1"/>
  <c r="E171" i="1"/>
  <c r="F171" i="1"/>
  <c r="H171" i="1"/>
  <c r="E172" i="1"/>
  <c r="F172" i="1"/>
  <c r="H172" i="1"/>
  <c r="E173" i="1"/>
  <c r="F173" i="1"/>
  <c r="H173" i="1"/>
  <c r="E174" i="1"/>
  <c r="F174" i="1"/>
  <c r="H174" i="1"/>
  <c r="E175" i="1"/>
  <c r="F175" i="1"/>
  <c r="H175" i="1"/>
  <c r="E176" i="1"/>
  <c r="F176" i="1"/>
  <c r="H176" i="1"/>
  <c r="E177" i="1"/>
  <c r="F177" i="1"/>
  <c r="H177" i="1"/>
  <c r="E178" i="1"/>
  <c r="F178" i="1"/>
  <c r="H178" i="1"/>
  <c r="E179" i="1"/>
  <c r="F179" i="1"/>
  <c r="H179" i="1"/>
  <c r="E180" i="1"/>
  <c r="F180" i="1"/>
  <c r="H180" i="1"/>
  <c r="E181" i="1"/>
  <c r="F181" i="1"/>
  <c r="H181" i="1"/>
  <c r="E182" i="1"/>
  <c r="F182" i="1"/>
  <c r="H182" i="1"/>
  <c r="E183" i="1"/>
  <c r="F183" i="1"/>
  <c r="H183" i="1"/>
  <c r="E184" i="1"/>
  <c r="F184" i="1"/>
  <c r="H184" i="1"/>
  <c r="E185" i="1"/>
  <c r="F185" i="1"/>
  <c r="H185" i="1"/>
  <c r="E186" i="1"/>
  <c r="F186" i="1"/>
  <c r="H186" i="1"/>
  <c r="E187" i="1"/>
  <c r="F187" i="1"/>
  <c r="H187" i="1"/>
  <c r="E188" i="1"/>
  <c r="F188" i="1"/>
  <c r="H188" i="1"/>
  <c r="E189" i="1"/>
  <c r="F189" i="1"/>
  <c r="H189" i="1"/>
  <c r="E190" i="1"/>
  <c r="F190" i="1"/>
  <c r="H190" i="1"/>
  <c r="E191" i="1"/>
  <c r="F191" i="1"/>
  <c r="H191" i="1"/>
  <c r="E192" i="1"/>
  <c r="F192" i="1"/>
  <c r="H192" i="1"/>
  <c r="E193" i="1"/>
  <c r="F193" i="1"/>
  <c r="H193" i="1"/>
  <c r="E194" i="1"/>
  <c r="F194" i="1"/>
  <c r="H194" i="1"/>
  <c r="E195" i="1"/>
  <c r="F195" i="1"/>
  <c r="H195" i="1"/>
  <c r="E196" i="1"/>
  <c r="F196" i="1"/>
  <c r="H196" i="1"/>
  <c r="E197" i="1"/>
  <c r="F197" i="1"/>
  <c r="H197" i="1"/>
  <c r="E198" i="1"/>
  <c r="F198" i="1"/>
  <c r="H198" i="1"/>
  <c r="E199" i="1"/>
  <c r="F199" i="1"/>
  <c r="H199" i="1"/>
  <c r="E200" i="1"/>
  <c r="F200" i="1"/>
  <c r="H200" i="1"/>
  <c r="E201" i="1"/>
  <c r="F201" i="1"/>
  <c r="H201" i="1"/>
  <c r="E202" i="1"/>
  <c r="F202" i="1"/>
  <c r="H202" i="1"/>
  <c r="E203" i="1"/>
  <c r="F203" i="1"/>
  <c r="H203" i="1"/>
  <c r="E204" i="1"/>
  <c r="F204" i="1"/>
  <c r="H204" i="1"/>
  <c r="E205" i="1"/>
  <c r="F205" i="1"/>
  <c r="H205" i="1"/>
  <c r="E206" i="1"/>
  <c r="F206" i="1"/>
  <c r="H206" i="1"/>
  <c r="E207" i="1"/>
  <c r="F207" i="1"/>
  <c r="H207" i="1"/>
  <c r="E208" i="1"/>
  <c r="F208" i="1"/>
  <c r="H208" i="1"/>
  <c r="E209" i="1"/>
  <c r="F209" i="1"/>
  <c r="H209" i="1"/>
  <c r="E210" i="1"/>
  <c r="F210" i="1"/>
  <c r="H210" i="1"/>
  <c r="E211" i="1"/>
  <c r="F211" i="1"/>
  <c r="H211" i="1"/>
  <c r="E212" i="1"/>
  <c r="F212" i="1"/>
  <c r="H212" i="1"/>
  <c r="E213" i="1"/>
  <c r="F213" i="1"/>
  <c r="H213" i="1"/>
  <c r="E214" i="1"/>
  <c r="F214" i="1"/>
  <c r="H214" i="1"/>
  <c r="E215" i="1"/>
  <c r="F215" i="1"/>
  <c r="H215" i="1"/>
  <c r="E216" i="1"/>
  <c r="F216" i="1"/>
  <c r="H216" i="1"/>
  <c r="E217" i="1"/>
  <c r="F217" i="1"/>
  <c r="H217" i="1"/>
  <c r="E218" i="1"/>
  <c r="F218" i="1"/>
  <c r="H218" i="1"/>
  <c r="E219" i="1"/>
  <c r="F219" i="1"/>
  <c r="H219" i="1"/>
  <c r="E220" i="1"/>
  <c r="F220" i="1"/>
  <c r="H220" i="1"/>
  <c r="E221" i="1"/>
  <c r="F221" i="1"/>
  <c r="H221" i="1"/>
  <c r="E222" i="1"/>
  <c r="F222" i="1"/>
  <c r="H222" i="1"/>
  <c r="E223" i="1"/>
  <c r="F223" i="1"/>
  <c r="H223" i="1"/>
  <c r="E224" i="1"/>
  <c r="F224" i="1"/>
  <c r="H224" i="1"/>
  <c r="E225" i="1"/>
  <c r="F225" i="1"/>
  <c r="H225" i="1"/>
  <c r="E226" i="1"/>
  <c r="F226" i="1"/>
  <c r="H226" i="1"/>
  <c r="E227" i="1"/>
  <c r="F227" i="1"/>
  <c r="H227" i="1"/>
  <c r="E228" i="1"/>
  <c r="F228" i="1"/>
  <c r="H228" i="1"/>
  <c r="E229" i="1"/>
  <c r="F229" i="1"/>
  <c r="H229" i="1"/>
  <c r="E230" i="1"/>
  <c r="F230" i="1"/>
  <c r="H230" i="1"/>
  <c r="E231" i="1"/>
  <c r="F231" i="1"/>
  <c r="H231" i="1"/>
  <c r="E232" i="1"/>
  <c r="F232" i="1"/>
  <c r="H232" i="1"/>
  <c r="E233" i="1"/>
  <c r="F233" i="1"/>
  <c r="H233" i="1"/>
  <c r="E234" i="1"/>
  <c r="F234" i="1"/>
  <c r="H234" i="1"/>
  <c r="E235" i="1"/>
  <c r="F235" i="1"/>
  <c r="H235" i="1"/>
  <c r="E236" i="1"/>
  <c r="F236" i="1"/>
  <c r="H236" i="1"/>
  <c r="E237" i="1"/>
  <c r="F237" i="1"/>
  <c r="H237" i="1"/>
  <c r="E238" i="1"/>
  <c r="F238" i="1"/>
  <c r="H238" i="1"/>
  <c r="E239" i="1"/>
  <c r="F239" i="1"/>
  <c r="H239" i="1"/>
  <c r="E240" i="1"/>
  <c r="F240" i="1"/>
  <c r="H240" i="1"/>
  <c r="E241" i="1"/>
  <c r="F241" i="1"/>
  <c r="H241" i="1"/>
  <c r="E242" i="1"/>
  <c r="F242" i="1"/>
  <c r="H242" i="1"/>
  <c r="E243" i="1"/>
  <c r="F243" i="1"/>
  <c r="H243" i="1"/>
  <c r="E244" i="1"/>
  <c r="F244" i="1"/>
  <c r="H244" i="1"/>
  <c r="E245" i="1"/>
  <c r="F245" i="1"/>
  <c r="H245" i="1"/>
  <c r="E246" i="1"/>
  <c r="F246" i="1"/>
  <c r="H246" i="1"/>
  <c r="E247" i="1"/>
  <c r="F247" i="1"/>
  <c r="H247" i="1"/>
  <c r="E248" i="1"/>
  <c r="F248" i="1"/>
  <c r="H248" i="1"/>
  <c r="E249" i="1"/>
  <c r="F249" i="1"/>
  <c r="H249" i="1"/>
  <c r="E250" i="1"/>
  <c r="F250" i="1"/>
  <c r="H250" i="1"/>
  <c r="E251" i="1"/>
  <c r="F251" i="1"/>
  <c r="H251" i="1"/>
  <c r="E252" i="1"/>
  <c r="F252" i="1"/>
  <c r="H252" i="1"/>
  <c r="E253" i="1"/>
  <c r="F253" i="1"/>
  <c r="H253" i="1"/>
  <c r="E254" i="1"/>
  <c r="F254" i="1"/>
  <c r="H254" i="1"/>
  <c r="E255" i="1"/>
  <c r="F255" i="1"/>
  <c r="H255" i="1"/>
  <c r="E256" i="1"/>
  <c r="F256" i="1"/>
  <c r="H256" i="1"/>
  <c r="E257" i="1"/>
  <c r="F257" i="1"/>
  <c r="H257" i="1"/>
  <c r="E258" i="1"/>
  <c r="F258" i="1"/>
  <c r="H258" i="1"/>
  <c r="E259" i="1"/>
  <c r="F259" i="1"/>
  <c r="H259" i="1"/>
  <c r="E260" i="1"/>
  <c r="F260" i="1"/>
  <c r="H260" i="1"/>
  <c r="E261" i="1"/>
  <c r="F261" i="1"/>
  <c r="H261" i="1"/>
  <c r="E262" i="1"/>
  <c r="F262" i="1"/>
  <c r="H262" i="1"/>
  <c r="E263" i="1"/>
  <c r="F263" i="1"/>
  <c r="H263" i="1"/>
  <c r="E264" i="1"/>
  <c r="F264" i="1"/>
  <c r="H264" i="1"/>
  <c r="E265" i="1"/>
  <c r="F265" i="1"/>
  <c r="H265" i="1"/>
  <c r="E266" i="1"/>
  <c r="F266" i="1"/>
  <c r="H266" i="1"/>
  <c r="E267" i="1"/>
  <c r="F267" i="1"/>
  <c r="H267" i="1"/>
  <c r="E268" i="1"/>
  <c r="F268" i="1"/>
  <c r="H268" i="1"/>
  <c r="E269" i="1"/>
  <c r="F269" i="1"/>
  <c r="H269" i="1"/>
  <c r="E270" i="1"/>
  <c r="F270" i="1"/>
  <c r="H270" i="1"/>
  <c r="E271" i="1"/>
  <c r="F271" i="1"/>
  <c r="H271" i="1"/>
  <c r="E272" i="1"/>
  <c r="F272" i="1"/>
  <c r="H272" i="1"/>
  <c r="E273" i="1"/>
  <c r="F273" i="1"/>
  <c r="H273" i="1"/>
  <c r="E274" i="1"/>
  <c r="F274" i="1"/>
  <c r="H274" i="1"/>
  <c r="E275" i="1"/>
  <c r="F275" i="1"/>
  <c r="H275" i="1"/>
  <c r="E276" i="1"/>
  <c r="F276" i="1"/>
  <c r="H276" i="1"/>
  <c r="E277" i="1"/>
  <c r="F277" i="1"/>
  <c r="H277" i="1"/>
  <c r="E278" i="1"/>
  <c r="F278" i="1"/>
  <c r="H278" i="1"/>
  <c r="E279" i="1"/>
  <c r="F279" i="1"/>
  <c r="H279" i="1"/>
  <c r="E280" i="1"/>
  <c r="F280" i="1"/>
  <c r="H280" i="1"/>
  <c r="E281" i="1"/>
  <c r="F281" i="1"/>
  <c r="H281" i="1"/>
  <c r="E282" i="1"/>
  <c r="F282" i="1"/>
  <c r="H282" i="1"/>
  <c r="E283" i="1"/>
  <c r="F283" i="1"/>
  <c r="H283" i="1"/>
  <c r="E284" i="1"/>
  <c r="F284" i="1"/>
  <c r="H284" i="1"/>
  <c r="E285" i="1"/>
  <c r="F285" i="1"/>
  <c r="H285" i="1"/>
  <c r="E286" i="1"/>
  <c r="F286" i="1"/>
  <c r="H286" i="1"/>
  <c r="E287" i="1"/>
  <c r="F287" i="1"/>
  <c r="H287" i="1"/>
  <c r="E288" i="1"/>
  <c r="F288" i="1"/>
  <c r="H288" i="1"/>
  <c r="E289" i="1"/>
  <c r="F289" i="1"/>
  <c r="H289" i="1"/>
  <c r="E290" i="1"/>
  <c r="F290" i="1"/>
  <c r="H290" i="1"/>
  <c r="E291" i="1"/>
  <c r="F291" i="1"/>
  <c r="H291" i="1"/>
  <c r="E292" i="1"/>
  <c r="F292" i="1"/>
  <c r="H292" i="1"/>
  <c r="E293" i="1"/>
  <c r="F293" i="1"/>
  <c r="H293" i="1"/>
  <c r="E294" i="1"/>
  <c r="F294" i="1"/>
  <c r="H294" i="1"/>
  <c r="E295" i="1"/>
  <c r="F295" i="1"/>
  <c r="H295" i="1"/>
  <c r="E296" i="1"/>
  <c r="F296" i="1"/>
  <c r="H296" i="1"/>
  <c r="E297" i="1"/>
  <c r="F297" i="1"/>
  <c r="H297" i="1"/>
  <c r="E298" i="1"/>
  <c r="F298" i="1"/>
  <c r="H298" i="1"/>
  <c r="E299" i="1"/>
  <c r="F299" i="1"/>
  <c r="H299" i="1"/>
  <c r="E300" i="1"/>
  <c r="F300" i="1"/>
  <c r="H300" i="1"/>
  <c r="F301" i="1"/>
  <c r="H301" i="1"/>
  <c r="E302" i="1"/>
  <c r="F302" i="1"/>
  <c r="H302" i="1"/>
  <c r="E303" i="1"/>
  <c r="F303" i="1"/>
  <c r="H303" i="1"/>
  <c r="E304" i="1"/>
  <c r="F304" i="1"/>
  <c r="H304" i="1"/>
  <c r="E305" i="1"/>
  <c r="F305" i="1"/>
  <c r="H305" i="1"/>
  <c r="E306" i="1"/>
  <c r="F306" i="1"/>
  <c r="H306" i="1"/>
  <c r="E307" i="1"/>
  <c r="F307" i="1"/>
  <c r="H307" i="1"/>
  <c r="E308" i="1"/>
  <c r="F308" i="1"/>
  <c r="H308" i="1"/>
  <c r="E309" i="1"/>
  <c r="F309" i="1"/>
  <c r="H309" i="1"/>
  <c r="E310" i="1"/>
  <c r="F310" i="1"/>
  <c r="H310" i="1"/>
  <c r="E311" i="1"/>
  <c r="F311" i="1"/>
  <c r="H311" i="1"/>
  <c r="E312" i="1"/>
  <c r="F312" i="1"/>
  <c r="H312" i="1"/>
  <c r="E313" i="1"/>
  <c r="F313" i="1"/>
  <c r="H313" i="1"/>
  <c r="E314" i="1"/>
  <c r="F314" i="1"/>
  <c r="H314" i="1"/>
  <c r="E315" i="1"/>
  <c r="F315" i="1"/>
  <c r="H315" i="1"/>
  <c r="E316" i="1"/>
  <c r="F316" i="1"/>
  <c r="H316" i="1"/>
  <c r="E317" i="1"/>
  <c r="F317" i="1"/>
  <c r="H317" i="1"/>
  <c r="E318" i="1"/>
  <c r="F318" i="1"/>
  <c r="H318" i="1"/>
  <c r="E319" i="1"/>
  <c r="F319" i="1"/>
  <c r="H319" i="1"/>
  <c r="E320" i="1"/>
  <c r="F320" i="1"/>
  <c r="H320" i="1"/>
  <c r="E321" i="1"/>
  <c r="F321" i="1"/>
  <c r="H321" i="1"/>
  <c r="E322" i="1"/>
  <c r="F322" i="1"/>
  <c r="H322" i="1"/>
  <c r="E323" i="1"/>
  <c r="F323" i="1"/>
  <c r="H323" i="1"/>
  <c r="E324" i="1"/>
  <c r="F324" i="1"/>
  <c r="H324" i="1"/>
  <c r="E325" i="1"/>
  <c r="F325" i="1"/>
  <c r="H325" i="1"/>
  <c r="E326" i="1"/>
  <c r="F326" i="1"/>
  <c r="H326" i="1"/>
  <c r="E327" i="1"/>
  <c r="F327" i="1"/>
  <c r="H327" i="1"/>
  <c r="E328" i="1"/>
  <c r="F328" i="1"/>
  <c r="H328" i="1"/>
  <c r="E329" i="1"/>
  <c r="F329" i="1"/>
  <c r="H329" i="1"/>
  <c r="E330" i="1"/>
  <c r="F330" i="1"/>
  <c r="H330" i="1"/>
  <c r="E331" i="1"/>
  <c r="F331" i="1"/>
  <c r="H331" i="1"/>
  <c r="E332" i="1"/>
  <c r="F332" i="1"/>
  <c r="H332" i="1"/>
  <c r="E333" i="1"/>
  <c r="F333" i="1"/>
  <c r="H333" i="1"/>
  <c r="E334" i="1"/>
  <c r="F334" i="1"/>
  <c r="H334" i="1"/>
  <c r="E335" i="1"/>
  <c r="F335" i="1"/>
  <c r="H335" i="1"/>
  <c r="E336" i="1"/>
  <c r="F336" i="1"/>
  <c r="H336" i="1"/>
  <c r="E337" i="1"/>
  <c r="F337" i="1"/>
  <c r="H337" i="1"/>
  <c r="E338" i="1"/>
  <c r="F338" i="1"/>
  <c r="H338" i="1"/>
  <c r="E339" i="1"/>
  <c r="F339" i="1"/>
  <c r="H339" i="1"/>
  <c r="E340" i="1"/>
  <c r="F340" i="1"/>
  <c r="H340" i="1"/>
  <c r="E341" i="1"/>
  <c r="F341" i="1"/>
  <c r="H341" i="1"/>
  <c r="E342" i="1"/>
  <c r="F342" i="1"/>
  <c r="H342" i="1"/>
  <c r="E343" i="1"/>
  <c r="F343" i="1"/>
  <c r="H343" i="1"/>
  <c r="E344" i="1"/>
  <c r="F344" i="1"/>
  <c r="H344" i="1"/>
  <c r="E345" i="1"/>
  <c r="F345" i="1"/>
  <c r="H345" i="1"/>
  <c r="E346" i="1"/>
  <c r="F346" i="1"/>
  <c r="H346" i="1"/>
  <c r="E347" i="1"/>
  <c r="F347" i="1"/>
  <c r="H347" i="1"/>
  <c r="E348" i="1"/>
  <c r="F348" i="1"/>
  <c r="H348" i="1"/>
  <c r="E349" i="1"/>
  <c r="F349" i="1"/>
  <c r="H349" i="1"/>
  <c r="E350" i="1"/>
  <c r="F350" i="1"/>
  <c r="H350" i="1"/>
  <c r="E351" i="1"/>
  <c r="F351" i="1"/>
  <c r="H351" i="1"/>
  <c r="E352" i="1"/>
  <c r="F352" i="1"/>
  <c r="H352" i="1"/>
  <c r="E353" i="1"/>
  <c r="F353" i="1"/>
  <c r="H353" i="1"/>
  <c r="E354" i="1"/>
  <c r="F354" i="1"/>
  <c r="H354" i="1"/>
  <c r="E355" i="1"/>
  <c r="F355" i="1"/>
  <c r="H355" i="1"/>
  <c r="E356" i="1"/>
  <c r="F356" i="1"/>
  <c r="H356" i="1"/>
  <c r="E357" i="1"/>
  <c r="F357" i="1"/>
  <c r="H357" i="1"/>
  <c r="E358" i="1"/>
  <c r="F358" i="1"/>
  <c r="H358" i="1"/>
  <c r="E359" i="1"/>
  <c r="F359" i="1"/>
  <c r="H359" i="1"/>
  <c r="E360" i="1"/>
  <c r="F360" i="1"/>
  <c r="H360" i="1"/>
  <c r="E361" i="1"/>
  <c r="F361" i="1"/>
  <c r="H361" i="1"/>
  <c r="E362" i="1"/>
  <c r="F362" i="1"/>
  <c r="H362" i="1"/>
  <c r="E363" i="1"/>
  <c r="F363" i="1"/>
  <c r="H363" i="1"/>
  <c r="E364" i="1"/>
  <c r="F364" i="1"/>
  <c r="H364" i="1"/>
  <c r="E365" i="1"/>
  <c r="F365" i="1"/>
  <c r="H365" i="1"/>
  <c r="E366" i="1"/>
  <c r="F366" i="1"/>
  <c r="H366" i="1"/>
  <c r="E367" i="1"/>
  <c r="F367" i="1"/>
  <c r="H367" i="1"/>
  <c r="E368" i="1"/>
  <c r="F368" i="1"/>
  <c r="H368" i="1"/>
  <c r="E369" i="1"/>
  <c r="F369" i="1"/>
  <c r="H369" i="1"/>
  <c r="E370" i="1"/>
  <c r="F370" i="1"/>
  <c r="H370" i="1"/>
  <c r="E371" i="1"/>
  <c r="F371" i="1"/>
  <c r="H371" i="1"/>
  <c r="E372" i="1"/>
  <c r="F372" i="1"/>
  <c r="H372" i="1"/>
  <c r="E373" i="1"/>
  <c r="F373" i="1"/>
  <c r="H373" i="1"/>
  <c r="E374" i="1"/>
  <c r="F374" i="1"/>
  <c r="H374" i="1"/>
  <c r="E375" i="1"/>
  <c r="F375" i="1"/>
  <c r="H375" i="1"/>
  <c r="E376" i="1"/>
  <c r="F376" i="1"/>
  <c r="H376" i="1"/>
  <c r="E377" i="1"/>
  <c r="F377" i="1"/>
  <c r="H377" i="1"/>
  <c r="E378" i="1"/>
  <c r="F378" i="1"/>
  <c r="H378" i="1"/>
  <c r="E379" i="1"/>
  <c r="F379" i="1"/>
  <c r="H379" i="1"/>
  <c r="E380" i="1"/>
  <c r="F380" i="1"/>
  <c r="H380" i="1"/>
  <c r="E381" i="1"/>
  <c r="F381" i="1"/>
  <c r="H381" i="1"/>
  <c r="E382" i="1"/>
  <c r="F382" i="1"/>
  <c r="H382" i="1"/>
  <c r="E383" i="1"/>
  <c r="F383" i="1"/>
  <c r="H383" i="1"/>
  <c r="E384" i="1"/>
  <c r="F384" i="1"/>
  <c r="H384" i="1"/>
  <c r="E385" i="1"/>
  <c r="F385" i="1"/>
  <c r="H385" i="1"/>
  <c r="E386" i="1"/>
  <c r="F386" i="1"/>
  <c r="H386" i="1"/>
  <c r="E387" i="1"/>
  <c r="F387" i="1"/>
  <c r="H387" i="1"/>
  <c r="E388" i="1"/>
  <c r="F388" i="1"/>
  <c r="H388" i="1"/>
  <c r="E389" i="1"/>
  <c r="F389" i="1"/>
  <c r="H389" i="1"/>
  <c r="E390" i="1"/>
  <c r="F390" i="1"/>
  <c r="H390" i="1"/>
  <c r="E391" i="1"/>
  <c r="F391" i="1"/>
  <c r="H391" i="1"/>
  <c r="E392" i="1"/>
  <c r="F392" i="1"/>
  <c r="H392" i="1"/>
  <c r="E393" i="1"/>
  <c r="F393" i="1"/>
  <c r="H393" i="1"/>
  <c r="E394" i="1"/>
  <c r="F394" i="1"/>
  <c r="H394" i="1"/>
  <c r="E395" i="1"/>
  <c r="F395" i="1"/>
  <c r="H395" i="1"/>
  <c r="E396" i="1"/>
  <c r="F396" i="1"/>
  <c r="H396" i="1"/>
  <c r="E397" i="1"/>
  <c r="F397" i="1"/>
  <c r="H397" i="1"/>
  <c r="E398" i="1"/>
  <c r="F398" i="1"/>
  <c r="H398" i="1"/>
  <c r="E399" i="1"/>
  <c r="F399" i="1"/>
  <c r="H399" i="1"/>
  <c r="E400" i="1"/>
  <c r="F400" i="1"/>
  <c r="H400" i="1"/>
  <c r="E401" i="1"/>
  <c r="F401" i="1"/>
  <c r="H401" i="1"/>
  <c r="E402" i="1"/>
  <c r="F402" i="1"/>
  <c r="H402" i="1"/>
  <c r="E403" i="1"/>
  <c r="F403" i="1"/>
  <c r="H403" i="1"/>
  <c r="E404" i="1"/>
  <c r="F404" i="1"/>
  <c r="H404" i="1"/>
  <c r="E405" i="1"/>
  <c r="F405" i="1"/>
  <c r="H405" i="1"/>
  <c r="E406" i="1"/>
  <c r="F406" i="1"/>
  <c r="H406" i="1"/>
  <c r="E407" i="1"/>
  <c r="F407" i="1"/>
  <c r="H407" i="1"/>
  <c r="E408" i="1"/>
  <c r="F408" i="1"/>
  <c r="H408" i="1"/>
  <c r="E409" i="1"/>
  <c r="F409" i="1"/>
  <c r="H409" i="1"/>
  <c r="E410" i="1"/>
  <c r="F410" i="1"/>
  <c r="H410" i="1"/>
  <c r="E411" i="1"/>
  <c r="F411" i="1"/>
  <c r="H411" i="1"/>
  <c r="E412" i="1"/>
  <c r="F412" i="1"/>
  <c r="H412" i="1"/>
  <c r="E413" i="1"/>
  <c r="F413" i="1"/>
  <c r="H413" i="1"/>
  <c r="E414" i="1"/>
  <c r="F414" i="1"/>
  <c r="H414" i="1"/>
  <c r="E415" i="1"/>
  <c r="F415" i="1"/>
  <c r="H415" i="1"/>
  <c r="E416" i="1"/>
  <c r="F416" i="1"/>
  <c r="H416" i="1"/>
  <c r="E417" i="1"/>
  <c r="F417" i="1"/>
  <c r="H417" i="1"/>
  <c r="E418" i="1"/>
  <c r="F418" i="1"/>
  <c r="H418" i="1"/>
  <c r="E419" i="1"/>
  <c r="F419" i="1"/>
  <c r="H419" i="1"/>
  <c r="E420" i="1"/>
  <c r="F420" i="1"/>
  <c r="H420" i="1"/>
  <c r="E421" i="1"/>
  <c r="F421" i="1"/>
  <c r="H421" i="1"/>
  <c r="E422" i="1"/>
  <c r="F422" i="1"/>
  <c r="H422" i="1"/>
  <c r="E423" i="1"/>
  <c r="F423" i="1"/>
  <c r="H423" i="1"/>
  <c r="E424" i="1"/>
  <c r="F424" i="1"/>
  <c r="H424" i="1"/>
  <c r="E425" i="1"/>
  <c r="F425" i="1"/>
  <c r="H425" i="1"/>
  <c r="E426" i="1"/>
  <c r="F426" i="1"/>
  <c r="H426" i="1"/>
  <c r="E427" i="1"/>
  <c r="F427" i="1"/>
  <c r="H427" i="1"/>
  <c r="E428" i="1"/>
  <c r="F428" i="1"/>
  <c r="H428" i="1"/>
  <c r="E429" i="1"/>
  <c r="F429" i="1"/>
  <c r="H429" i="1"/>
  <c r="E430" i="1"/>
  <c r="F430" i="1"/>
  <c r="H430" i="1"/>
  <c r="E431" i="1"/>
  <c r="F431" i="1"/>
  <c r="H431" i="1"/>
  <c r="E432" i="1"/>
  <c r="F432" i="1"/>
  <c r="H432" i="1"/>
  <c r="E433" i="1"/>
  <c r="F433" i="1"/>
  <c r="H433" i="1"/>
  <c r="E434" i="1"/>
  <c r="F434" i="1"/>
  <c r="H434" i="1"/>
  <c r="E435" i="1"/>
  <c r="F435" i="1"/>
  <c r="H435" i="1"/>
  <c r="E436" i="1"/>
  <c r="F436" i="1"/>
  <c r="H436" i="1"/>
  <c r="E437" i="1"/>
  <c r="F437" i="1"/>
  <c r="H437" i="1"/>
  <c r="E438" i="1"/>
  <c r="F438" i="1"/>
  <c r="H438" i="1"/>
  <c r="E439" i="1"/>
  <c r="F439" i="1"/>
  <c r="H439" i="1"/>
  <c r="E440" i="1"/>
  <c r="F440" i="1"/>
  <c r="H440" i="1"/>
  <c r="E441" i="1"/>
  <c r="F441" i="1"/>
  <c r="H441" i="1"/>
  <c r="E442" i="1"/>
  <c r="F442" i="1"/>
  <c r="H442" i="1"/>
  <c r="E443" i="1"/>
  <c r="F443" i="1"/>
  <c r="H443" i="1"/>
  <c r="E444" i="1"/>
  <c r="F444" i="1"/>
  <c r="H444" i="1"/>
  <c r="E445" i="1"/>
  <c r="F445" i="1"/>
  <c r="H445" i="1"/>
  <c r="E446" i="1"/>
  <c r="F446" i="1"/>
  <c r="H446" i="1"/>
  <c r="E447" i="1"/>
  <c r="F447" i="1"/>
  <c r="H447" i="1"/>
  <c r="E448" i="1"/>
  <c r="F448" i="1"/>
  <c r="H448" i="1"/>
  <c r="E449" i="1"/>
  <c r="F449" i="1"/>
  <c r="H449" i="1"/>
  <c r="E450" i="1"/>
  <c r="F450" i="1"/>
  <c r="H450" i="1"/>
  <c r="E451" i="1"/>
  <c r="F451" i="1"/>
  <c r="H451" i="1"/>
  <c r="E452" i="1"/>
  <c r="F452" i="1"/>
  <c r="H452" i="1"/>
  <c r="E453" i="1"/>
  <c r="F453" i="1"/>
  <c r="H453" i="1"/>
  <c r="E454" i="1"/>
  <c r="F454" i="1"/>
  <c r="H454" i="1"/>
  <c r="E455" i="1"/>
  <c r="F455" i="1"/>
  <c r="H455" i="1"/>
  <c r="E456" i="1"/>
  <c r="F456" i="1"/>
  <c r="H456" i="1"/>
  <c r="E457" i="1"/>
  <c r="F457" i="1"/>
  <c r="H457" i="1"/>
  <c r="E458" i="1"/>
  <c r="F458" i="1"/>
  <c r="H458" i="1"/>
  <c r="E459" i="1"/>
  <c r="F459" i="1"/>
  <c r="H459" i="1"/>
  <c r="E460" i="1"/>
  <c r="F460" i="1"/>
  <c r="H460" i="1"/>
  <c r="E461" i="1"/>
  <c r="F461" i="1"/>
  <c r="H461" i="1"/>
  <c r="E462" i="1"/>
  <c r="F462" i="1"/>
  <c r="H462" i="1"/>
  <c r="E463" i="1"/>
  <c r="F463" i="1"/>
  <c r="H463" i="1"/>
  <c r="E464" i="1"/>
  <c r="F464" i="1"/>
  <c r="H464" i="1"/>
  <c r="E465" i="1"/>
  <c r="F465" i="1"/>
  <c r="H465" i="1"/>
  <c r="E466" i="1"/>
  <c r="F466" i="1"/>
  <c r="H466" i="1"/>
  <c r="E467" i="1"/>
  <c r="F467" i="1"/>
  <c r="H467" i="1"/>
  <c r="E468" i="1"/>
  <c r="F468" i="1"/>
  <c r="H468" i="1"/>
  <c r="E469" i="1"/>
  <c r="F469" i="1"/>
  <c r="H469" i="1"/>
  <c r="E470" i="1"/>
  <c r="F470" i="1"/>
  <c r="H470" i="1"/>
  <c r="E471" i="1"/>
  <c r="F471" i="1"/>
  <c r="H471" i="1"/>
  <c r="E472" i="1"/>
  <c r="F472" i="1"/>
  <c r="H472" i="1"/>
  <c r="E473" i="1"/>
  <c r="F473" i="1"/>
  <c r="H473" i="1"/>
  <c r="E474" i="1"/>
  <c r="F474" i="1"/>
  <c r="H474" i="1"/>
  <c r="E475" i="1"/>
  <c r="F475" i="1"/>
  <c r="H475" i="1"/>
  <c r="E476" i="1"/>
  <c r="F476" i="1"/>
  <c r="H476" i="1"/>
  <c r="E477" i="1"/>
  <c r="F477" i="1"/>
  <c r="H477" i="1"/>
  <c r="E478" i="1"/>
  <c r="F478" i="1"/>
  <c r="H478" i="1"/>
  <c r="E479" i="1"/>
  <c r="F479" i="1"/>
  <c r="H479" i="1"/>
  <c r="E480" i="1"/>
  <c r="F480" i="1"/>
  <c r="H480" i="1"/>
  <c r="E481" i="1"/>
  <c r="F481" i="1"/>
  <c r="H481" i="1"/>
  <c r="E482" i="1"/>
  <c r="F482" i="1"/>
  <c r="H482" i="1"/>
  <c r="E483" i="1"/>
  <c r="F483" i="1"/>
  <c r="H483" i="1"/>
  <c r="E484" i="1"/>
  <c r="F484" i="1"/>
  <c r="H484" i="1"/>
  <c r="E485" i="1"/>
  <c r="F485" i="1"/>
  <c r="H485" i="1"/>
  <c r="E486" i="1"/>
  <c r="F486" i="1"/>
  <c r="H486" i="1"/>
  <c r="E487" i="1"/>
  <c r="F487" i="1"/>
  <c r="H487" i="1"/>
  <c r="E488" i="1"/>
  <c r="F488" i="1"/>
  <c r="H488" i="1"/>
  <c r="E489" i="1"/>
  <c r="F489" i="1"/>
  <c r="H489" i="1"/>
  <c r="E490" i="1"/>
  <c r="F490" i="1"/>
  <c r="H490" i="1"/>
  <c r="E491" i="1"/>
  <c r="F491" i="1"/>
  <c r="H491" i="1"/>
  <c r="E492" i="1"/>
  <c r="F492" i="1"/>
  <c r="H492" i="1"/>
  <c r="E493" i="1"/>
  <c r="F493" i="1"/>
  <c r="H493" i="1"/>
  <c r="E494" i="1"/>
  <c r="F494" i="1"/>
  <c r="H494" i="1"/>
  <c r="E495" i="1"/>
  <c r="F495" i="1"/>
  <c r="H495" i="1"/>
  <c r="E496" i="1"/>
  <c r="F496" i="1"/>
  <c r="H496" i="1"/>
  <c r="E497" i="1"/>
  <c r="F497" i="1"/>
  <c r="H497" i="1"/>
  <c r="E498" i="1"/>
  <c r="F498" i="1"/>
  <c r="H498" i="1"/>
  <c r="E499" i="1"/>
  <c r="F499" i="1"/>
  <c r="H499" i="1"/>
  <c r="E500" i="1"/>
  <c r="F500" i="1"/>
  <c r="H500" i="1"/>
  <c r="E501" i="1"/>
  <c r="F501" i="1"/>
  <c r="H501" i="1"/>
  <c r="E502" i="1"/>
  <c r="F502" i="1"/>
  <c r="H502" i="1"/>
  <c r="E503" i="1"/>
  <c r="F503" i="1"/>
  <c r="H503" i="1"/>
  <c r="E504" i="1"/>
  <c r="F504" i="1"/>
  <c r="H504" i="1"/>
  <c r="F505" i="1"/>
  <c r="H505" i="1"/>
  <c r="E506" i="1"/>
  <c r="F506" i="1"/>
  <c r="H506" i="1"/>
  <c r="E507" i="1"/>
  <c r="F507" i="1"/>
  <c r="H507" i="1"/>
  <c r="E508" i="1"/>
  <c r="F508" i="1"/>
  <c r="H508" i="1"/>
  <c r="E509" i="1"/>
  <c r="F509" i="1"/>
  <c r="H509" i="1"/>
  <c r="E510" i="1"/>
  <c r="F510" i="1"/>
  <c r="H510" i="1"/>
  <c r="E511" i="1"/>
  <c r="F511" i="1"/>
  <c r="H511" i="1"/>
  <c r="E512" i="1"/>
  <c r="F512" i="1"/>
  <c r="H512" i="1"/>
  <c r="E513" i="1"/>
  <c r="F513" i="1"/>
  <c r="H513" i="1"/>
  <c r="E514" i="1"/>
  <c r="F514" i="1"/>
  <c r="H514" i="1"/>
  <c r="E515" i="1"/>
  <c r="F515" i="1"/>
  <c r="H515" i="1"/>
  <c r="E516" i="1"/>
  <c r="F516" i="1"/>
  <c r="H516" i="1"/>
  <c r="E517" i="1"/>
  <c r="F517" i="1"/>
  <c r="H517" i="1"/>
  <c r="E518" i="1"/>
  <c r="F518" i="1"/>
  <c r="H518" i="1"/>
  <c r="E519" i="1"/>
  <c r="F519" i="1"/>
  <c r="H519" i="1"/>
  <c r="E520" i="1"/>
  <c r="F520" i="1"/>
  <c r="H520" i="1"/>
  <c r="E521" i="1"/>
  <c r="F521" i="1"/>
  <c r="H521" i="1"/>
  <c r="E522" i="1"/>
  <c r="F522" i="1"/>
  <c r="H522" i="1"/>
  <c r="E523" i="1"/>
  <c r="F523" i="1"/>
  <c r="H523" i="1"/>
  <c r="E524" i="1"/>
  <c r="F524" i="1"/>
  <c r="H524" i="1"/>
  <c r="E525" i="1"/>
  <c r="F525" i="1"/>
  <c r="H525" i="1"/>
  <c r="E526" i="1"/>
  <c r="F526" i="1"/>
  <c r="H526" i="1"/>
  <c r="E527" i="1"/>
  <c r="F527" i="1"/>
  <c r="H527" i="1"/>
  <c r="E528" i="1"/>
  <c r="F528" i="1"/>
  <c r="H528" i="1"/>
  <c r="E529" i="1"/>
  <c r="F529" i="1"/>
  <c r="H529" i="1"/>
  <c r="E530" i="1"/>
  <c r="F530" i="1"/>
  <c r="H530" i="1"/>
  <c r="E531" i="1"/>
  <c r="F531" i="1"/>
  <c r="H531" i="1"/>
  <c r="E532" i="1"/>
  <c r="F532" i="1"/>
  <c r="H532" i="1"/>
  <c r="E533" i="1"/>
  <c r="F533" i="1"/>
  <c r="H533" i="1"/>
  <c r="E534" i="1"/>
  <c r="F534" i="1"/>
  <c r="H534" i="1"/>
  <c r="E535" i="1"/>
  <c r="F535" i="1"/>
  <c r="H535" i="1"/>
  <c r="E536" i="1"/>
  <c r="F536" i="1"/>
  <c r="H536" i="1"/>
  <c r="E537" i="1"/>
  <c r="F537" i="1"/>
  <c r="H537" i="1"/>
  <c r="E538" i="1"/>
  <c r="F538" i="1"/>
  <c r="H538" i="1"/>
  <c r="E539" i="1"/>
  <c r="F539" i="1"/>
  <c r="H539" i="1"/>
  <c r="E540" i="1"/>
  <c r="F540" i="1"/>
  <c r="H540" i="1"/>
  <c r="E541" i="1"/>
  <c r="F541" i="1"/>
  <c r="H541" i="1"/>
  <c r="E542" i="1"/>
  <c r="F542" i="1"/>
  <c r="H542" i="1"/>
  <c r="E543" i="1"/>
  <c r="F543" i="1"/>
  <c r="H543" i="1"/>
  <c r="E544" i="1"/>
  <c r="F544" i="1"/>
  <c r="H544" i="1"/>
  <c r="E545" i="1"/>
  <c r="F545" i="1"/>
  <c r="H545" i="1"/>
  <c r="E546" i="1"/>
  <c r="F546" i="1"/>
  <c r="H546" i="1"/>
  <c r="E547" i="1"/>
  <c r="F547" i="1"/>
  <c r="H547" i="1"/>
  <c r="E548" i="1"/>
  <c r="F548" i="1"/>
  <c r="H548" i="1"/>
  <c r="E549" i="1"/>
  <c r="F549" i="1"/>
  <c r="H549" i="1"/>
  <c r="E550" i="1"/>
  <c r="F550" i="1"/>
  <c r="H550" i="1"/>
  <c r="E551" i="1"/>
  <c r="F551" i="1"/>
  <c r="H551" i="1"/>
  <c r="E552" i="1"/>
  <c r="F552" i="1"/>
  <c r="H552" i="1"/>
  <c r="E553" i="1"/>
  <c r="F553" i="1"/>
  <c r="H553" i="1"/>
  <c r="E554" i="1"/>
  <c r="F554" i="1"/>
  <c r="H554" i="1"/>
  <c r="E555" i="1"/>
  <c r="F555" i="1"/>
  <c r="H555" i="1"/>
  <c r="E556" i="1"/>
  <c r="F556" i="1"/>
  <c r="H556" i="1"/>
  <c r="E557" i="1"/>
  <c r="F557" i="1"/>
  <c r="H557" i="1"/>
  <c r="E558" i="1"/>
  <c r="F558" i="1"/>
  <c r="H558" i="1"/>
  <c r="E559" i="1"/>
  <c r="F559" i="1"/>
  <c r="H559" i="1"/>
  <c r="E560" i="1"/>
  <c r="F560" i="1"/>
  <c r="H560" i="1"/>
  <c r="E561" i="1"/>
  <c r="F561" i="1"/>
  <c r="H561" i="1"/>
  <c r="E562" i="1"/>
  <c r="F562" i="1"/>
  <c r="H562" i="1"/>
  <c r="E563" i="1"/>
  <c r="F563" i="1"/>
  <c r="H563" i="1"/>
  <c r="E564" i="1"/>
  <c r="F564" i="1"/>
  <c r="H564" i="1"/>
  <c r="E565" i="1"/>
  <c r="F565" i="1"/>
  <c r="H565" i="1"/>
  <c r="E566" i="1"/>
  <c r="F566" i="1"/>
  <c r="H566" i="1"/>
  <c r="E567" i="1"/>
  <c r="F567" i="1"/>
  <c r="H567" i="1"/>
  <c r="E568" i="1"/>
  <c r="F568" i="1"/>
  <c r="H568" i="1"/>
  <c r="E569" i="1"/>
  <c r="F569" i="1"/>
  <c r="H569" i="1"/>
  <c r="F570" i="1"/>
  <c r="H570" i="1"/>
  <c r="E571" i="1"/>
  <c r="F571" i="1"/>
  <c r="H571" i="1"/>
  <c r="E572" i="1"/>
  <c r="F572" i="1"/>
  <c r="H572" i="1"/>
  <c r="E573" i="1"/>
  <c r="F573" i="1"/>
  <c r="H573" i="1"/>
  <c r="E574" i="1"/>
  <c r="F574" i="1"/>
  <c r="H574" i="1"/>
  <c r="E575" i="1"/>
  <c r="F575" i="1"/>
  <c r="H575" i="1"/>
  <c r="E576" i="1"/>
  <c r="F576" i="1"/>
  <c r="H576" i="1"/>
  <c r="E577" i="1"/>
  <c r="F577" i="1"/>
  <c r="H577" i="1"/>
  <c r="E578" i="1"/>
  <c r="F578" i="1"/>
  <c r="H578" i="1"/>
  <c r="E579" i="1"/>
  <c r="F579" i="1"/>
  <c r="H579" i="1"/>
  <c r="E580" i="1"/>
  <c r="F580" i="1"/>
  <c r="H580" i="1"/>
  <c r="E581" i="1"/>
  <c r="F581" i="1"/>
  <c r="H581" i="1"/>
  <c r="E582" i="1"/>
  <c r="F582" i="1"/>
  <c r="H582" i="1"/>
  <c r="E583" i="1"/>
  <c r="F583" i="1"/>
  <c r="H583" i="1"/>
  <c r="E584" i="1"/>
  <c r="F584" i="1"/>
  <c r="H584" i="1"/>
  <c r="E585" i="1"/>
  <c r="F585" i="1"/>
  <c r="H585" i="1"/>
  <c r="E586" i="1"/>
  <c r="F586" i="1"/>
  <c r="H586" i="1"/>
  <c r="E587" i="1"/>
  <c r="F587" i="1"/>
  <c r="H587" i="1"/>
  <c r="E588" i="1"/>
  <c r="F588" i="1"/>
  <c r="H588" i="1"/>
  <c r="E589" i="1"/>
  <c r="F589" i="1"/>
  <c r="H589" i="1"/>
  <c r="E590" i="1"/>
  <c r="F590" i="1"/>
  <c r="H590" i="1"/>
  <c r="E591" i="1"/>
  <c r="F591" i="1"/>
  <c r="H591" i="1"/>
  <c r="E592" i="1"/>
  <c r="F592" i="1"/>
  <c r="H592" i="1"/>
  <c r="E593" i="1"/>
  <c r="F593" i="1"/>
  <c r="H593" i="1"/>
  <c r="E594" i="1"/>
  <c r="F594" i="1"/>
  <c r="H594" i="1"/>
  <c r="E595" i="1"/>
  <c r="F595" i="1"/>
  <c r="H595" i="1"/>
  <c r="E596" i="1"/>
  <c r="F596" i="1"/>
  <c r="H596" i="1"/>
  <c r="E597" i="1"/>
  <c r="F597" i="1"/>
  <c r="H597" i="1"/>
  <c r="E598" i="1"/>
  <c r="F598" i="1"/>
  <c r="H598" i="1"/>
  <c r="E599" i="1"/>
  <c r="F599" i="1"/>
  <c r="H599" i="1"/>
  <c r="E600" i="1"/>
  <c r="F600" i="1"/>
  <c r="H600" i="1"/>
  <c r="E601" i="1"/>
  <c r="F601" i="1"/>
  <c r="H601" i="1"/>
  <c r="E602" i="1"/>
  <c r="F602" i="1"/>
  <c r="H602" i="1"/>
  <c r="E603" i="1"/>
  <c r="F603" i="1"/>
  <c r="H603" i="1"/>
  <c r="E604" i="1"/>
  <c r="F604" i="1"/>
  <c r="H604" i="1"/>
  <c r="E605" i="1"/>
  <c r="F605" i="1"/>
  <c r="H605" i="1"/>
  <c r="E606" i="1"/>
  <c r="F606" i="1"/>
  <c r="H606" i="1"/>
  <c r="E607" i="1"/>
  <c r="F607" i="1"/>
  <c r="H607" i="1"/>
  <c r="E608" i="1"/>
  <c r="F608" i="1"/>
  <c r="H608" i="1"/>
  <c r="E609" i="1"/>
  <c r="F609" i="1"/>
  <c r="H609" i="1"/>
  <c r="E610" i="1"/>
  <c r="F610" i="1"/>
  <c r="H610" i="1"/>
  <c r="E611" i="1"/>
  <c r="F611" i="1"/>
  <c r="H611" i="1"/>
  <c r="E612" i="1"/>
  <c r="F612" i="1"/>
  <c r="H612" i="1"/>
  <c r="E613" i="1"/>
  <c r="F613" i="1"/>
  <c r="H613" i="1"/>
  <c r="E614" i="1"/>
  <c r="F614" i="1"/>
  <c r="H614" i="1"/>
  <c r="E615" i="1"/>
  <c r="F615" i="1"/>
  <c r="H615" i="1"/>
  <c r="E616" i="1"/>
  <c r="F616" i="1"/>
  <c r="H616" i="1"/>
  <c r="E617" i="1"/>
  <c r="F617" i="1"/>
  <c r="H617" i="1"/>
  <c r="E618" i="1"/>
  <c r="F618" i="1"/>
  <c r="H618" i="1"/>
  <c r="E619" i="1"/>
  <c r="F619" i="1"/>
  <c r="H619" i="1"/>
  <c r="E620" i="1"/>
  <c r="F620" i="1"/>
  <c r="H620" i="1"/>
  <c r="E621" i="1"/>
  <c r="F621" i="1"/>
  <c r="H621" i="1"/>
  <c r="E622" i="1"/>
  <c r="F622" i="1"/>
  <c r="H622" i="1"/>
  <c r="E623" i="1"/>
  <c r="F623" i="1"/>
  <c r="H623" i="1"/>
  <c r="E624" i="1"/>
  <c r="F624" i="1"/>
  <c r="H624" i="1"/>
  <c r="E625" i="1"/>
  <c r="F625" i="1"/>
  <c r="H625" i="1"/>
  <c r="E626" i="1"/>
  <c r="F626" i="1"/>
  <c r="H626" i="1"/>
  <c r="E627" i="1"/>
  <c r="F627" i="1"/>
  <c r="H627" i="1"/>
  <c r="E628" i="1"/>
  <c r="F628" i="1"/>
  <c r="H628" i="1"/>
  <c r="E629" i="1"/>
  <c r="F629" i="1"/>
  <c r="H629" i="1"/>
  <c r="E630" i="1"/>
  <c r="F630" i="1"/>
  <c r="H630" i="1"/>
  <c r="E631" i="1"/>
  <c r="F631" i="1"/>
  <c r="H631" i="1"/>
  <c r="E632" i="1"/>
  <c r="F632" i="1"/>
  <c r="H632" i="1"/>
  <c r="E633" i="1"/>
  <c r="F633" i="1"/>
  <c r="H633" i="1"/>
  <c r="E634" i="1"/>
  <c r="F634" i="1"/>
  <c r="H634" i="1"/>
  <c r="E635" i="1"/>
  <c r="F635" i="1"/>
  <c r="H635" i="1"/>
  <c r="E636" i="1"/>
  <c r="F636" i="1"/>
  <c r="H636" i="1"/>
  <c r="E637" i="1"/>
  <c r="F637" i="1"/>
  <c r="H637" i="1"/>
  <c r="E638" i="1"/>
  <c r="F638" i="1"/>
  <c r="H638" i="1"/>
  <c r="E639" i="1"/>
  <c r="F639" i="1"/>
  <c r="H639" i="1"/>
  <c r="E640" i="1"/>
  <c r="F640" i="1"/>
  <c r="H640" i="1"/>
  <c r="E641" i="1"/>
  <c r="F641" i="1"/>
  <c r="H641" i="1"/>
  <c r="E642" i="1"/>
  <c r="F642" i="1"/>
  <c r="H642" i="1"/>
  <c r="E643" i="1"/>
  <c r="F643" i="1"/>
  <c r="H643" i="1"/>
  <c r="E644" i="1"/>
  <c r="F644" i="1"/>
  <c r="H644" i="1"/>
  <c r="E645" i="1"/>
  <c r="F645" i="1"/>
  <c r="H645" i="1"/>
  <c r="E646" i="1"/>
  <c r="F646" i="1"/>
  <c r="H646" i="1"/>
  <c r="E647" i="1"/>
  <c r="F647" i="1"/>
  <c r="H647" i="1"/>
  <c r="F648" i="1"/>
  <c r="H648" i="1"/>
  <c r="E649" i="1"/>
  <c r="F649" i="1"/>
  <c r="H649" i="1"/>
  <c r="E650" i="1"/>
  <c r="F650" i="1"/>
  <c r="H650" i="1"/>
  <c r="E651" i="1"/>
  <c r="F651" i="1"/>
  <c r="H651" i="1"/>
  <c r="E652" i="1"/>
  <c r="F652" i="1"/>
  <c r="H652" i="1"/>
  <c r="E653" i="1"/>
  <c r="F653" i="1"/>
  <c r="H653" i="1"/>
  <c r="E654" i="1"/>
  <c r="F654" i="1"/>
  <c r="H654" i="1"/>
  <c r="E655" i="1"/>
  <c r="F655" i="1"/>
  <c r="H655" i="1"/>
  <c r="E656" i="1"/>
  <c r="F656" i="1"/>
  <c r="H656" i="1"/>
  <c r="E657" i="1"/>
  <c r="F657" i="1"/>
  <c r="H657" i="1"/>
  <c r="E658" i="1"/>
  <c r="F658" i="1"/>
  <c r="H658" i="1"/>
  <c r="E659" i="1"/>
  <c r="F659" i="1"/>
  <c r="H659" i="1"/>
  <c r="E660" i="1"/>
  <c r="F660" i="1"/>
  <c r="H660" i="1"/>
  <c r="E661" i="1"/>
  <c r="F661" i="1"/>
  <c r="H661" i="1"/>
  <c r="E662" i="1"/>
  <c r="F662" i="1"/>
  <c r="H662" i="1"/>
  <c r="E663" i="1"/>
  <c r="F663" i="1"/>
  <c r="H663" i="1"/>
  <c r="E664" i="1"/>
  <c r="F664" i="1"/>
  <c r="H664" i="1"/>
  <c r="E665" i="1"/>
  <c r="F665" i="1"/>
  <c r="H665" i="1"/>
  <c r="E666" i="1"/>
  <c r="F666" i="1"/>
  <c r="H666" i="1"/>
  <c r="E667" i="1"/>
  <c r="F667" i="1"/>
  <c r="H667" i="1"/>
  <c r="E668" i="1"/>
  <c r="F668" i="1"/>
  <c r="H668" i="1"/>
  <c r="E669" i="1"/>
  <c r="F669" i="1"/>
  <c r="H669" i="1"/>
  <c r="E670" i="1"/>
  <c r="F670" i="1"/>
  <c r="H670" i="1"/>
  <c r="E671" i="1"/>
  <c r="F671" i="1"/>
  <c r="H671" i="1"/>
  <c r="E672" i="1"/>
  <c r="F672" i="1"/>
  <c r="H672" i="1"/>
  <c r="E673" i="1"/>
  <c r="F673" i="1"/>
  <c r="H673" i="1"/>
  <c r="E674" i="1"/>
  <c r="F674" i="1"/>
  <c r="H674" i="1"/>
  <c r="E675" i="1"/>
  <c r="F675" i="1"/>
  <c r="H675" i="1"/>
  <c r="E676" i="1"/>
  <c r="F676" i="1"/>
  <c r="H676" i="1"/>
  <c r="E677" i="1"/>
  <c r="F677" i="1"/>
  <c r="H677" i="1"/>
  <c r="E678" i="1"/>
  <c r="F678" i="1"/>
  <c r="H678" i="1"/>
  <c r="E679" i="1"/>
  <c r="F679" i="1"/>
  <c r="H679" i="1"/>
  <c r="E680" i="1"/>
  <c r="F680" i="1"/>
  <c r="H680" i="1"/>
  <c r="E681" i="1"/>
  <c r="F681" i="1"/>
  <c r="H681" i="1"/>
  <c r="E682" i="1"/>
  <c r="F682" i="1"/>
  <c r="H682" i="1"/>
  <c r="E683" i="1"/>
  <c r="F683" i="1"/>
  <c r="H683" i="1"/>
  <c r="E684" i="1"/>
  <c r="F684" i="1"/>
  <c r="H684" i="1"/>
  <c r="E685" i="1"/>
  <c r="F685" i="1"/>
  <c r="H685" i="1"/>
  <c r="E686" i="1"/>
  <c r="F686" i="1"/>
  <c r="H686" i="1"/>
  <c r="E687" i="1"/>
  <c r="F687" i="1"/>
  <c r="H687" i="1"/>
  <c r="E688" i="1"/>
  <c r="F688" i="1"/>
  <c r="H688" i="1"/>
  <c r="E689" i="1"/>
  <c r="F689" i="1"/>
  <c r="H689" i="1"/>
  <c r="E690" i="1"/>
  <c r="F690" i="1"/>
  <c r="H690" i="1"/>
  <c r="E691" i="1"/>
  <c r="F691" i="1"/>
  <c r="H691" i="1"/>
  <c r="E692" i="1"/>
  <c r="F692" i="1"/>
  <c r="H692" i="1"/>
  <c r="E693" i="1"/>
  <c r="F693" i="1"/>
  <c r="H693" i="1"/>
  <c r="E694" i="1"/>
  <c r="F694" i="1"/>
  <c r="H694" i="1"/>
  <c r="E695" i="1"/>
  <c r="F695" i="1"/>
  <c r="H695" i="1"/>
  <c r="E696" i="1"/>
  <c r="F696" i="1"/>
  <c r="H696" i="1"/>
  <c r="E697" i="1"/>
  <c r="F697" i="1"/>
  <c r="H697" i="1"/>
  <c r="E698" i="1"/>
  <c r="F698" i="1"/>
  <c r="H698" i="1"/>
  <c r="E699" i="1"/>
  <c r="F699" i="1"/>
  <c r="H699" i="1"/>
  <c r="E700" i="1"/>
  <c r="F700" i="1"/>
  <c r="H700" i="1"/>
  <c r="E701" i="1"/>
  <c r="F701" i="1"/>
  <c r="H701" i="1"/>
  <c r="E702" i="1"/>
  <c r="F702" i="1"/>
  <c r="H702" i="1"/>
  <c r="E703" i="1"/>
  <c r="F703" i="1"/>
  <c r="H703" i="1"/>
  <c r="E704" i="1"/>
  <c r="F704" i="1"/>
  <c r="H704" i="1"/>
  <c r="E705" i="1"/>
  <c r="F705" i="1"/>
  <c r="H705" i="1"/>
  <c r="E706" i="1"/>
  <c r="F706" i="1"/>
  <c r="H706" i="1"/>
  <c r="E707" i="1"/>
  <c r="F707" i="1"/>
  <c r="H707" i="1"/>
  <c r="E708" i="1"/>
  <c r="F708" i="1"/>
  <c r="H708" i="1"/>
  <c r="E709" i="1"/>
  <c r="F709" i="1"/>
  <c r="H709" i="1"/>
  <c r="E710" i="1"/>
  <c r="F710" i="1"/>
  <c r="H710" i="1"/>
  <c r="E711" i="1"/>
  <c r="F711" i="1"/>
  <c r="H711" i="1"/>
  <c r="E712" i="1"/>
  <c r="F712" i="1"/>
  <c r="H712" i="1"/>
  <c r="E713" i="1"/>
  <c r="F713" i="1"/>
  <c r="H713" i="1"/>
  <c r="E714" i="1"/>
  <c r="F714" i="1"/>
  <c r="H714" i="1"/>
  <c r="E715" i="1"/>
  <c r="F715" i="1"/>
  <c r="H715" i="1"/>
  <c r="E716" i="1"/>
  <c r="F716" i="1"/>
  <c r="H716" i="1"/>
  <c r="E717" i="1"/>
  <c r="F717" i="1"/>
  <c r="H717" i="1"/>
  <c r="E718" i="1"/>
  <c r="F718" i="1"/>
  <c r="H718" i="1"/>
  <c r="E719" i="1"/>
  <c r="F719" i="1"/>
  <c r="H719" i="1"/>
  <c r="E720" i="1"/>
  <c r="F720" i="1"/>
  <c r="H720" i="1"/>
  <c r="E721" i="1"/>
  <c r="F721" i="1"/>
  <c r="H721" i="1"/>
  <c r="E722" i="1"/>
  <c r="F722" i="1"/>
  <c r="H722" i="1"/>
  <c r="E723" i="1"/>
  <c r="F723" i="1"/>
  <c r="H723" i="1"/>
  <c r="E724" i="1"/>
  <c r="F724" i="1"/>
  <c r="H724" i="1"/>
  <c r="E725" i="1"/>
  <c r="F725" i="1"/>
  <c r="H725" i="1"/>
  <c r="E726" i="1"/>
  <c r="F726" i="1"/>
  <c r="H726" i="1"/>
  <c r="E727" i="1"/>
  <c r="F727" i="1"/>
  <c r="H727" i="1"/>
  <c r="E728" i="1"/>
  <c r="F728" i="1"/>
  <c r="H728" i="1"/>
  <c r="E729" i="1"/>
  <c r="F729" i="1"/>
  <c r="H729" i="1"/>
  <c r="E730" i="1"/>
  <c r="F730" i="1"/>
  <c r="H730" i="1"/>
  <c r="E731" i="1"/>
  <c r="F731" i="1"/>
  <c r="H731" i="1"/>
  <c r="E732" i="1"/>
  <c r="F732" i="1"/>
  <c r="H732" i="1"/>
  <c r="E733" i="1"/>
  <c r="F733" i="1"/>
  <c r="H733" i="1"/>
  <c r="E734" i="1"/>
  <c r="F734" i="1"/>
  <c r="H734" i="1"/>
  <c r="E735" i="1"/>
  <c r="F735" i="1"/>
  <c r="H735" i="1"/>
  <c r="E736" i="1"/>
  <c r="F736" i="1"/>
  <c r="H736" i="1"/>
  <c r="E737" i="1"/>
  <c r="F737" i="1"/>
  <c r="H737" i="1"/>
  <c r="E738" i="1"/>
  <c r="F738" i="1"/>
  <c r="H738" i="1"/>
  <c r="E739" i="1"/>
  <c r="F739" i="1"/>
  <c r="E740" i="1"/>
  <c r="F740" i="1"/>
  <c r="E741" i="1"/>
  <c r="F741" i="1"/>
  <c r="H741" i="1"/>
  <c r="E742" i="1"/>
  <c r="F742" i="1"/>
  <c r="H742" i="1"/>
  <c r="E743" i="1"/>
  <c r="F743" i="1"/>
  <c r="H743" i="1"/>
  <c r="E744" i="1"/>
  <c r="F744" i="1"/>
  <c r="H744" i="1"/>
  <c r="E745" i="1"/>
  <c r="F745" i="1"/>
  <c r="H745" i="1"/>
  <c r="E746" i="1"/>
  <c r="F746" i="1"/>
  <c r="H746" i="1"/>
  <c r="E747" i="1"/>
  <c r="F747" i="1"/>
  <c r="H747" i="1"/>
  <c r="E748" i="1"/>
  <c r="F748" i="1"/>
  <c r="H748" i="1"/>
  <c r="E749" i="1"/>
  <c r="F749" i="1"/>
  <c r="H749" i="1"/>
  <c r="E750" i="1"/>
  <c r="F750" i="1"/>
  <c r="H750" i="1"/>
  <c r="E751" i="1"/>
  <c r="F751" i="1"/>
  <c r="H751" i="1"/>
  <c r="E752" i="1"/>
  <c r="F752" i="1"/>
  <c r="H752" i="1"/>
  <c r="E753" i="1"/>
  <c r="F753" i="1"/>
  <c r="H753" i="1"/>
  <c r="E754" i="1"/>
  <c r="F754" i="1"/>
  <c r="H754" i="1"/>
  <c r="E755" i="1"/>
  <c r="F755" i="1"/>
  <c r="H755" i="1"/>
  <c r="E756" i="1"/>
  <c r="F756" i="1"/>
  <c r="H756" i="1"/>
  <c r="E757" i="1"/>
  <c r="F757" i="1"/>
  <c r="H757" i="1"/>
  <c r="E758" i="1"/>
  <c r="F758" i="1"/>
  <c r="H758" i="1"/>
  <c r="E759" i="1"/>
  <c r="F759" i="1"/>
  <c r="H759" i="1"/>
  <c r="E760" i="1"/>
  <c r="F760" i="1"/>
  <c r="H760" i="1"/>
  <c r="E761" i="1"/>
  <c r="F761" i="1"/>
  <c r="H761" i="1"/>
  <c r="E762" i="1"/>
  <c r="F762" i="1"/>
  <c r="H762" i="1"/>
  <c r="E763" i="1"/>
  <c r="F763" i="1"/>
  <c r="H763" i="1"/>
  <c r="E764" i="1"/>
  <c r="F764" i="1"/>
  <c r="H764" i="1"/>
  <c r="E765" i="1"/>
  <c r="F765" i="1"/>
  <c r="H765" i="1"/>
  <c r="E766" i="1"/>
  <c r="F766" i="1"/>
  <c r="H766" i="1"/>
  <c r="E767" i="1"/>
  <c r="F767" i="1"/>
  <c r="H767" i="1"/>
  <c r="E768" i="1"/>
  <c r="F768" i="1"/>
  <c r="H768" i="1"/>
  <c r="E769" i="1"/>
  <c r="F769" i="1"/>
  <c r="H769" i="1"/>
  <c r="E770" i="1"/>
  <c r="F770" i="1"/>
  <c r="H770" i="1"/>
  <c r="E771" i="1"/>
  <c r="F771" i="1"/>
  <c r="H771" i="1"/>
  <c r="E772" i="1"/>
  <c r="F772" i="1"/>
  <c r="H772" i="1"/>
  <c r="E773" i="1"/>
  <c r="F773" i="1"/>
  <c r="H773" i="1"/>
  <c r="E774" i="1"/>
  <c r="F774" i="1"/>
  <c r="H774" i="1"/>
  <c r="E775" i="1"/>
  <c r="F775" i="1"/>
  <c r="H775" i="1"/>
  <c r="E776" i="1"/>
  <c r="F776" i="1"/>
  <c r="H776" i="1"/>
  <c r="E777" i="1"/>
  <c r="F777" i="1"/>
  <c r="H777" i="1"/>
  <c r="F778" i="1"/>
  <c r="H778" i="1"/>
  <c r="E779" i="1"/>
  <c r="F779" i="1"/>
  <c r="H779" i="1"/>
  <c r="E780" i="1"/>
  <c r="F780" i="1"/>
  <c r="H780" i="1"/>
  <c r="E781" i="1"/>
  <c r="F781" i="1"/>
  <c r="H781" i="1"/>
  <c r="E782" i="1"/>
  <c r="F782" i="1"/>
  <c r="H782" i="1"/>
  <c r="E783" i="1"/>
  <c r="F783" i="1"/>
  <c r="H783" i="1"/>
  <c r="E784" i="1"/>
  <c r="F784" i="1"/>
  <c r="H784" i="1"/>
  <c r="E785" i="1"/>
  <c r="F785" i="1"/>
  <c r="H785" i="1"/>
  <c r="E786" i="1"/>
  <c r="F786" i="1"/>
  <c r="H786" i="1"/>
  <c r="E787" i="1"/>
  <c r="F787" i="1"/>
  <c r="H787" i="1"/>
  <c r="E788" i="1"/>
  <c r="F788" i="1"/>
  <c r="H788" i="1"/>
  <c r="E789" i="1"/>
  <c r="F789" i="1"/>
  <c r="H789" i="1"/>
  <c r="E790" i="1"/>
  <c r="F790" i="1"/>
  <c r="H790" i="1"/>
  <c r="E791" i="1"/>
  <c r="F791" i="1"/>
  <c r="H791" i="1"/>
  <c r="E792" i="1"/>
  <c r="F792" i="1"/>
  <c r="H792" i="1"/>
  <c r="E793" i="1"/>
  <c r="F793" i="1"/>
  <c r="H793" i="1"/>
  <c r="E794" i="1"/>
  <c r="F794" i="1"/>
  <c r="H794" i="1"/>
  <c r="E795" i="1"/>
  <c r="F795" i="1"/>
  <c r="H795" i="1"/>
  <c r="E796" i="1"/>
  <c r="F796" i="1"/>
  <c r="H796" i="1"/>
  <c r="E797" i="1"/>
  <c r="F797" i="1"/>
  <c r="H797" i="1"/>
  <c r="E798" i="1"/>
  <c r="F798" i="1"/>
  <c r="H798" i="1"/>
  <c r="E799" i="1"/>
  <c r="F799" i="1"/>
  <c r="H799" i="1"/>
  <c r="E800" i="1"/>
  <c r="F800" i="1"/>
  <c r="H800" i="1"/>
  <c r="E801" i="1"/>
  <c r="F801" i="1"/>
  <c r="H801" i="1"/>
  <c r="E802" i="1"/>
  <c r="F802" i="1"/>
  <c r="H802" i="1"/>
  <c r="E803" i="1"/>
  <c r="F803" i="1"/>
  <c r="H803" i="1"/>
  <c r="E804" i="1"/>
  <c r="F804" i="1"/>
  <c r="H804" i="1"/>
  <c r="E805" i="1"/>
  <c r="F805" i="1"/>
  <c r="H805" i="1"/>
  <c r="E806" i="1"/>
  <c r="F806" i="1"/>
  <c r="H806" i="1"/>
  <c r="F807" i="1"/>
  <c r="H807" i="1"/>
  <c r="E808" i="1"/>
  <c r="F808" i="1"/>
  <c r="H808" i="1"/>
  <c r="E809" i="1"/>
  <c r="F809" i="1"/>
  <c r="H809" i="1"/>
  <c r="E810" i="1"/>
  <c r="F810" i="1"/>
  <c r="H810" i="1"/>
  <c r="E811" i="1"/>
  <c r="F811" i="1"/>
  <c r="H811" i="1"/>
  <c r="E812" i="1"/>
  <c r="F812" i="1"/>
  <c r="H812" i="1"/>
  <c r="E813" i="1"/>
  <c r="F813" i="1"/>
  <c r="H813" i="1"/>
  <c r="E814" i="1"/>
  <c r="F814" i="1"/>
  <c r="H814" i="1"/>
  <c r="E815" i="1"/>
  <c r="F815" i="1"/>
  <c r="H815" i="1"/>
  <c r="E816" i="1"/>
  <c r="F816" i="1"/>
  <c r="H816" i="1"/>
  <c r="E817" i="1"/>
  <c r="F817" i="1"/>
  <c r="H817" i="1"/>
  <c r="E818" i="1"/>
  <c r="F818" i="1"/>
  <c r="H818" i="1"/>
  <c r="E819" i="1"/>
  <c r="F819" i="1"/>
  <c r="H819" i="1"/>
  <c r="E820" i="1"/>
  <c r="F820" i="1"/>
  <c r="H820" i="1"/>
  <c r="E821" i="1"/>
  <c r="F821" i="1"/>
  <c r="H821" i="1"/>
  <c r="E822" i="1"/>
  <c r="F822" i="1"/>
  <c r="H822" i="1"/>
  <c r="E823" i="1"/>
  <c r="F823" i="1"/>
  <c r="H823" i="1"/>
  <c r="E824" i="1"/>
  <c r="F824" i="1"/>
  <c r="H824" i="1"/>
  <c r="E825" i="1"/>
  <c r="F825" i="1"/>
  <c r="H825" i="1"/>
  <c r="E826" i="1"/>
  <c r="F826" i="1"/>
  <c r="H826" i="1"/>
  <c r="E827" i="1"/>
  <c r="F827" i="1"/>
  <c r="H827" i="1"/>
  <c r="E828" i="1"/>
  <c r="F828" i="1"/>
  <c r="H828" i="1"/>
  <c r="E829" i="1"/>
  <c r="F829" i="1"/>
  <c r="H829" i="1"/>
  <c r="E830" i="1"/>
  <c r="F830" i="1"/>
  <c r="H830" i="1"/>
  <c r="E831" i="1"/>
  <c r="F831" i="1"/>
  <c r="H831" i="1"/>
  <c r="E832" i="1"/>
  <c r="F832" i="1"/>
  <c r="H832" i="1"/>
  <c r="E833" i="1"/>
  <c r="F833" i="1"/>
  <c r="H833" i="1"/>
  <c r="E834" i="1"/>
  <c r="F834" i="1"/>
  <c r="H834" i="1"/>
  <c r="E835" i="1"/>
  <c r="F835" i="1"/>
  <c r="H835" i="1"/>
  <c r="E836" i="1"/>
  <c r="F836" i="1"/>
  <c r="H836" i="1"/>
  <c r="E837" i="1"/>
  <c r="F837" i="1"/>
  <c r="H837" i="1"/>
  <c r="E838" i="1"/>
  <c r="F838" i="1"/>
  <c r="H838" i="1"/>
  <c r="E839" i="1"/>
  <c r="F839" i="1"/>
  <c r="H839" i="1"/>
  <c r="E840" i="1"/>
  <c r="F840" i="1"/>
  <c r="H840" i="1"/>
  <c r="E841" i="1"/>
  <c r="F841" i="1"/>
  <c r="H841" i="1"/>
  <c r="E842" i="1"/>
  <c r="F842" i="1"/>
  <c r="H842" i="1"/>
  <c r="E843" i="1"/>
  <c r="F843" i="1"/>
  <c r="H843" i="1"/>
  <c r="E844" i="1"/>
  <c r="F844" i="1"/>
  <c r="H844" i="1"/>
  <c r="E845" i="1"/>
  <c r="F845" i="1"/>
  <c r="H845" i="1"/>
  <c r="E846" i="1"/>
  <c r="F846" i="1"/>
  <c r="H846" i="1"/>
  <c r="E847" i="1"/>
  <c r="F847" i="1"/>
  <c r="H847" i="1"/>
  <c r="E848" i="1"/>
  <c r="F848" i="1"/>
  <c r="H848" i="1"/>
  <c r="E849" i="1"/>
  <c r="F849" i="1"/>
  <c r="H849" i="1"/>
  <c r="E850" i="1"/>
  <c r="F850" i="1"/>
  <c r="H850" i="1"/>
  <c r="E851" i="1"/>
  <c r="F851" i="1"/>
  <c r="H851" i="1"/>
  <c r="E852" i="1"/>
  <c r="F852" i="1"/>
  <c r="H852" i="1"/>
  <c r="E853" i="1"/>
  <c r="F853" i="1"/>
  <c r="H853" i="1"/>
  <c r="E854" i="1"/>
  <c r="F854" i="1"/>
  <c r="H854" i="1"/>
  <c r="E855" i="1"/>
  <c r="F855" i="1"/>
  <c r="H855" i="1"/>
  <c r="E856" i="1"/>
  <c r="F856" i="1"/>
  <c r="H856" i="1"/>
  <c r="E857" i="1"/>
  <c r="F857" i="1"/>
  <c r="H857" i="1"/>
  <c r="E858" i="1"/>
  <c r="F858" i="1"/>
  <c r="H858" i="1"/>
  <c r="E859" i="1"/>
  <c r="F859" i="1"/>
  <c r="H859" i="1"/>
  <c r="E860" i="1"/>
  <c r="F860" i="1"/>
  <c r="H860" i="1"/>
  <c r="E861" i="1"/>
  <c r="F861" i="1"/>
  <c r="H861" i="1"/>
  <c r="E862" i="1"/>
  <c r="F862" i="1"/>
  <c r="H862" i="1"/>
  <c r="E863" i="1"/>
  <c r="F863" i="1"/>
  <c r="H863" i="1"/>
  <c r="E864" i="1"/>
  <c r="F864" i="1"/>
  <c r="H864" i="1"/>
  <c r="E865" i="1"/>
  <c r="F865" i="1"/>
  <c r="H865" i="1"/>
  <c r="E866" i="1"/>
  <c r="F866" i="1"/>
  <c r="H866" i="1"/>
  <c r="E867" i="1"/>
  <c r="F867" i="1"/>
  <c r="H867" i="1"/>
  <c r="E868" i="1"/>
  <c r="F868" i="1"/>
  <c r="H868" i="1"/>
  <c r="E869" i="1"/>
  <c r="F869" i="1"/>
  <c r="H869" i="1"/>
  <c r="E870" i="1"/>
  <c r="F870" i="1"/>
  <c r="H870" i="1"/>
  <c r="E871" i="1"/>
  <c r="F871" i="1"/>
  <c r="H871" i="1"/>
  <c r="E872" i="1"/>
  <c r="F872" i="1"/>
  <c r="H872" i="1"/>
  <c r="E873" i="1"/>
  <c r="F873" i="1"/>
  <c r="H873" i="1"/>
  <c r="E874" i="1"/>
  <c r="F874" i="1"/>
  <c r="H874" i="1"/>
  <c r="E875" i="1"/>
  <c r="F875" i="1"/>
  <c r="H875" i="1"/>
  <c r="E876" i="1"/>
  <c r="F876" i="1"/>
  <c r="H876" i="1"/>
  <c r="E877" i="1"/>
  <c r="F877" i="1"/>
  <c r="H877" i="1"/>
  <c r="E878" i="1"/>
  <c r="F878" i="1"/>
  <c r="H878" i="1"/>
  <c r="E879" i="1"/>
  <c r="F879" i="1"/>
  <c r="H879" i="1"/>
  <c r="E880" i="1"/>
  <c r="F880" i="1"/>
  <c r="H880" i="1"/>
  <c r="E881" i="1"/>
  <c r="F881" i="1"/>
  <c r="H881" i="1"/>
  <c r="E882" i="1"/>
  <c r="F882" i="1"/>
  <c r="H882" i="1"/>
  <c r="E883" i="1"/>
  <c r="F883" i="1"/>
  <c r="H883" i="1"/>
  <c r="E884" i="1"/>
  <c r="F884" i="1"/>
  <c r="H884" i="1"/>
  <c r="E885" i="1"/>
  <c r="F885" i="1"/>
  <c r="H885" i="1"/>
  <c r="E886" i="1"/>
  <c r="F886" i="1"/>
  <c r="H886" i="1"/>
  <c r="E887" i="1"/>
  <c r="F887" i="1"/>
  <c r="H887" i="1"/>
  <c r="E888" i="1"/>
  <c r="F888" i="1"/>
  <c r="H888" i="1"/>
  <c r="E889" i="1"/>
  <c r="F889" i="1"/>
  <c r="H889" i="1"/>
  <c r="E890" i="1"/>
  <c r="F890" i="1"/>
  <c r="H890" i="1"/>
  <c r="E891" i="1"/>
  <c r="F891" i="1"/>
  <c r="H891" i="1"/>
  <c r="E892" i="1"/>
  <c r="F892" i="1"/>
  <c r="H892" i="1"/>
  <c r="E893" i="1"/>
  <c r="F893" i="1"/>
  <c r="H893" i="1"/>
  <c r="E894" i="1"/>
  <c r="F894" i="1"/>
  <c r="H894" i="1"/>
  <c r="E895" i="1"/>
  <c r="F895" i="1"/>
  <c r="H895" i="1"/>
  <c r="E896" i="1"/>
  <c r="F896" i="1"/>
  <c r="H896" i="1"/>
  <c r="E897" i="1"/>
  <c r="F897" i="1"/>
  <c r="H897" i="1"/>
  <c r="E898" i="1"/>
  <c r="F898" i="1"/>
  <c r="H898" i="1"/>
  <c r="E899" i="1"/>
  <c r="F899" i="1"/>
  <c r="H899" i="1"/>
  <c r="E900" i="1"/>
  <c r="F900" i="1"/>
  <c r="H900" i="1"/>
  <c r="E901" i="1"/>
  <c r="F901" i="1"/>
  <c r="H901" i="1"/>
  <c r="E902" i="1"/>
  <c r="F902" i="1"/>
  <c r="H902" i="1"/>
  <c r="E903" i="1"/>
  <c r="F903" i="1"/>
  <c r="H903" i="1"/>
  <c r="E904" i="1"/>
  <c r="F904" i="1"/>
  <c r="H904" i="1"/>
  <c r="E905" i="1"/>
  <c r="F905" i="1"/>
  <c r="H905" i="1"/>
  <c r="E906" i="1"/>
  <c r="F906" i="1"/>
  <c r="H906" i="1"/>
  <c r="E907" i="1"/>
  <c r="F907" i="1"/>
  <c r="H907" i="1"/>
  <c r="E908" i="1"/>
  <c r="F908" i="1"/>
  <c r="H908" i="1"/>
  <c r="E909" i="1"/>
  <c r="F909" i="1"/>
  <c r="H909" i="1"/>
  <c r="E910" i="1"/>
  <c r="F910" i="1"/>
  <c r="H910" i="1"/>
  <c r="E911" i="1"/>
  <c r="F911" i="1"/>
  <c r="H911" i="1"/>
  <c r="E912" i="1"/>
  <c r="F912" i="1"/>
  <c r="H912" i="1"/>
  <c r="E913" i="1"/>
  <c r="F913" i="1"/>
  <c r="H913" i="1"/>
  <c r="E914" i="1"/>
  <c r="F914" i="1"/>
  <c r="H914" i="1"/>
  <c r="E915" i="1"/>
  <c r="F915" i="1"/>
  <c r="H915" i="1"/>
  <c r="E916" i="1"/>
  <c r="F916" i="1"/>
  <c r="H916" i="1"/>
  <c r="E917" i="1"/>
  <c r="F917" i="1"/>
  <c r="H917" i="1"/>
  <c r="E918" i="1"/>
  <c r="F918" i="1"/>
  <c r="H918" i="1"/>
  <c r="E919" i="1"/>
  <c r="F919" i="1"/>
  <c r="H919" i="1"/>
  <c r="E920" i="1"/>
  <c r="F920" i="1"/>
  <c r="H920" i="1"/>
  <c r="E921" i="1"/>
  <c r="F921" i="1"/>
  <c r="H921" i="1"/>
  <c r="E922" i="1"/>
  <c r="F922" i="1"/>
  <c r="H922" i="1"/>
  <c r="E923" i="1"/>
  <c r="F923" i="1"/>
  <c r="H923" i="1"/>
  <c r="E924" i="1"/>
  <c r="F924" i="1"/>
  <c r="H924" i="1"/>
  <c r="E925" i="1"/>
  <c r="F925" i="1"/>
  <c r="H925" i="1"/>
  <c r="E926" i="1"/>
  <c r="F926" i="1"/>
  <c r="H926" i="1"/>
  <c r="E927" i="1"/>
  <c r="F927" i="1"/>
  <c r="H927" i="1"/>
  <c r="E928" i="1"/>
  <c r="F928" i="1"/>
  <c r="H928" i="1"/>
  <c r="E929" i="1"/>
  <c r="F929" i="1"/>
  <c r="H929" i="1"/>
  <c r="E930" i="1"/>
  <c r="F930" i="1"/>
  <c r="H930" i="1"/>
  <c r="E931" i="1"/>
  <c r="F931" i="1"/>
  <c r="H931" i="1"/>
  <c r="E932" i="1"/>
  <c r="F932" i="1"/>
  <c r="H932" i="1"/>
  <c r="E933" i="1"/>
  <c r="F933" i="1"/>
  <c r="H933" i="1"/>
  <c r="E934" i="1"/>
  <c r="F934" i="1"/>
  <c r="H934" i="1"/>
  <c r="E935" i="1"/>
  <c r="F935" i="1"/>
  <c r="H935" i="1"/>
  <c r="E936" i="1"/>
  <c r="F936" i="1"/>
  <c r="H936" i="1"/>
  <c r="E937" i="1"/>
  <c r="F937" i="1"/>
  <c r="H937" i="1"/>
  <c r="E938" i="1"/>
  <c r="F938" i="1"/>
  <c r="H938" i="1"/>
  <c r="E939" i="1"/>
  <c r="F939" i="1"/>
  <c r="H939" i="1"/>
  <c r="E940" i="1"/>
  <c r="F940" i="1"/>
  <c r="H940" i="1"/>
  <c r="E941" i="1"/>
  <c r="F941" i="1"/>
  <c r="H941" i="1"/>
  <c r="E942" i="1"/>
  <c r="F942" i="1"/>
  <c r="H942" i="1"/>
  <c r="E943" i="1"/>
  <c r="F943" i="1"/>
  <c r="H943" i="1"/>
  <c r="E944" i="1"/>
  <c r="F944" i="1"/>
  <c r="H944" i="1"/>
  <c r="E945" i="1"/>
  <c r="F945" i="1"/>
  <c r="H945" i="1"/>
  <c r="E946" i="1"/>
  <c r="F946" i="1"/>
  <c r="H946" i="1"/>
  <c r="E947" i="1"/>
  <c r="F947" i="1"/>
  <c r="H947" i="1"/>
  <c r="E948" i="1"/>
  <c r="F948" i="1"/>
  <c r="H948" i="1"/>
  <c r="E949" i="1"/>
  <c r="F949" i="1"/>
  <c r="H949" i="1"/>
  <c r="E950" i="1"/>
  <c r="F950" i="1"/>
  <c r="H950" i="1"/>
  <c r="E951" i="1"/>
  <c r="F951" i="1"/>
  <c r="H951" i="1"/>
  <c r="E952" i="1"/>
  <c r="F952" i="1"/>
  <c r="H952" i="1"/>
  <c r="E953" i="1"/>
  <c r="F953" i="1"/>
  <c r="H953" i="1"/>
  <c r="E954" i="1"/>
  <c r="F954" i="1"/>
  <c r="H954" i="1"/>
  <c r="E955" i="1"/>
  <c r="F955" i="1"/>
  <c r="H955" i="1"/>
  <c r="E956" i="1"/>
  <c r="F956" i="1"/>
  <c r="H956" i="1"/>
  <c r="E957" i="1"/>
  <c r="F957" i="1"/>
  <c r="H957" i="1"/>
  <c r="E958" i="1"/>
  <c r="F958" i="1"/>
  <c r="H958" i="1"/>
  <c r="E959" i="1"/>
  <c r="F959" i="1"/>
  <c r="H959" i="1"/>
  <c r="E960" i="1"/>
  <c r="F960" i="1"/>
  <c r="H960" i="1"/>
  <c r="E961" i="1"/>
  <c r="F961" i="1"/>
  <c r="H961" i="1"/>
  <c r="E962" i="1"/>
  <c r="F962" i="1"/>
  <c r="H962" i="1"/>
  <c r="E963" i="1"/>
  <c r="F963" i="1"/>
  <c r="H963" i="1"/>
  <c r="E964" i="1"/>
  <c r="F964" i="1"/>
  <c r="H964" i="1"/>
  <c r="E965" i="1"/>
  <c r="F965" i="1"/>
  <c r="H965" i="1"/>
  <c r="E966" i="1"/>
  <c r="F966" i="1"/>
  <c r="H966" i="1"/>
  <c r="E967" i="1"/>
  <c r="F967" i="1"/>
  <c r="H967" i="1"/>
  <c r="E968" i="1"/>
  <c r="F968" i="1"/>
  <c r="H968" i="1"/>
  <c r="E969" i="1"/>
  <c r="F969" i="1"/>
  <c r="H969" i="1"/>
  <c r="E970" i="1"/>
  <c r="F970" i="1"/>
  <c r="H970" i="1"/>
  <c r="E971" i="1"/>
  <c r="F971" i="1"/>
  <c r="H971" i="1"/>
  <c r="E972" i="1"/>
  <c r="F972" i="1"/>
  <c r="H972" i="1"/>
  <c r="E973" i="1"/>
  <c r="F973" i="1"/>
  <c r="H973" i="1"/>
  <c r="E974" i="1"/>
  <c r="F974" i="1"/>
  <c r="H974" i="1"/>
  <c r="E975" i="1"/>
  <c r="F975" i="1"/>
  <c r="H975" i="1"/>
  <c r="E976" i="1"/>
  <c r="F976" i="1"/>
  <c r="H976" i="1"/>
  <c r="E977" i="1"/>
  <c r="F977" i="1"/>
  <c r="H977" i="1"/>
  <c r="E978" i="1"/>
  <c r="F978" i="1"/>
  <c r="H978" i="1"/>
  <c r="E979" i="1"/>
  <c r="F979" i="1"/>
  <c r="H979" i="1"/>
  <c r="E980" i="1"/>
  <c r="F980" i="1"/>
  <c r="H980" i="1"/>
  <c r="E981" i="1"/>
  <c r="F981" i="1"/>
  <c r="H981" i="1"/>
  <c r="E982" i="1"/>
  <c r="F982" i="1"/>
  <c r="H982" i="1"/>
  <c r="E983" i="1"/>
  <c r="F983" i="1"/>
  <c r="H983" i="1"/>
  <c r="E984" i="1"/>
  <c r="F984" i="1"/>
  <c r="H984" i="1"/>
  <c r="E985" i="1"/>
  <c r="F985" i="1"/>
  <c r="H985" i="1"/>
  <c r="E986" i="1"/>
  <c r="F986" i="1"/>
  <c r="H986" i="1"/>
  <c r="E987" i="1"/>
  <c r="F987" i="1"/>
  <c r="H987" i="1"/>
  <c r="E988" i="1"/>
  <c r="F988" i="1"/>
  <c r="H988" i="1"/>
  <c r="E989" i="1"/>
  <c r="F989" i="1"/>
  <c r="H989" i="1"/>
  <c r="E990" i="1"/>
  <c r="F990" i="1"/>
  <c r="H990" i="1"/>
  <c r="E991" i="1"/>
  <c r="F991" i="1"/>
  <c r="H991" i="1"/>
  <c r="E992" i="1"/>
  <c r="F992" i="1"/>
  <c r="H992" i="1"/>
  <c r="E993" i="1"/>
  <c r="F993" i="1"/>
  <c r="H993" i="1"/>
  <c r="E994" i="1"/>
  <c r="F994" i="1"/>
  <c r="H994" i="1"/>
  <c r="E995" i="1"/>
  <c r="F995" i="1"/>
  <c r="H995" i="1"/>
  <c r="E996" i="1"/>
  <c r="F996" i="1"/>
  <c r="H996" i="1"/>
  <c r="E997" i="1"/>
  <c r="F997" i="1"/>
  <c r="H997" i="1"/>
  <c r="E998" i="1"/>
  <c r="F998" i="1"/>
  <c r="H998" i="1"/>
  <c r="E999" i="1"/>
  <c r="F999" i="1"/>
  <c r="H999" i="1"/>
  <c r="E1000" i="1"/>
  <c r="F1000" i="1"/>
  <c r="H1000" i="1"/>
  <c r="E1001" i="1"/>
  <c r="F1001" i="1"/>
  <c r="H1001" i="1"/>
  <c r="E1002" i="1"/>
  <c r="F1002" i="1"/>
  <c r="H1002" i="1"/>
  <c r="E1003" i="1"/>
  <c r="F1003" i="1"/>
  <c r="H1003" i="1"/>
  <c r="E1004" i="1"/>
  <c r="F1004" i="1"/>
  <c r="H1004" i="1"/>
  <c r="E1005" i="1"/>
  <c r="F1005" i="1"/>
  <c r="H1005" i="1"/>
  <c r="E1006" i="1"/>
  <c r="F1006" i="1"/>
  <c r="H1006" i="1"/>
  <c r="E1007" i="1"/>
  <c r="F1007" i="1"/>
  <c r="H1007" i="1"/>
  <c r="E1008" i="1"/>
  <c r="F1008" i="1"/>
  <c r="H1008" i="1"/>
  <c r="E1009" i="1"/>
  <c r="F1009" i="1"/>
  <c r="H1009" i="1"/>
  <c r="F1010" i="1"/>
  <c r="H1010" i="1"/>
  <c r="F1011" i="1"/>
  <c r="H1011" i="1"/>
  <c r="E1012" i="1"/>
  <c r="F1012" i="1"/>
  <c r="H1012" i="1"/>
  <c r="E1013" i="1"/>
  <c r="F1013" i="1"/>
  <c r="H1013" i="1"/>
  <c r="E1014" i="1"/>
  <c r="F1014" i="1"/>
  <c r="H1014" i="1"/>
  <c r="E1015" i="1"/>
  <c r="F1015" i="1"/>
  <c r="H1015" i="1"/>
  <c r="E1016" i="1"/>
  <c r="F1016" i="1"/>
  <c r="H1016" i="1"/>
  <c r="E1017" i="1"/>
  <c r="F1017" i="1"/>
  <c r="H1017" i="1"/>
  <c r="E1018" i="1"/>
  <c r="F1018" i="1"/>
  <c r="H1018" i="1"/>
  <c r="E1019" i="1"/>
  <c r="F1019" i="1"/>
  <c r="H1019" i="1"/>
  <c r="E1020" i="1"/>
  <c r="F1020" i="1"/>
  <c r="H1020" i="1"/>
  <c r="E1021" i="1"/>
  <c r="F1021" i="1"/>
  <c r="H1021" i="1"/>
  <c r="E1022" i="1"/>
  <c r="F1022" i="1"/>
  <c r="H1022" i="1"/>
  <c r="E1023" i="1"/>
  <c r="F1023" i="1"/>
  <c r="H1023" i="1"/>
  <c r="E1024" i="1"/>
  <c r="F1024" i="1"/>
  <c r="H1024" i="1"/>
  <c r="E1025" i="1"/>
  <c r="F1025" i="1"/>
  <c r="H1025" i="1"/>
  <c r="E1026" i="1"/>
  <c r="F1026" i="1"/>
  <c r="H1026" i="1"/>
  <c r="E1027" i="1"/>
  <c r="F1027" i="1"/>
  <c r="H1027" i="1"/>
  <c r="E1028" i="1"/>
  <c r="F1028" i="1"/>
  <c r="H1028" i="1"/>
  <c r="E1029" i="1"/>
  <c r="F1029" i="1"/>
  <c r="H1029" i="1"/>
  <c r="E1030" i="1"/>
  <c r="F1030" i="1"/>
  <c r="H1030" i="1"/>
  <c r="E1031" i="1"/>
  <c r="F1031" i="1"/>
  <c r="H1031" i="1"/>
  <c r="E1032" i="1"/>
  <c r="F1032" i="1"/>
  <c r="H1032" i="1"/>
  <c r="E1033" i="1"/>
  <c r="F1033" i="1"/>
  <c r="H1033" i="1"/>
  <c r="E1034" i="1"/>
  <c r="F1034" i="1"/>
  <c r="H1034" i="1"/>
  <c r="E1035" i="1"/>
  <c r="F1035" i="1"/>
  <c r="H1035" i="1"/>
  <c r="E1036" i="1"/>
  <c r="F1036" i="1"/>
  <c r="H1036" i="1"/>
  <c r="E1037" i="1"/>
  <c r="F1037" i="1"/>
  <c r="H1037" i="1"/>
  <c r="E1038" i="1"/>
  <c r="F1038" i="1"/>
  <c r="H1038" i="1"/>
  <c r="E1039" i="1"/>
  <c r="F1039" i="1"/>
  <c r="H1039" i="1"/>
  <c r="E1040" i="1"/>
  <c r="F1040" i="1"/>
  <c r="H1040" i="1"/>
  <c r="E1041" i="1"/>
  <c r="F1041" i="1"/>
  <c r="H1041" i="1"/>
  <c r="E1042" i="1"/>
  <c r="F1042" i="1"/>
  <c r="H1042" i="1"/>
  <c r="E1043" i="1"/>
  <c r="F1043" i="1"/>
  <c r="H1043" i="1"/>
  <c r="E1044" i="1"/>
  <c r="F1044" i="1"/>
  <c r="H1044" i="1"/>
  <c r="E1045" i="1"/>
  <c r="F1045" i="1"/>
  <c r="H1045" i="1"/>
  <c r="E1046" i="1"/>
  <c r="F1046" i="1"/>
  <c r="H1046" i="1"/>
  <c r="E1047" i="1"/>
  <c r="F1047" i="1"/>
  <c r="H1047" i="1"/>
  <c r="E1048" i="1"/>
  <c r="F1048" i="1"/>
  <c r="H1048" i="1"/>
  <c r="E1049" i="1"/>
  <c r="F1049" i="1"/>
  <c r="H1049" i="1"/>
  <c r="E1050" i="1"/>
  <c r="F1050" i="1"/>
  <c r="H1050" i="1"/>
  <c r="E1051" i="1"/>
  <c r="F1051" i="1"/>
  <c r="H1051" i="1"/>
  <c r="E1052" i="1"/>
  <c r="F1052" i="1"/>
  <c r="H1052" i="1"/>
  <c r="E1053" i="1"/>
  <c r="F1053" i="1"/>
  <c r="H1053" i="1"/>
  <c r="E1054" i="1"/>
  <c r="F1054" i="1"/>
  <c r="H1054" i="1"/>
  <c r="E1055" i="1"/>
  <c r="F1055" i="1"/>
  <c r="H1055" i="1"/>
  <c r="E1056" i="1"/>
  <c r="F1056" i="1"/>
  <c r="H1056" i="1"/>
  <c r="E1057" i="1"/>
  <c r="F1057" i="1"/>
  <c r="H1057" i="1"/>
  <c r="E1058" i="1"/>
  <c r="F1058" i="1"/>
  <c r="H1058" i="1"/>
  <c r="E1059" i="1"/>
  <c r="F1059" i="1"/>
  <c r="H1059" i="1"/>
  <c r="E1060" i="1"/>
  <c r="F1060" i="1"/>
  <c r="H1060" i="1"/>
  <c r="E1061" i="1"/>
  <c r="F1061" i="1"/>
  <c r="H1061" i="1"/>
  <c r="E1062" i="1"/>
  <c r="F1062" i="1"/>
  <c r="H1062" i="1"/>
  <c r="E1063" i="1"/>
  <c r="F1063" i="1"/>
  <c r="H1063" i="1"/>
  <c r="E1064" i="1"/>
  <c r="F1064" i="1"/>
  <c r="H1064" i="1"/>
  <c r="E1065" i="1"/>
  <c r="F1065" i="1"/>
  <c r="H1065" i="1"/>
  <c r="E1066" i="1"/>
  <c r="F1066" i="1"/>
  <c r="H1066" i="1"/>
  <c r="E1067" i="1"/>
  <c r="F1067" i="1"/>
  <c r="H1067" i="1"/>
  <c r="E1068" i="1"/>
  <c r="F1068" i="1"/>
  <c r="H1068" i="1"/>
  <c r="E1069" i="1"/>
  <c r="F1069" i="1"/>
  <c r="H1069" i="1"/>
  <c r="E1070" i="1"/>
  <c r="F1070" i="1"/>
  <c r="H1070" i="1"/>
  <c r="E1071" i="1"/>
  <c r="F1071" i="1"/>
  <c r="H1071" i="1"/>
  <c r="E1072" i="1"/>
  <c r="F1072" i="1"/>
  <c r="H1072" i="1"/>
  <c r="E1073" i="1"/>
  <c r="F1073" i="1"/>
  <c r="H1073" i="1"/>
  <c r="E1074" i="1"/>
  <c r="F1074" i="1"/>
  <c r="H1074" i="1"/>
  <c r="E1075" i="1"/>
  <c r="F1075" i="1"/>
  <c r="H1075" i="1"/>
  <c r="E1076" i="1"/>
  <c r="F1076" i="1"/>
  <c r="H1076" i="1"/>
  <c r="E1077" i="1"/>
  <c r="F1077" i="1"/>
  <c r="H1077" i="1"/>
  <c r="E1078" i="1"/>
  <c r="F1078" i="1"/>
  <c r="H1078" i="1"/>
  <c r="E1079" i="1"/>
  <c r="F1079" i="1"/>
  <c r="H1079" i="1"/>
  <c r="E1080" i="1"/>
  <c r="F1080" i="1"/>
  <c r="H1080" i="1"/>
  <c r="E1081" i="1"/>
  <c r="F1081" i="1"/>
  <c r="H1081" i="1"/>
  <c r="E1082" i="1"/>
  <c r="F1082" i="1"/>
  <c r="H1082" i="1"/>
  <c r="E1083" i="1"/>
  <c r="F1083" i="1"/>
  <c r="H1083" i="1"/>
  <c r="E1084" i="1"/>
  <c r="F1084" i="1"/>
  <c r="H1084" i="1"/>
  <c r="E1085" i="1"/>
  <c r="F1085" i="1"/>
  <c r="H1085" i="1"/>
  <c r="E1086" i="1"/>
  <c r="F1086" i="1"/>
  <c r="H1086" i="1"/>
  <c r="E1087" i="1"/>
  <c r="F1087" i="1"/>
  <c r="H1087" i="1"/>
  <c r="E1088" i="1"/>
  <c r="F1088" i="1"/>
  <c r="H1088" i="1"/>
  <c r="E1089" i="1"/>
  <c r="F1089" i="1"/>
  <c r="H1089" i="1"/>
  <c r="E1090" i="1"/>
  <c r="F1090" i="1"/>
  <c r="H1090" i="1"/>
  <c r="E1091" i="1"/>
  <c r="F1091" i="1"/>
  <c r="H1091" i="1"/>
  <c r="E1092" i="1"/>
  <c r="F1092" i="1"/>
  <c r="H1092" i="1"/>
  <c r="E1093" i="1"/>
  <c r="F1093" i="1"/>
  <c r="H1093" i="1"/>
  <c r="E1094" i="1"/>
  <c r="F1094" i="1"/>
  <c r="H1094" i="1"/>
  <c r="E1095" i="1"/>
  <c r="F1095" i="1"/>
  <c r="H1095" i="1"/>
  <c r="E1096" i="1"/>
  <c r="F1096" i="1"/>
  <c r="H1096" i="1"/>
  <c r="E1097" i="1"/>
  <c r="F1097" i="1"/>
  <c r="H1097" i="1"/>
  <c r="E1098" i="1"/>
  <c r="F1098" i="1"/>
  <c r="H1098" i="1"/>
  <c r="E1099" i="1"/>
  <c r="F1099" i="1"/>
  <c r="H1099" i="1"/>
  <c r="E1100" i="1"/>
  <c r="F1100" i="1"/>
  <c r="H1100" i="1"/>
  <c r="E1101" i="1"/>
  <c r="F1101" i="1"/>
  <c r="H1101" i="1"/>
  <c r="E1102" i="1"/>
  <c r="F1102" i="1"/>
  <c r="H1102" i="1"/>
  <c r="E1103" i="1"/>
  <c r="F1103" i="1"/>
  <c r="H1103" i="1"/>
  <c r="E1104" i="1"/>
  <c r="F1104" i="1"/>
  <c r="H1104" i="1"/>
  <c r="E1105" i="1"/>
  <c r="F1105" i="1"/>
  <c r="H1105" i="1"/>
  <c r="E1106" i="1"/>
  <c r="F1106" i="1"/>
  <c r="H1106" i="1"/>
  <c r="E1107" i="1"/>
  <c r="F1107" i="1"/>
  <c r="H1107" i="1"/>
  <c r="E1108" i="1"/>
  <c r="F1108" i="1"/>
  <c r="H1108" i="1"/>
  <c r="E1109" i="1"/>
  <c r="F1109" i="1"/>
  <c r="H1109" i="1"/>
  <c r="E1110" i="1"/>
  <c r="F1110" i="1"/>
  <c r="H1110" i="1"/>
  <c r="E1111" i="1"/>
  <c r="F1111" i="1"/>
  <c r="H1111" i="1"/>
  <c r="E1112" i="1"/>
  <c r="F1112" i="1"/>
  <c r="H1112" i="1"/>
  <c r="E1113" i="1"/>
  <c r="F1113" i="1"/>
  <c r="H1113" i="1"/>
  <c r="E1114" i="1"/>
  <c r="F1114" i="1"/>
  <c r="H1114" i="1"/>
  <c r="E1115" i="1"/>
  <c r="F1115" i="1"/>
  <c r="H1115" i="1"/>
  <c r="E1116" i="1"/>
  <c r="F1116" i="1"/>
  <c r="H1116" i="1"/>
  <c r="E1117" i="1"/>
  <c r="F1117" i="1"/>
  <c r="H1117" i="1"/>
  <c r="F1118" i="1"/>
  <c r="H1118" i="1"/>
  <c r="E1119" i="1"/>
  <c r="F1119" i="1"/>
  <c r="H1119" i="1"/>
  <c r="E1120" i="1"/>
  <c r="F1120" i="1"/>
  <c r="H1120" i="1"/>
  <c r="E1121" i="1"/>
  <c r="F1121" i="1"/>
  <c r="H1121" i="1"/>
  <c r="E1122" i="1"/>
  <c r="F1122" i="1"/>
  <c r="H1122" i="1"/>
  <c r="E1123" i="1"/>
  <c r="F1123" i="1"/>
  <c r="H1123" i="1"/>
  <c r="E1124" i="1"/>
  <c r="F1124" i="1"/>
  <c r="H1124" i="1"/>
  <c r="E1125" i="1"/>
  <c r="F1125" i="1"/>
  <c r="H1125" i="1"/>
  <c r="E1126" i="1"/>
  <c r="F1126" i="1"/>
  <c r="H1126" i="1"/>
  <c r="E1127" i="1"/>
  <c r="F1127" i="1"/>
  <c r="H1127" i="1"/>
  <c r="E1128" i="1"/>
  <c r="F1128" i="1"/>
  <c r="H1128" i="1"/>
  <c r="E1129" i="1"/>
  <c r="F1129" i="1"/>
  <c r="H1129" i="1"/>
  <c r="E1130" i="1"/>
  <c r="F1130" i="1"/>
  <c r="H1130" i="1"/>
  <c r="E1131" i="1"/>
  <c r="F1131" i="1"/>
  <c r="H1131" i="1"/>
  <c r="E1132" i="1"/>
  <c r="F1132" i="1"/>
  <c r="H1132" i="1"/>
  <c r="E1133" i="1"/>
  <c r="F1133" i="1"/>
  <c r="H1133" i="1"/>
  <c r="E1134" i="1"/>
  <c r="F1134" i="1"/>
  <c r="H1134" i="1"/>
  <c r="E1135" i="1"/>
  <c r="F1135" i="1"/>
  <c r="H1135" i="1"/>
  <c r="E1136" i="1"/>
  <c r="F1136" i="1"/>
  <c r="H1136" i="1"/>
  <c r="E1137" i="1"/>
  <c r="F1137" i="1"/>
  <c r="H1137" i="1"/>
  <c r="E1138" i="1"/>
  <c r="F1138" i="1"/>
  <c r="H1138" i="1"/>
  <c r="E1139" i="1"/>
  <c r="F1139" i="1"/>
  <c r="H1139" i="1"/>
  <c r="E1140" i="1"/>
  <c r="F1140" i="1"/>
  <c r="H1140" i="1"/>
  <c r="E1141" i="1"/>
  <c r="F1141" i="1"/>
  <c r="H1141" i="1"/>
  <c r="E1142" i="1"/>
  <c r="F1142" i="1"/>
  <c r="H1142" i="1"/>
  <c r="E1143" i="1"/>
  <c r="F1143" i="1"/>
  <c r="H1143" i="1"/>
  <c r="E1144" i="1"/>
  <c r="F1144" i="1"/>
  <c r="H1144" i="1"/>
  <c r="E1145" i="1"/>
  <c r="F1145" i="1"/>
  <c r="H1145" i="1"/>
  <c r="E1146" i="1"/>
  <c r="F1146" i="1"/>
  <c r="H1146" i="1"/>
  <c r="E1147" i="1"/>
  <c r="F1147" i="1"/>
  <c r="H1147" i="1"/>
  <c r="E1148" i="1"/>
  <c r="F1148" i="1"/>
  <c r="H1148" i="1"/>
  <c r="E1149" i="1"/>
  <c r="F1149" i="1"/>
  <c r="H1149" i="1"/>
  <c r="E1150" i="1"/>
  <c r="F1150" i="1"/>
  <c r="H1150" i="1"/>
  <c r="E1151" i="1"/>
  <c r="F1151" i="1"/>
  <c r="H1151" i="1"/>
  <c r="E1152" i="1"/>
  <c r="F1152" i="1"/>
  <c r="H1152" i="1"/>
  <c r="E1153" i="1"/>
  <c r="F1153" i="1"/>
  <c r="H1153" i="1"/>
  <c r="E1154" i="1"/>
  <c r="F1154" i="1"/>
  <c r="H1154" i="1"/>
  <c r="E1155" i="1"/>
  <c r="F1155" i="1"/>
  <c r="H1155" i="1"/>
  <c r="E1156" i="1"/>
  <c r="F1156" i="1"/>
  <c r="H1156" i="1"/>
  <c r="E1157" i="1"/>
  <c r="F1157" i="1"/>
  <c r="H1157" i="1"/>
  <c r="E1158" i="1"/>
  <c r="F1158" i="1"/>
  <c r="H1158" i="1"/>
  <c r="E1159" i="1"/>
  <c r="F1159" i="1"/>
  <c r="H1159" i="1"/>
  <c r="E1160" i="1"/>
  <c r="F1160" i="1"/>
  <c r="H1160" i="1"/>
  <c r="E1161" i="1"/>
  <c r="F1161" i="1"/>
  <c r="H1161" i="1"/>
  <c r="E1162" i="1"/>
  <c r="F1162" i="1"/>
  <c r="H1162" i="1"/>
  <c r="E1163" i="1"/>
  <c r="F1163" i="1"/>
  <c r="H1163" i="1"/>
  <c r="E1164" i="1"/>
  <c r="F1164" i="1"/>
  <c r="H1164" i="1"/>
  <c r="E1165" i="1"/>
  <c r="F1165" i="1"/>
  <c r="H1165" i="1"/>
  <c r="E1166" i="1"/>
  <c r="F1166" i="1"/>
  <c r="H1166" i="1"/>
  <c r="E1167" i="1"/>
  <c r="F1167" i="1"/>
  <c r="H1167" i="1"/>
  <c r="E1168" i="1"/>
  <c r="F1168" i="1"/>
  <c r="H1168" i="1"/>
  <c r="E1169" i="1"/>
  <c r="F1169" i="1"/>
  <c r="H1169" i="1"/>
  <c r="E1170" i="1"/>
  <c r="F1170" i="1"/>
  <c r="H1170" i="1"/>
  <c r="E1171" i="1"/>
  <c r="F1171" i="1"/>
  <c r="H1171" i="1"/>
  <c r="E1172" i="1"/>
  <c r="F1172" i="1"/>
  <c r="H1172" i="1"/>
  <c r="E1173" i="1"/>
  <c r="F1173" i="1"/>
  <c r="H1173" i="1"/>
  <c r="E1174" i="1"/>
  <c r="F1174" i="1"/>
  <c r="H1174" i="1"/>
  <c r="E1175" i="1"/>
  <c r="F1175" i="1"/>
  <c r="H1175" i="1"/>
  <c r="E1176" i="1"/>
  <c r="F1176" i="1"/>
  <c r="H1176" i="1"/>
  <c r="E1177" i="1"/>
  <c r="F1177" i="1"/>
  <c r="H1177" i="1"/>
  <c r="E1178" i="1"/>
  <c r="F1178" i="1"/>
  <c r="H1178" i="1"/>
  <c r="E1179" i="1"/>
  <c r="F1179" i="1"/>
  <c r="H1179" i="1"/>
  <c r="E1180" i="1"/>
  <c r="F1180" i="1"/>
  <c r="H1180" i="1"/>
  <c r="E1181" i="1"/>
  <c r="F1181" i="1"/>
  <c r="H1181" i="1"/>
  <c r="E1182" i="1"/>
  <c r="F1182" i="1"/>
  <c r="H1182" i="1"/>
  <c r="E1183" i="1"/>
  <c r="F1183" i="1"/>
  <c r="H1183" i="1"/>
  <c r="E1184" i="1"/>
  <c r="F1184" i="1"/>
  <c r="H1184" i="1"/>
  <c r="E1185" i="1"/>
  <c r="F1185" i="1"/>
  <c r="H1185" i="1"/>
  <c r="E1186" i="1"/>
  <c r="F1186" i="1"/>
  <c r="H1186" i="1"/>
  <c r="E1187" i="1"/>
  <c r="F1187" i="1"/>
  <c r="H1187" i="1"/>
  <c r="E1188" i="1"/>
  <c r="F1188" i="1"/>
  <c r="H1188" i="1"/>
  <c r="E1189" i="1"/>
  <c r="F1189" i="1"/>
  <c r="H1189" i="1"/>
  <c r="E1190" i="1"/>
  <c r="F1190" i="1"/>
  <c r="H1190" i="1"/>
  <c r="E1191" i="1"/>
  <c r="F1191" i="1"/>
  <c r="H1191" i="1"/>
  <c r="E1192" i="1"/>
  <c r="F1192" i="1"/>
  <c r="H1192" i="1"/>
  <c r="E1193" i="1"/>
  <c r="F1193" i="1"/>
  <c r="H1193" i="1"/>
  <c r="E1194" i="1"/>
  <c r="F1194" i="1"/>
  <c r="H1194" i="1"/>
  <c r="E1195" i="1"/>
  <c r="F1195" i="1"/>
  <c r="H1195" i="1"/>
  <c r="E1196" i="1"/>
  <c r="F1196" i="1"/>
  <c r="H1196" i="1"/>
  <c r="E1197" i="1"/>
  <c r="F1197" i="1"/>
  <c r="H1197" i="1"/>
  <c r="E1198" i="1"/>
  <c r="F1198" i="1"/>
  <c r="H1198" i="1"/>
  <c r="E1199" i="1"/>
  <c r="F1199" i="1"/>
  <c r="H1199" i="1"/>
  <c r="E1200" i="1"/>
  <c r="F1200" i="1"/>
  <c r="H1200" i="1"/>
  <c r="E1201" i="1"/>
  <c r="F1201" i="1"/>
  <c r="H1201" i="1"/>
  <c r="E1202" i="1"/>
  <c r="F1202" i="1"/>
  <c r="H1202" i="1"/>
  <c r="E1203" i="1"/>
  <c r="F1203" i="1"/>
  <c r="H1203" i="1"/>
  <c r="E1204" i="1"/>
  <c r="F1204" i="1"/>
  <c r="H1204" i="1"/>
  <c r="E1205" i="1"/>
  <c r="F1205" i="1"/>
  <c r="H1205" i="1"/>
  <c r="E1206" i="1"/>
  <c r="F1206" i="1"/>
  <c r="H1206" i="1"/>
  <c r="E1207" i="1"/>
  <c r="F1207" i="1"/>
  <c r="H1207" i="1"/>
  <c r="E1208" i="1"/>
  <c r="F1208" i="1"/>
  <c r="H1208" i="1"/>
  <c r="E1209" i="1"/>
  <c r="F1209" i="1"/>
  <c r="H1209" i="1"/>
  <c r="E1210" i="1"/>
  <c r="F1210" i="1"/>
  <c r="H1210" i="1"/>
  <c r="E1211" i="1"/>
  <c r="F1211" i="1"/>
  <c r="H1211" i="1"/>
  <c r="E1212" i="1"/>
  <c r="F1212" i="1"/>
  <c r="H1212" i="1"/>
  <c r="E1213" i="1"/>
  <c r="F1213" i="1"/>
  <c r="H1213" i="1"/>
  <c r="E1214" i="1"/>
  <c r="F1214" i="1"/>
  <c r="H1214" i="1"/>
  <c r="E1215" i="1"/>
  <c r="F1215" i="1"/>
  <c r="H1215" i="1"/>
  <c r="E1216" i="1"/>
  <c r="F1216" i="1"/>
  <c r="H1216" i="1"/>
  <c r="E1217" i="1"/>
  <c r="F1217" i="1"/>
  <c r="H1217" i="1"/>
  <c r="E1218" i="1"/>
  <c r="F1218" i="1"/>
  <c r="H1218" i="1"/>
  <c r="E1219" i="1"/>
  <c r="F1219" i="1"/>
  <c r="H1219" i="1"/>
  <c r="E1220" i="1"/>
  <c r="F1220" i="1"/>
  <c r="H1220" i="1"/>
  <c r="E1221" i="1"/>
  <c r="F1221" i="1"/>
  <c r="H1221" i="1"/>
  <c r="E1222" i="1"/>
  <c r="F1222" i="1"/>
  <c r="H1222" i="1"/>
  <c r="E1223" i="1"/>
  <c r="F1223" i="1"/>
  <c r="H1223" i="1"/>
  <c r="E1224" i="1"/>
  <c r="F1224" i="1"/>
  <c r="H1224" i="1"/>
  <c r="E1225" i="1"/>
  <c r="F1225" i="1"/>
  <c r="H1225" i="1"/>
  <c r="E1226" i="1"/>
  <c r="F1226" i="1"/>
  <c r="H1226" i="1"/>
  <c r="E1227" i="1"/>
  <c r="F1227" i="1"/>
  <c r="H1227" i="1"/>
  <c r="E1228" i="1"/>
  <c r="F1228" i="1"/>
  <c r="H1228" i="1"/>
  <c r="E1229" i="1"/>
  <c r="F1229" i="1"/>
  <c r="H1229" i="1"/>
  <c r="E1230" i="1"/>
  <c r="F1230" i="1"/>
  <c r="H1230" i="1"/>
  <c r="E1231" i="1"/>
  <c r="F1231" i="1"/>
  <c r="H1231" i="1"/>
  <c r="E1232" i="1"/>
  <c r="F1232" i="1"/>
  <c r="H1232" i="1"/>
  <c r="E1233" i="1"/>
  <c r="F1233" i="1"/>
  <c r="H1233" i="1"/>
  <c r="E1234" i="1"/>
  <c r="F1234" i="1"/>
  <c r="H1234" i="1"/>
  <c r="E1235" i="1"/>
  <c r="F1235" i="1"/>
  <c r="H1235" i="1"/>
  <c r="E1236" i="1"/>
  <c r="F1236" i="1"/>
  <c r="H1236" i="1"/>
  <c r="E1237" i="1"/>
  <c r="F1237" i="1"/>
  <c r="H1237" i="1"/>
  <c r="E1238" i="1"/>
  <c r="F1238" i="1"/>
  <c r="H1238" i="1"/>
  <c r="E1239" i="1"/>
  <c r="F1239" i="1"/>
  <c r="H1239" i="1"/>
  <c r="E1240" i="1"/>
  <c r="F1240" i="1"/>
  <c r="H1240" i="1"/>
  <c r="E1241" i="1"/>
  <c r="F1241" i="1"/>
  <c r="H1241" i="1"/>
  <c r="E1242" i="1"/>
  <c r="F1242" i="1"/>
  <c r="H1242" i="1"/>
  <c r="E1243" i="1"/>
  <c r="F1243" i="1"/>
  <c r="H1243" i="1"/>
  <c r="E1244" i="1"/>
  <c r="F1244" i="1"/>
  <c r="H1244" i="1"/>
  <c r="E1245" i="1"/>
  <c r="F1245" i="1"/>
  <c r="H1245" i="1"/>
  <c r="E1246" i="1"/>
  <c r="F1246" i="1"/>
  <c r="H1246" i="1"/>
  <c r="E1247" i="1"/>
  <c r="F1247" i="1"/>
  <c r="H1247" i="1"/>
  <c r="E1248" i="1"/>
  <c r="F1248" i="1"/>
  <c r="H1248" i="1"/>
  <c r="E1249" i="1"/>
  <c r="F1249" i="1"/>
  <c r="H1249" i="1"/>
  <c r="E1250" i="1"/>
  <c r="F1250" i="1"/>
  <c r="H1250" i="1"/>
  <c r="E1251" i="1"/>
  <c r="F1251" i="1"/>
  <c r="H1251" i="1"/>
  <c r="E1252" i="1"/>
  <c r="F1252" i="1"/>
  <c r="H1252" i="1"/>
  <c r="E1253" i="1"/>
  <c r="F1253" i="1"/>
  <c r="H1253" i="1"/>
  <c r="E1254" i="1"/>
  <c r="F1254" i="1"/>
  <c r="H1254" i="1"/>
  <c r="E1255" i="1"/>
  <c r="F1255" i="1"/>
  <c r="H1255" i="1"/>
  <c r="E1256" i="1"/>
  <c r="F1256" i="1"/>
  <c r="H1256" i="1"/>
  <c r="E1257" i="1"/>
  <c r="F1257" i="1"/>
  <c r="H1257" i="1"/>
  <c r="E1258" i="1"/>
  <c r="F1258" i="1"/>
  <c r="H1258" i="1"/>
  <c r="E1259" i="1"/>
  <c r="F1259" i="1"/>
  <c r="H1259" i="1"/>
  <c r="E1260" i="1"/>
  <c r="F1260" i="1"/>
  <c r="H1260" i="1"/>
  <c r="E1261" i="1"/>
  <c r="F1261" i="1"/>
  <c r="H1261" i="1"/>
  <c r="E1262" i="1"/>
  <c r="F1262" i="1"/>
  <c r="H1262" i="1"/>
  <c r="E1263" i="1"/>
  <c r="F1263" i="1"/>
  <c r="H1263" i="1"/>
  <c r="E1264" i="1"/>
  <c r="F1264" i="1"/>
  <c r="H1264" i="1"/>
  <c r="E1265" i="1"/>
  <c r="F1265" i="1"/>
  <c r="H1265" i="1"/>
  <c r="E1266" i="1"/>
  <c r="F1266" i="1"/>
  <c r="H1266" i="1"/>
  <c r="E1267" i="1"/>
  <c r="F1267" i="1"/>
  <c r="H1267" i="1"/>
  <c r="E1268" i="1"/>
  <c r="F1268" i="1"/>
  <c r="H1268" i="1"/>
  <c r="E1269" i="1"/>
  <c r="F1269" i="1"/>
  <c r="H1269" i="1"/>
  <c r="E1270" i="1"/>
  <c r="F1270" i="1"/>
  <c r="H1270" i="1"/>
  <c r="E1271" i="1"/>
  <c r="F1271" i="1"/>
  <c r="H1271" i="1"/>
  <c r="E1272" i="1"/>
  <c r="F1272" i="1"/>
  <c r="H1272" i="1"/>
  <c r="F1273" i="1"/>
  <c r="H1273" i="1"/>
  <c r="F1274" i="1"/>
  <c r="H1274" i="1"/>
  <c r="E1275" i="1"/>
  <c r="F1275" i="1"/>
  <c r="H1275" i="1"/>
  <c r="E1276" i="1"/>
  <c r="F1276" i="1"/>
  <c r="H1276" i="1"/>
  <c r="E1277" i="1"/>
  <c r="F1277" i="1"/>
  <c r="H1277" i="1"/>
  <c r="E1278" i="1"/>
  <c r="F1278" i="1"/>
  <c r="H1278" i="1"/>
  <c r="E1279" i="1"/>
  <c r="F1279" i="1"/>
  <c r="H1279" i="1"/>
  <c r="E1280" i="1"/>
  <c r="F1280" i="1"/>
  <c r="H1280" i="1"/>
  <c r="E1281" i="1"/>
  <c r="F1281" i="1"/>
  <c r="H1281" i="1"/>
  <c r="E1282" i="1"/>
  <c r="F1282" i="1"/>
  <c r="H1282" i="1"/>
  <c r="E1283" i="1"/>
  <c r="F1283" i="1"/>
  <c r="H1283" i="1"/>
  <c r="E1284" i="1"/>
  <c r="F1284" i="1"/>
  <c r="H1284" i="1"/>
  <c r="E1285" i="1"/>
  <c r="F1285" i="1"/>
  <c r="H1285" i="1"/>
  <c r="E1286" i="1"/>
  <c r="F1286" i="1"/>
  <c r="H1286" i="1"/>
  <c r="E1287" i="1"/>
  <c r="F1287" i="1"/>
  <c r="H1287" i="1"/>
  <c r="E1288" i="1"/>
  <c r="F1288" i="1"/>
  <c r="H1288" i="1"/>
  <c r="E1289" i="1"/>
  <c r="F1289" i="1"/>
  <c r="H1289" i="1"/>
  <c r="E1290" i="1"/>
  <c r="F1290" i="1"/>
  <c r="H1290" i="1"/>
  <c r="E1291" i="1"/>
  <c r="F1291" i="1"/>
  <c r="H1291" i="1"/>
  <c r="E1292" i="1"/>
  <c r="F1292" i="1"/>
  <c r="H1292" i="1"/>
  <c r="E1293" i="1"/>
  <c r="F1293" i="1"/>
  <c r="H1293" i="1"/>
  <c r="E1294" i="1"/>
  <c r="F1294" i="1"/>
  <c r="H1294" i="1"/>
  <c r="E1295" i="1"/>
  <c r="F1295" i="1"/>
  <c r="H1295" i="1"/>
  <c r="E1296" i="1"/>
  <c r="F1296" i="1"/>
  <c r="H1296" i="1"/>
  <c r="E1297" i="1"/>
  <c r="F1297" i="1"/>
  <c r="H1297" i="1"/>
  <c r="E1298" i="1"/>
  <c r="F1298" i="1"/>
  <c r="H1298" i="1"/>
  <c r="E1299" i="1"/>
  <c r="F1299" i="1"/>
  <c r="H1299" i="1"/>
  <c r="E1300" i="1"/>
  <c r="F1300" i="1"/>
  <c r="H1300" i="1"/>
  <c r="E1301" i="1"/>
  <c r="F1301" i="1"/>
  <c r="H1301" i="1"/>
  <c r="E1302" i="1"/>
  <c r="F1302" i="1"/>
  <c r="H1302" i="1"/>
  <c r="E1303" i="1"/>
  <c r="F1303" i="1"/>
  <c r="H1303" i="1"/>
  <c r="E1304" i="1"/>
  <c r="F1304" i="1"/>
  <c r="H1304" i="1"/>
  <c r="E1305" i="1"/>
  <c r="F1305" i="1"/>
  <c r="H1305" i="1"/>
  <c r="E1306" i="1"/>
  <c r="F1306" i="1"/>
  <c r="H1306" i="1"/>
  <c r="E1307" i="1"/>
  <c r="F1307" i="1"/>
  <c r="H1307" i="1"/>
  <c r="E1308" i="1"/>
  <c r="F1308" i="1"/>
  <c r="H1308" i="1"/>
  <c r="E1309" i="1"/>
  <c r="F1309" i="1"/>
  <c r="H1309" i="1"/>
  <c r="E1310" i="1"/>
  <c r="F1310" i="1"/>
  <c r="H1310" i="1"/>
  <c r="E1311" i="1"/>
  <c r="F1311" i="1"/>
  <c r="H1311" i="1"/>
  <c r="E1312" i="1"/>
  <c r="F1312" i="1"/>
  <c r="H1312" i="1"/>
  <c r="E1313" i="1"/>
  <c r="F1313" i="1"/>
  <c r="H1313" i="1"/>
  <c r="E1314" i="1"/>
  <c r="F1314" i="1"/>
  <c r="H1314" i="1"/>
  <c r="E1315" i="1"/>
  <c r="F1315" i="1"/>
  <c r="H1315" i="1"/>
  <c r="E1316" i="1"/>
  <c r="F1316" i="1"/>
  <c r="H1316" i="1"/>
  <c r="E1317" i="1"/>
  <c r="F1317" i="1"/>
  <c r="H1317" i="1"/>
  <c r="E1318" i="1"/>
  <c r="F1318" i="1"/>
  <c r="H1318" i="1"/>
  <c r="E1319" i="1"/>
  <c r="F1319" i="1"/>
  <c r="H1319" i="1"/>
  <c r="E1320" i="1"/>
  <c r="F1320" i="1"/>
  <c r="H1320" i="1"/>
  <c r="E1321" i="1"/>
  <c r="F1321" i="1"/>
  <c r="H1321" i="1"/>
  <c r="E1322" i="1"/>
  <c r="F1322" i="1"/>
  <c r="H1322" i="1"/>
  <c r="E1323" i="1"/>
  <c r="F1323" i="1"/>
  <c r="H1323" i="1"/>
  <c r="E1324" i="1"/>
  <c r="F1324" i="1"/>
  <c r="H1324" i="1"/>
  <c r="E1325" i="1"/>
  <c r="F1325" i="1"/>
  <c r="H1325" i="1"/>
  <c r="E1326" i="1"/>
  <c r="F1326" i="1"/>
  <c r="H1326" i="1"/>
  <c r="E1327" i="1"/>
  <c r="F1327" i="1"/>
  <c r="H1327" i="1"/>
  <c r="E1328" i="1"/>
  <c r="F1328" i="1"/>
  <c r="H1328" i="1"/>
  <c r="E1329" i="1"/>
  <c r="F1329" i="1"/>
  <c r="H1329" i="1"/>
  <c r="E1330" i="1"/>
  <c r="F1330" i="1"/>
  <c r="H1330" i="1"/>
  <c r="E1331" i="1"/>
  <c r="F1331" i="1"/>
  <c r="H1331" i="1"/>
  <c r="E1332" i="1"/>
  <c r="F1332" i="1"/>
  <c r="H1332" i="1"/>
  <c r="E1333" i="1"/>
  <c r="F1333" i="1"/>
  <c r="H1333" i="1"/>
  <c r="E1334" i="1"/>
  <c r="F1334" i="1"/>
  <c r="H1334" i="1"/>
  <c r="E1335" i="1"/>
  <c r="F1335" i="1"/>
  <c r="H1335" i="1"/>
  <c r="F1336" i="1"/>
  <c r="H1336" i="1"/>
  <c r="E1337" i="1"/>
  <c r="F1337" i="1"/>
  <c r="H1337" i="1"/>
  <c r="E1338" i="1"/>
  <c r="F1338" i="1"/>
  <c r="H1338" i="1"/>
  <c r="E1339" i="1"/>
  <c r="F1339" i="1"/>
  <c r="H1339" i="1"/>
  <c r="E1340" i="1"/>
  <c r="F1340" i="1"/>
  <c r="H1340" i="1"/>
  <c r="E1341" i="1"/>
  <c r="F1341" i="1"/>
  <c r="H1341" i="1"/>
  <c r="E1342" i="1"/>
  <c r="F1342" i="1"/>
  <c r="H1342" i="1"/>
  <c r="E1343" i="1"/>
  <c r="F1343" i="1"/>
  <c r="H1343" i="1"/>
  <c r="E1344" i="1"/>
  <c r="F1344" i="1"/>
  <c r="H1344" i="1"/>
  <c r="E1345" i="1"/>
  <c r="F1345" i="1"/>
  <c r="H1345" i="1"/>
  <c r="E1346" i="1"/>
  <c r="F1346" i="1"/>
  <c r="H1346" i="1"/>
  <c r="E1347" i="1"/>
  <c r="F1347" i="1"/>
  <c r="H1347" i="1"/>
  <c r="E1348" i="1"/>
  <c r="F1348" i="1"/>
  <c r="H1348" i="1"/>
  <c r="E1349" i="1"/>
  <c r="F1349" i="1"/>
  <c r="H1349" i="1"/>
  <c r="E1350" i="1"/>
  <c r="F1350" i="1"/>
  <c r="H1350" i="1"/>
  <c r="E1351" i="1"/>
  <c r="F1351" i="1"/>
  <c r="H1351" i="1"/>
  <c r="E1352" i="1"/>
  <c r="F1352" i="1"/>
  <c r="H1352" i="1"/>
  <c r="E1353" i="1"/>
  <c r="F1353" i="1"/>
  <c r="H1353" i="1"/>
  <c r="E1354" i="1"/>
  <c r="F1354" i="1"/>
  <c r="H1354" i="1"/>
  <c r="E1355" i="1"/>
  <c r="F1355" i="1"/>
  <c r="H1355" i="1"/>
  <c r="E1356" i="1"/>
  <c r="F1356" i="1"/>
  <c r="H1356" i="1"/>
  <c r="E1357" i="1"/>
  <c r="F1357" i="1"/>
  <c r="H1357" i="1"/>
  <c r="E1358" i="1"/>
  <c r="F1358" i="1"/>
  <c r="H1358" i="1"/>
  <c r="E1359" i="1"/>
  <c r="F1359" i="1"/>
  <c r="H1359" i="1"/>
  <c r="E1360" i="1"/>
  <c r="F1360" i="1"/>
  <c r="H1360" i="1"/>
  <c r="E1361" i="1"/>
  <c r="F1361" i="1"/>
  <c r="H1361" i="1"/>
  <c r="E1362" i="1"/>
  <c r="F1362" i="1"/>
  <c r="H1362" i="1"/>
  <c r="E1363" i="1"/>
  <c r="F1363" i="1"/>
  <c r="H1363" i="1"/>
  <c r="E1364" i="1"/>
  <c r="F1364" i="1"/>
  <c r="H1364" i="1"/>
  <c r="E1365" i="1"/>
  <c r="F1365" i="1"/>
  <c r="H1365" i="1"/>
  <c r="E1366" i="1"/>
  <c r="F1366" i="1"/>
  <c r="H1366" i="1"/>
  <c r="E1367" i="1"/>
  <c r="F1367" i="1"/>
  <c r="H1367" i="1"/>
  <c r="E1368" i="1"/>
  <c r="F1368" i="1"/>
  <c r="H1368" i="1"/>
  <c r="E1369" i="1"/>
  <c r="F1369" i="1"/>
  <c r="H1369" i="1"/>
  <c r="E1370" i="1"/>
  <c r="F1370" i="1"/>
  <c r="H1370" i="1"/>
  <c r="E1371" i="1"/>
  <c r="F1371" i="1"/>
  <c r="H1371" i="1"/>
  <c r="E1372" i="1"/>
  <c r="F1372" i="1"/>
  <c r="H1372" i="1"/>
  <c r="E1373" i="1"/>
  <c r="F1373" i="1"/>
  <c r="H1373" i="1"/>
  <c r="E1374" i="1"/>
  <c r="F1374" i="1"/>
  <c r="H1374" i="1"/>
  <c r="E1375" i="1"/>
  <c r="F1375" i="1"/>
  <c r="H1375" i="1"/>
  <c r="E1376" i="1"/>
  <c r="F1376" i="1"/>
  <c r="H1376" i="1"/>
  <c r="E1377" i="1"/>
  <c r="F1377" i="1"/>
  <c r="H1377" i="1"/>
  <c r="E1378" i="1"/>
  <c r="F1378" i="1"/>
  <c r="H1378" i="1"/>
  <c r="E1379" i="1"/>
  <c r="F1379" i="1"/>
  <c r="H1379" i="1"/>
  <c r="E1380" i="1"/>
  <c r="F1380" i="1"/>
  <c r="H1380" i="1"/>
  <c r="E1381" i="1"/>
  <c r="F1381" i="1"/>
  <c r="H1381" i="1"/>
  <c r="E1382" i="1"/>
  <c r="F1382" i="1"/>
  <c r="H1382" i="1"/>
  <c r="E1383" i="1"/>
  <c r="F1383" i="1"/>
  <c r="H1383" i="1"/>
  <c r="E1384" i="1"/>
  <c r="F1384" i="1"/>
  <c r="H1384" i="1"/>
  <c r="E1385" i="1"/>
  <c r="F1385" i="1"/>
  <c r="H1385" i="1"/>
  <c r="E1386" i="1"/>
  <c r="F1386" i="1"/>
  <c r="H1386" i="1"/>
  <c r="E1387" i="1"/>
  <c r="F1387" i="1"/>
  <c r="H1387" i="1"/>
  <c r="E1388" i="1"/>
  <c r="F1388" i="1"/>
  <c r="H1388" i="1"/>
  <c r="E1389" i="1"/>
  <c r="F1389" i="1"/>
  <c r="H1389" i="1"/>
  <c r="E1390" i="1"/>
  <c r="F1390" i="1"/>
  <c r="H1390" i="1"/>
  <c r="E1391" i="1"/>
  <c r="F1391" i="1"/>
  <c r="H1391" i="1"/>
  <c r="E1392" i="1"/>
  <c r="F1392" i="1"/>
  <c r="H1392" i="1"/>
  <c r="E1393" i="1"/>
  <c r="F1393" i="1"/>
  <c r="H1393" i="1"/>
  <c r="E1394" i="1"/>
  <c r="F1394" i="1"/>
  <c r="H1394" i="1"/>
  <c r="E1395" i="1"/>
  <c r="F1395" i="1"/>
  <c r="H1395" i="1"/>
  <c r="E1396" i="1"/>
  <c r="F1396" i="1"/>
  <c r="H1396" i="1"/>
  <c r="E1397" i="1"/>
  <c r="F1397" i="1"/>
  <c r="H1397" i="1"/>
  <c r="E1398" i="1"/>
  <c r="F1398" i="1"/>
  <c r="H1398" i="1"/>
  <c r="E1399" i="1"/>
  <c r="F1399" i="1"/>
  <c r="H1399" i="1"/>
  <c r="E1400" i="1"/>
  <c r="F1400" i="1"/>
  <c r="H1400" i="1"/>
  <c r="E1401" i="1"/>
  <c r="F1401" i="1"/>
  <c r="H1401" i="1"/>
  <c r="E1402" i="1"/>
  <c r="F1402" i="1"/>
  <c r="H1402" i="1"/>
  <c r="E1403" i="1"/>
  <c r="F1403" i="1"/>
  <c r="H1403" i="1"/>
  <c r="E1404" i="1"/>
  <c r="F1404" i="1"/>
  <c r="H1404" i="1"/>
  <c r="E1405" i="1"/>
  <c r="F1405" i="1"/>
  <c r="H1405" i="1"/>
  <c r="E1406" i="1"/>
  <c r="F1406" i="1"/>
  <c r="H1406" i="1"/>
  <c r="E1407" i="1"/>
  <c r="F1407" i="1"/>
  <c r="H1407" i="1"/>
  <c r="E1408" i="1"/>
  <c r="F1408" i="1"/>
  <c r="H1408" i="1"/>
  <c r="E1409" i="1"/>
  <c r="F1409" i="1"/>
  <c r="H1409" i="1"/>
  <c r="E1410" i="1"/>
  <c r="F1410" i="1"/>
  <c r="H1410" i="1"/>
  <c r="E1411" i="1"/>
  <c r="F1411" i="1"/>
  <c r="H1411" i="1"/>
  <c r="E1412" i="1"/>
  <c r="F1412" i="1"/>
  <c r="H1412" i="1"/>
  <c r="E1413" i="1"/>
  <c r="F1413" i="1"/>
  <c r="H1413" i="1"/>
  <c r="E1414" i="1"/>
  <c r="F1414" i="1"/>
  <c r="H1414" i="1"/>
  <c r="E1415" i="1"/>
  <c r="F1415" i="1"/>
  <c r="H1415" i="1"/>
  <c r="E1416" i="1"/>
  <c r="F1416" i="1"/>
  <c r="H1416" i="1"/>
  <c r="E1417" i="1"/>
  <c r="F1417" i="1"/>
  <c r="H1417" i="1"/>
  <c r="E1418" i="1"/>
  <c r="F1418" i="1"/>
  <c r="H1418" i="1"/>
  <c r="E1419" i="1"/>
  <c r="F1419" i="1"/>
  <c r="H1419" i="1"/>
  <c r="E1420" i="1"/>
  <c r="F1420" i="1"/>
  <c r="H1420" i="1"/>
  <c r="E1421" i="1"/>
  <c r="F1421" i="1"/>
  <c r="H1421" i="1"/>
  <c r="E1422" i="1"/>
  <c r="F1422" i="1"/>
  <c r="H1422" i="1"/>
  <c r="E1423" i="1"/>
  <c r="F1423" i="1"/>
  <c r="H1423" i="1"/>
  <c r="E1424" i="1"/>
  <c r="F1424" i="1"/>
  <c r="H1424" i="1"/>
  <c r="E1425" i="1"/>
  <c r="F1425" i="1"/>
  <c r="H1425" i="1"/>
  <c r="E1426" i="1"/>
  <c r="F1426" i="1"/>
  <c r="H1426" i="1"/>
  <c r="E1427" i="1"/>
  <c r="F1427" i="1"/>
  <c r="H1427" i="1"/>
  <c r="E1428" i="1"/>
  <c r="F1428" i="1"/>
  <c r="H1428" i="1"/>
  <c r="E1429" i="1"/>
  <c r="F1429" i="1"/>
  <c r="H1429" i="1"/>
  <c r="F1430" i="1"/>
  <c r="H1430" i="1"/>
  <c r="E1431" i="1"/>
  <c r="F1431" i="1"/>
  <c r="H1431" i="1"/>
  <c r="E1432" i="1"/>
  <c r="F1432" i="1"/>
  <c r="H1432" i="1"/>
  <c r="E1433" i="1"/>
  <c r="F1433" i="1"/>
  <c r="H1433" i="1"/>
  <c r="E1434" i="1"/>
  <c r="F1434" i="1"/>
  <c r="H1434" i="1"/>
  <c r="E1435" i="1"/>
  <c r="F1435" i="1"/>
  <c r="H1435" i="1"/>
  <c r="E1436" i="1"/>
  <c r="F1436" i="1"/>
  <c r="H1436" i="1"/>
  <c r="E1437" i="1"/>
  <c r="F1437" i="1"/>
  <c r="H1437" i="1"/>
  <c r="E1438" i="1"/>
  <c r="F1438" i="1"/>
  <c r="H1438" i="1"/>
  <c r="E1439" i="1"/>
  <c r="F1439" i="1"/>
  <c r="H1439" i="1"/>
  <c r="E1440" i="1"/>
  <c r="F1440" i="1"/>
  <c r="H1440" i="1"/>
  <c r="E1441" i="1"/>
  <c r="F1441" i="1"/>
  <c r="H1441" i="1"/>
  <c r="E1442" i="1"/>
  <c r="F1442" i="1"/>
  <c r="H1442" i="1"/>
  <c r="E1443" i="1"/>
  <c r="F1443" i="1"/>
  <c r="H1443" i="1"/>
  <c r="E1444" i="1"/>
  <c r="F1444" i="1"/>
  <c r="H1444" i="1"/>
  <c r="E1445" i="1"/>
  <c r="F1445" i="1"/>
  <c r="H1445" i="1"/>
  <c r="E1446" i="1"/>
  <c r="F1446" i="1"/>
  <c r="H1446" i="1"/>
  <c r="E1447" i="1"/>
  <c r="F1447" i="1"/>
  <c r="H1447" i="1"/>
  <c r="E1448" i="1"/>
  <c r="F1448" i="1"/>
  <c r="H1448" i="1"/>
  <c r="E1449" i="1"/>
  <c r="F1449" i="1"/>
  <c r="H1449" i="1"/>
  <c r="E1450" i="1"/>
  <c r="F1450" i="1"/>
  <c r="H1450" i="1"/>
  <c r="E1451" i="1"/>
  <c r="F1451" i="1"/>
  <c r="H1451" i="1"/>
  <c r="E1452" i="1"/>
  <c r="F1452" i="1"/>
  <c r="H1452" i="1"/>
  <c r="E1453" i="1"/>
  <c r="F1453" i="1"/>
  <c r="H1453" i="1"/>
  <c r="E1454" i="1"/>
  <c r="F1454" i="1"/>
  <c r="H1454" i="1"/>
  <c r="E1455" i="1"/>
  <c r="F1455" i="1"/>
  <c r="H1455" i="1"/>
  <c r="E1456" i="1"/>
  <c r="F1456" i="1"/>
  <c r="H1456" i="1"/>
  <c r="E1457" i="1"/>
  <c r="F1457" i="1"/>
  <c r="H1457" i="1"/>
  <c r="E1458" i="1"/>
  <c r="F1458" i="1"/>
  <c r="H1458" i="1"/>
  <c r="E1459" i="1"/>
  <c r="F1459" i="1"/>
  <c r="H1459" i="1"/>
  <c r="E1460" i="1"/>
  <c r="F1460" i="1"/>
  <c r="H1460" i="1"/>
  <c r="E1461" i="1"/>
  <c r="F1461" i="1"/>
  <c r="H1461" i="1"/>
  <c r="E1462" i="1"/>
  <c r="F1462" i="1"/>
  <c r="H1462" i="1"/>
  <c r="E1463" i="1"/>
  <c r="F1463" i="1"/>
  <c r="H1463" i="1"/>
  <c r="E1464" i="1"/>
  <c r="F1464" i="1"/>
  <c r="H1464" i="1"/>
  <c r="E1465" i="1"/>
  <c r="F1465" i="1"/>
  <c r="H1465" i="1"/>
  <c r="E1466" i="1"/>
  <c r="F1466" i="1"/>
  <c r="H1466" i="1"/>
  <c r="E1467" i="1"/>
  <c r="F1467" i="1"/>
  <c r="H1467" i="1"/>
  <c r="E1468" i="1"/>
  <c r="F1468" i="1"/>
  <c r="H1468" i="1"/>
  <c r="E1469" i="1"/>
  <c r="F1469" i="1"/>
  <c r="H1469" i="1"/>
  <c r="E1470" i="1"/>
  <c r="F1470" i="1"/>
  <c r="H1470" i="1"/>
  <c r="E1471" i="1"/>
  <c r="F1471" i="1"/>
  <c r="H1471" i="1"/>
  <c r="E1472" i="1"/>
  <c r="F1472" i="1"/>
  <c r="H1472" i="1"/>
  <c r="E1473" i="1"/>
  <c r="F1473" i="1"/>
  <c r="H1473" i="1"/>
  <c r="E1474" i="1"/>
  <c r="F1474" i="1"/>
  <c r="H1474" i="1"/>
  <c r="E1475" i="1"/>
  <c r="F1475" i="1"/>
  <c r="H1475" i="1"/>
  <c r="E1476" i="1"/>
  <c r="F1476" i="1"/>
  <c r="H1476" i="1"/>
  <c r="E1477" i="1"/>
  <c r="F1477" i="1"/>
  <c r="H1477" i="1"/>
  <c r="E1478" i="1"/>
  <c r="F1478" i="1"/>
  <c r="H1478" i="1"/>
  <c r="E1479" i="1"/>
  <c r="F1479" i="1"/>
  <c r="H1479" i="1"/>
  <c r="E1480" i="1"/>
  <c r="F1480" i="1"/>
  <c r="H1480" i="1"/>
  <c r="E1481" i="1"/>
  <c r="F1481" i="1"/>
  <c r="H1481" i="1"/>
  <c r="E1482" i="1"/>
  <c r="F1482" i="1"/>
  <c r="H1482" i="1"/>
  <c r="E1483" i="1"/>
  <c r="F1483" i="1"/>
  <c r="H1483" i="1"/>
  <c r="E1484" i="1"/>
  <c r="F1484" i="1"/>
  <c r="H1484" i="1"/>
  <c r="E1485" i="1"/>
  <c r="F1485" i="1"/>
  <c r="H1485" i="1"/>
  <c r="E1486" i="1"/>
  <c r="F1486" i="1"/>
  <c r="H1486" i="1"/>
  <c r="E1487" i="1"/>
  <c r="F1487" i="1"/>
  <c r="H1487" i="1"/>
  <c r="E1488" i="1"/>
  <c r="F1488" i="1"/>
  <c r="H1488" i="1"/>
  <c r="E1489" i="1"/>
  <c r="F1489" i="1"/>
  <c r="H1489" i="1"/>
  <c r="E1490" i="1"/>
  <c r="F1490" i="1"/>
  <c r="H1490" i="1"/>
  <c r="E1491" i="1"/>
  <c r="F1491" i="1"/>
  <c r="H1491" i="1"/>
  <c r="E1492" i="1"/>
  <c r="F1492" i="1"/>
  <c r="H1492" i="1"/>
  <c r="E1493" i="1"/>
  <c r="F1493" i="1"/>
  <c r="H1493" i="1"/>
  <c r="E1494" i="1"/>
  <c r="F1494" i="1"/>
  <c r="H1494" i="1"/>
  <c r="E1495" i="1"/>
  <c r="F1495" i="1"/>
  <c r="H1495" i="1"/>
  <c r="E1496" i="1"/>
  <c r="F1496" i="1"/>
  <c r="H1496" i="1"/>
  <c r="E1497" i="1"/>
  <c r="F1497" i="1"/>
  <c r="H1497" i="1"/>
  <c r="E1498" i="1"/>
  <c r="F1498" i="1"/>
  <c r="H1498" i="1"/>
  <c r="E1499" i="1"/>
  <c r="F1499" i="1"/>
  <c r="H1499" i="1"/>
  <c r="E1500" i="1"/>
  <c r="F1500" i="1"/>
  <c r="H1500" i="1"/>
  <c r="E1501" i="1"/>
  <c r="F1501" i="1"/>
  <c r="H1501" i="1"/>
  <c r="E1502" i="1"/>
  <c r="F1502" i="1"/>
  <c r="H1502" i="1"/>
  <c r="E1503" i="1"/>
  <c r="F1503" i="1"/>
  <c r="H1503" i="1"/>
  <c r="E1504" i="1"/>
  <c r="F1504" i="1"/>
  <c r="H1504" i="1"/>
  <c r="E1505" i="1"/>
  <c r="F1505" i="1"/>
  <c r="H1505" i="1"/>
  <c r="E1506" i="1"/>
  <c r="F1506" i="1"/>
  <c r="H1506" i="1"/>
  <c r="E1507" i="1"/>
  <c r="F1507" i="1"/>
  <c r="H1507" i="1"/>
  <c r="E1508" i="1"/>
  <c r="F1508" i="1"/>
  <c r="H1508" i="1"/>
  <c r="E1509" i="1"/>
  <c r="F1509" i="1"/>
  <c r="H1509" i="1"/>
  <c r="E1510" i="1"/>
  <c r="F1510" i="1"/>
  <c r="H1510" i="1"/>
  <c r="E1511" i="1"/>
  <c r="F1511" i="1"/>
  <c r="H1511" i="1"/>
  <c r="E1512" i="1"/>
  <c r="F1512" i="1"/>
  <c r="H1512" i="1"/>
  <c r="E1513" i="1"/>
  <c r="F1513" i="1"/>
  <c r="H1513" i="1"/>
  <c r="E1514" i="1"/>
  <c r="F1514" i="1"/>
  <c r="H1514" i="1"/>
  <c r="E1515" i="1"/>
  <c r="F1515" i="1"/>
  <c r="H1515" i="1"/>
  <c r="E1516" i="1"/>
  <c r="F1516" i="1"/>
  <c r="H1516" i="1"/>
  <c r="E1517" i="1"/>
  <c r="F1517" i="1"/>
  <c r="H1517" i="1"/>
  <c r="E1518" i="1"/>
  <c r="F1518" i="1"/>
  <c r="H1518" i="1"/>
  <c r="E1519" i="1"/>
  <c r="F1519" i="1"/>
  <c r="H1519" i="1"/>
  <c r="E1520" i="1"/>
  <c r="F1520" i="1"/>
  <c r="H1520" i="1"/>
  <c r="E1521" i="1"/>
  <c r="F1521" i="1"/>
  <c r="H1521" i="1"/>
  <c r="E1522" i="1"/>
  <c r="F1522" i="1"/>
  <c r="H1522" i="1"/>
  <c r="E1523" i="1"/>
  <c r="F1523" i="1"/>
  <c r="H1523" i="1"/>
  <c r="E1524" i="1"/>
  <c r="F1524" i="1"/>
  <c r="H1524" i="1"/>
  <c r="E1525" i="1"/>
  <c r="F1525" i="1"/>
  <c r="H1525" i="1"/>
  <c r="E1526" i="1"/>
  <c r="F1526" i="1"/>
  <c r="H1526" i="1"/>
  <c r="E1527" i="1"/>
  <c r="F1527" i="1"/>
  <c r="H1527" i="1"/>
  <c r="E1528" i="1"/>
  <c r="F1528" i="1"/>
  <c r="H1528" i="1"/>
  <c r="E1529" i="1"/>
  <c r="F1529" i="1"/>
  <c r="H1529" i="1"/>
  <c r="E1530" i="1"/>
  <c r="F1530" i="1"/>
  <c r="H1530" i="1"/>
  <c r="E1531" i="1"/>
  <c r="F1531" i="1"/>
  <c r="H1531" i="1"/>
  <c r="E1532" i="1"/>
  <c r="F1532" i="1"/>
  <c r="H1532" i="1"/>
  <c r="E1533" i="1"/>
  <c r="F1533" i="1"/>
  <c r="H1533" i="1"/>
  <c r="E1534" i="1"/>
  <c r="F1534" i="1"/>
  <c r="H1534" i="1"/>
  <c r="E1535" i="1"/>
  <c r="F1535" i="1"/>
  <c r="H1535" i="1"/>
  <c r="E1536" i="1"/>
  <c r="F1536" i="1"/>
  <c r="H1536" i="1"/>
  <c r="E1537" i="1"/>
  <c r="F1537" i="1"/>
  <c r="H1537" i="1"/>
  <c r="E1538" i="1"/>
  <c r="F1538" i="1"/>
  <c r="H1538" i="1"/>
  <c r="E1539" i="1"/>
  <c r="F1539" i="1"/>
  <c r="H1539" i="1"/>
  <c r="E1540" i="1"/>
  <c r="F1540" i="1"/>
  <c r="H1540" i="1"/>
  <c r="E1541" i="1"/>
  <c r="F1541" i="1"/>
  <c r="H1541" i="1"/>
  <c r="E1542" i="1"/>
  <c r="F1542" i="1"/>
  <c r="H1542" i="1"/>
  <c r="E1543" i="1"/>
  <c r="F1543" i="1"/>
  <c r="H1543" i="1"/>
  <c r="E1544" i="1"/>
  <c r="F1544" i="1"/>
  <c r="H1544" i="1"/>
  <c r="E1545" i="1"/>
  <c r="F1545" i="1"/>
  <c r="H1545" i="1"/>
  <c r="E1546" i="1"/>
  <c r="F1546" i="1"/>
  <c r="H1546" i="1"/>
  <c r="E1547" i="1"/>
  <c r="F1547" i="1"/>
  <c r="H1547" i="1"/>
  <c r="E1548" i="1"/>
  <c r="F1548" i="1"/>
  <c r="H1548" i="1"/>
  <c r="E1549" i="1"/>
  <c r="F1549" i="1"/>
  <c r="H1549" i="1"/>
  <c r="E1550" i="1"/>
  <c r="F1550" i="1"/>
  <c r="H1550" i="1"/>
  <c r="E1551" i="1"/>
  <c r="F1551" i="1"/>
  <c r="H1551" i="1"/>
  <c r="E1552" i="1"/>
  <c r="F1552" i="1"/>
  <c r="H1552" i="1"/>
  <c r="E1553" i="1"/>
  <c r="F1553" i="1"/>
  <c r="H1553" i="1"/>
  <c r="E1554" i="1"/>
  <c r="F1554" i="1"/>
  <c r="H1554" i="1"/>
  <c r="E1555" i="1"/>
  <c r="F1555" i="1"/>
  <c r="H1555" i="1"/>
  <c r="E1556" i="1"/>
  <c r="F1556" i="1"/>
  <c r="H1556" i="1"/>
  <c r="E1557" i="1"/>
  <c r="F1557" i="1"/>
  <c r="H1557" i="1"/>
  <c r="E1558" i="1"/>
  <c r="F1558" i="1"/>
  <c r="H1558" i="1"/>
  <c r="E1559" i="1"/>
  <c r="F1559" i="1"/>
  <c r="H1559" i="1"/>
  <c r="E1560" i="1"/>
  <c r="F1560" i="1"/>
  <c r="H1560" i="1"/>
  <c r="E1561" i="1"/>
  <c r="F1561" i="1"/>
  <c r="H1561" i="1"/>
  <c r="E1562" i="1"/>
  <c r="F1562" i="1"/>
  <c r="H1562" i="1"/>
  <c r="E1563" i="1"/>
  <c r="F1563" i="1"/>
  <c r="H1563" i="1"/>
  <c r="E1564" i="1"/>
  <c r="F1564" i="1"/>
  <c r="H1564" i="1"/>
  <c r="E1565" i="1"/>
  <c r="F1565" i="1"/>
  <c r="H1565" i="1"/>
  <c r="E1566" i="1"/>
  <c r="F1566" i="1"/>
  <c r="H1566" i="1"/>
  <c r="E1567" i="1"/>
  <c r="F1567" i="1"/>
  <c r="H1567" i="1"/>
  <c r="E1568" i="1"/>
  <c r="F1568" i="1"/>
  <c r="H1568" i="1"/>
  <c r="E1569" i="1"/>
  <c r="F1569" i="1"/>
  <c r="H1569" i="1"/>
  <c r="E1570" i="1"/>
  <c r="F1570" i="1"/>
  <c r="H1570" i="1"/>
  <c r="E1571" i="1"/>
  <c r="F1571" i="1"/>
  <c r="H1571" i="1"/>
  <c r="E1572" i="1"/>
  <c r="F1572" i="1"/>
  <c r="H1572" i="1"/>
  <c r="E1573" i="1"/>
  <c r="F1573" i="1"/>
  <c r="H1573" i="1"/>
  <c r="E1574" i="1"/>
  <c r="F1574" i="1"/>
  <c r="H1574" i="1"/>
  <c r="E1575" i="1"/>
  <c r="F1575" i="1"/>
  <c r="H1575" i="1"/>
  <c r="E1576" i="1"/>
  <c r="F1576" i="1"/>
  <c r="H1576" i="1"/>
  <c r="E1577" i="1"/>
  <c r="F1577" i="1"/>
  <c r="H1577" i="1"/>
  <c r="E1578" i="1"/>
  <c r="F1578" i="1"/>
  <c r="H1578" i="1"/>
  <c r="E1579" i="1"/>
  <c r="F1579" i="1"/>
  <c r="H1579" i="1"/>
  <c r="E1580" i="1"/>
  <c r="F1580" i="1"/>
  <c r="H1580" i="1"/>
  <c r="E1581" i="1"/>
  <c r="F1581" i="1"/>
  <c r="H1581" i="1"/>
  <c r="E1582" i="1"/>
  <c r="F1582" i="1"/>
  <c r="H1582" i="1"/>
  <c r="E1583" i="1"/>
  <c r="F1583" i="1"/>
  <c r="H1583" i="1"/>
  <c r="E1584" i="1"/>
  <c r="F1584" i="1"/>
  <c r="H1584" i="1"/>
  <c r="E1585" i="1"/>
  <c r="F1585" i="1"/>
  <c r="H1585" i="1"/>
  <c r="E1586" i="1"/>
  <c r="F1586" i="1"/>
  <c r="H1586" i="1"/>
  <c r="E1587" i="1"/>
  <c r="F1587" i="1"/>
  <c r="H1587" i="1"/>
  <c r="E1588" i="1"/>
  <c r="F1588" i="1"/>
  <c r="H1588" i="1"/>
  <c r="E1589" i="1"/>
  <c r="F1589" i="1"/>
  <c r="H1589" i="1"/>
  <c r="E1590" i="1"/>
  <c r="F1590" i="1"/>
  <c r="H1590" i="1"/>
  <c r="E1591" i="1"/>
  <c r="F1591" i="1"/>
  <c r="H1591" i="1"/>
  <c r="E1592" i="1"/>
  <c r="F1592" i="1"/>
  <c r="H1592" i="1"/>
  <c r="E1593" i="1"/>
  <c r="F1593" i="1"/>
  <c r="H1593" i="1"/>
  <c r="E1594" i="1"/>
  <c r="F1594" i="1"/>
  <c r="H1594" i="1"/>
  <c r="E1595" i="1"/>
  <c r="F1595" i="1"/>
  <c r="H1595" i="1"/>
  <c r="E1596" i="1"/>
  <c r="F1596" i="1"/>
  <c r="H1596" i="1"/>
  <c r="E1597" i="1"/>
  <c r="F1597" i="1"/>
  <c r="H1597" i="1"/>
  <c r="E1598" i="1"/>
  <c r="F1598" i="1"/>
  <c r="H1598" i="1"/>
  <c r="E1599" i="1"/>
  <c r="F1599" i="1"/>
  <c r="H1599" i="1"/>
  <c r="E1600" i="1"/>
  <c r="F1600" i="1"/>
  <c r="H1600" i="1"/>
  <c r="E1601" i="1"/>
  <c r="F1601" i="1"/>
  <c r="H1601" i="1"/>
  <c r="E1602" i="1"/>
  <c r="F1602" i="1"/>
  <c r="H1602" i="1"/>
  <c r="E1603" i="1"/>
  <c r="F1603" i="1"/>
  <c r="H1603" i="1"/>
  <c r="E1604" i="1"/>
  <c r="F1604" i="1"/>
  <c r="H1604" i="1"/>
  <c r="E1605" i="1"/>
  <c r="F1605" i="1"/>
  <c r="H1605" i="1"/>
  <c r="E1606" i="1"/>
  <c r="F1606" i="1"/>
  <c r="H1606" i="1"/>
  <c r="E1607" i="1"/>
  <c r="F1607" i="1"/>
  <c r="H1607" i="1"/>
  <c r="E1608" i="1"/>
  <c r="F1608" i="1"/>
  <c r="H1608" i="1"/>
  <c r="E1609" i="1"/>
  <c r="F1609" i="1"/>
  <c r="H1609" i="1"/>
  <c r="E1610" i="1"/>
  <c r="F1610" i="1"/>
  <c r="H1610" i="1"/>
  <c r="E1611" i="1"/>
  <c r="F1611" i="1"/>
  <c r="H1611" i="1"/>
  <c r="E1612" i="1"/>
  <c r="F1612" i="1"/>
  <c r="H1612" i="1"/>
  <c r="E1613" i="1"/>
  <c r="F1613" i="1"/>
  <c r="H1613" i="1"/>
  <c r="E1614" i="1"/>
  <c r="F1614" i="1"/>
  <c r="H1614" i="1"/>
  <c r="E1615" i="1"/>
  <c r="F1615" i="1"/>
  <c r="H1615" i="1"/>
  <c r="E1616" i="1"/>
  <c r="F1616" i="1"/>
  <c r="H1616" i="1"/>
  <c r="E1617" i="1"/>
  <c r="F1617" i="1"/>
  <c r="H1617" i="1"/>
  <c r="E1618" i="1"/>
  <c r="F1618" i="1"/>
  <c r="H1618" i="1"/>
  <c r="E1619" i="1"/>
  <c r="F1619" i="1"/>
  <c r="H1619" i="1"/>
  <c r="E1620" i="1"/>
  <c r="F1620" i="1"/>
  <c r="H1620" i="1"/>
  <c r="E1621" i="1"/>
  <c r="F1621" i="1"/>
  <c r="H1621" i="1"/>
  <c r="E1622" i="1"/>
  <c r="F1622" i="1"/>
  <c r="H1622" i="1"/>
  <c r="E1623" i="1"/>
  <c r="F1623" i="1"/>
  <c r="H1623" i="1"/>
  <c r="E1624" i="1"/>
  <c r="F1624" i="1"/>
  <c r="H1624" i="1"/>
  <c r="E1625" i="1"/>
  <c r="F1625" i="1"/>
  <c r="H1625" i="1"/>
  <c r="E1626" i="1"/>
  <c r="F1626" i="1"/>
  <c r="H1626" i="1"/>
  <c r="E1627" i="1"/>
  <c r="F1627" i="1"/>
  <c r="H1627" i="1"/>
  <c r="E1628" i="1"/>
  <c r="F1628" i="1"/>
  <c r="H1628" i="1"/>
  <c r="E1629" i="1"/>
  <c r="F1629" i="1"/>
  <c r="H1629" i="1"/>
  <c r="E1630" i="1"/>
  <c r="F1630" i="1"/>
  <c r="H1630" i="1"/>
  <c r="E1631" i="1"/>
  <c r="F1631" i="1"/>
  <c r="H1631" i="1"/>
  <c r="E1632" i="1"/>
  <c r="F1632" i="1"/>
  <c r="H1632" i="1"/>
  <c r="E1633" i="1"/>
  <c r="F1633" i="1"/>
  <c r="H1633" i="1"/>
  <c r="E1634" i="1"/>
  <c r="F1634" i="1"/>
  <c r="H1634" i="1"/>
  <c r="E1635" i="1"/>
  <c r="F1635" i="1"/>
  <c r="H1635" i="1"/>
  <c r="E1636" i="1"/>
  <c r="F1636" i="1"/>
  <c r="H1636" i="1"/>
  <c r="E1637" i="1"/>
  <c r="F1637" i="1"/>
  <c r="H1637" i="1"/>
  <c r="E1638" i="1"/>
  <c r="F1638" i="1"/>
  <c r="H1638" i="1"/>
  <c r="E1639" i="1"/>
  <c r="F1639" i="1"/>
  <c r="H1639" i="1"/>
  <c r="E1640" i="1"/>
  <c r="F1640" i="1"/>
  <c r="H1640" i="1"/>
  <c r="E1641" i="1"/>
  <c r="F1641" i="1"/>
  <c r="H1641" i="1"/>
  <c r="E1642" i="1"/>
  <c r="F1642" i="1"/>
  <c r="H1642" i="1"/>
  <c r="E1643" i="1"/>
  <c r="F1643" i="1"/>
  <c r="H1643" i="1"/>
  <c r="E1644" i="1"/>
  <c r="F1644" i="1"/>
  <c r="H1644" i="1"/>
  <c r="E1645" i="1"/>
  <c r="F1645" i="1"/>
  <c r="H1645" i="1"/>
  <c r="E1646" i="1"/>
  <c r="F1646" i="1"/>
  <c r="H1646" i="1"/>
  <c r="E1647" i="1"/>
  <c r="F1647" i="1"/>
  <c r="H1647" i="1"/>
  <c r="E1648" i="1"/>
  <c r="F1648" i="1"/>
  <c r="H1648" i="1"/>
  <c r="E1649" i="1"/>
  <c r="F1649" i="1"/>
  <c r="H1649" i="1"/>
  <c r="E1650" i="1"/>
  <c r="F1650" i="1"/>
  <c r="H1650" i="1"/>
  <c r="E1651" i="1"/>
  <c r="F1651" i="1"/>
  <c r="H1651" i="1"/>
  <c r="E1652" i="1"/>
  <c r="F1652" i="1"/>
  <c r="H1652" i="1"/>
  <c r="E1653" i="1"/>
  <c r="F1653" i="1"/>
  <c r="H1653" i="1"/>
  <c r="E1654" i="1"/>
  <c r="F1654" i="1"/>
  <c r="H1654" i="1"/>
  <c r="E1655" i="1"/>
  <c r="F1655" i="1"/>
  <c r="H1655" i="1"/>
  <c r="E1656" i="1"/>
  <c r="F1656" i="1"/>
  <c r="H1656" i="1"/>
  <c r="E1657" i="1"/>
  <c r="F1657" i="1"/>
  <c r="H1657" i="1"/>
  <c r="E1658" i="1"/>
  <c r="F1658" i="1"/>
  <c r="H1658" i="1"/>
  <c r="E1659" i="1"/>
  <c r="F1659" i="1"/>
  <c r="H1659" i="1"/>
  <c r="E1660" i="1"/>
  <c r="F1660" i="1"/>
  <c r="H1660" i="1"/>
  <c r="E1661" i="1"/>
  <c r="F1661" i="1"/>
  <c r="H1661" i="1"/>
  <c r="E1662" i="1"/>
  <c r="F1662" i="1"/>
  <c r="H1662" i="1"/>
  <c r="E1663" i="1"/>
  <c r="F1663" i="1"/>
  <c r="H1663" i="1"/>
  <c r="E1664" i="1"/>
  <c r="F1664" i="1"/>
  <c r="H1664" i="1"/>
  <c r="E1665" i="1"/>
  <c r="F1665" i="1"/>
  <c r="H1665" i="1"/>
  <c r="E1666" i="1"/>
  <c r="F1666" i="1"/>
  <c r="H1666" i="1"/>
  <c r="E1667" i="1"/>
  <c r="F1667" i="1"/>
  <c r="H1667" i="1"/>
  <c r="E1668" i="1"/>
  <c r="F1668" i="1"/>
  <c r="H1668" i="1"/>
  <c r="E1669" i="1"/>
  <c r="F1669" i="1"/>
  <c r="H1669" i="1"/>
  <c r="E1670" i="1"/>
  <c r="F1670" i="1"/>
  <c r="H1670" i="1"/>
  <c r="E1671" i="1"/>
  <c r="F1671" i="1"/>
  <c r="H1671" i="1"/>
  <c r="E1672" i="1"/>
  <c r="F1672" i="1"/>
  <c r="H1672" i="1"/>
  <c r="E1673" i="1"/>
  <c r="F1673" i="1"/>
  <c r="H1673" i="1"/>
  <c r="E1674" i="1"/>
  <c r="F1674" i="1"/>
  <c r="H1674" i="1"/>
  <c r="E1675" i="1"/>
  <c r="F1675" i="1"/>
  <c r="H1675" i="1"/>
  <c r="E1676" i="1"/>
  <c r="F1676" i="1"/>
  <c r="H1676" i="1"/>
  <c r="E1677" i="1"/>
  <c r="F1677" i="1"/>
  <c r="H1677" i="1"/>
  <c r="E1678" i="1"/>
  <c r="F1678" i="1"/>
  <c r="H1678" i="1"/>
  <c r="E1679" i="1"/>
  <c r="F1679" i="1"/>
  <c r="H1679" i="1"/>
  <c r="E1680" i="1"/>
  <c r="F1680" i="1"/>
  <c r="H1680" i="1"/>
  <c r="E1681" i="1"/>
  <c r="F1681" i="1"/>
  <c r="H1681" i="1"/>
  <c r="E1682" i="1"/>
  <c r="F1682" i="1"/>
  <c r="H1682" i="1"/>
  <c r="E1683" i="1"/>
  <c r="F1683" i="1"/>
  <c r="H1683" i="1"/>
  <c r="E1684" i="1"/>
  <c r="F1684" i="1"/>
  <c r="H1684" i="1"/>
  <c r="E1685" i="1"/>
  <c r="F1685" i="1"/>
  <c r="H1685" i="1"/>
  <c r="E1686" i="1"/>
  <c r="F1686" i="1"/>
  <c r="H1686" i="1"/>
  <c r="E1687" i="1"/>
  <c r="F1687" i="1"/>
  <c r="H1687" i="1"/>
  <c r="E1688" i="1"/>
  <c r="F1688" i="1"/>
  <c r="H1688" i="1"/>
  <c r="E1689" i="1"/>
  <c r="F1689" i="1"/>
  <c r="H1689" i="1"/>
  <c r="E1690" i="1"/>
  <c r="F1690" i="1"/>
  <c r="H1690" i="1"/>
  <c r="E1691" i="1"/>
  <c r="F1691" i="1"/>
  <c r="H1691" i="1"/>
  <c r="E1692" i="1"/>
  <c r="F1692" i="1"/>
  <c r="H1692" i="1"/>
  <c r="E1693" i="1"/>
  <c r="F1693" i="1"/>
  <c r="H1693" i="1"/>
  <c r="E1694" i="1"/>
  <c r="F1694" i="1"/>
  <c r="H1694" i="1"/>
  <c r="E1695" i="1"/>
  <c r="F1695" i="1"/>
  <c r="H1695" i="1"/>
  <c r="E1696" i="1"/>
  <c r="F1696" i="1"/>
  <c r="H1696" i="1"/>
  <c r="E1697" i="1"/>
  <c r="F1697" i="1"/>
  <c r="H1697" i="1"/>
  <c r="E1698" i="1"/>
  <c r="F1698" i="1"/>
  <c r="H1698" i="1"/>
  <c r="E1699" i="1"/>
  <c r="F1699" i="1"/>
  <c r="H1699" i="1"/>
  <c r="E1700" i="1"/>
  <c r="F1700" i="1"/>
  <c r="H1700" i="1"/>
  <c r="E1701" i="1"/>
  <c r="F1701" i="1"/>
  <c r="H1701" i="1"/>
  <c r="E1702" i="1"/>
  <c r="F1702" i="1"/>
  <c r="H1702" i="1"/>
  <c r="E1703" i="1"/>
  <c r="F1703" i="1"/>
  <c r="H1703" i="1"/>
  <c r="E1704" i="1"/>
  <c r="F1704" i="1"/>
  <c r="H1704" i="1"/>
  <c r="E1705" i="1"/>
  <c r="F1705" i="1"/>
  <c r="H1705" i="1"/>
  <c r="E1706" i="1"/>
  <c r="F1706" i="1"/>
  <c r="H1706" i="1"/>
  <c r="E1707" i="1"/>
  <c r="F1707" i="1"/>
  <c r="H1707" i="1"/>
  <c r="E1708" i="1"/>
  <c r="F1708" i="1"/>
  <c r="H1708" i="1"/>
  <c r="E1709" i="1"/>
  <c r="F1709" i="1"/>
  <c r="H1709" i="1"/>
  <c r="E1710" i="1"/>
  <c r="F1710" i="1"/>
  <c r="H1710" i="1"/>
  <c r="E1711" i="1"/>
  <c r="F1711" i="1"/>
  <c r="H1711" i="1"/>
  <c r="E1712" i="1"/>
  <c r="F1712" i="1"/>
  <c r="H1712" i="1"/>
  <c r="E1713" i="1"/>
  <c r="F1713" i="1"/>
  <c r="H1713" i="1"/>
  <c r="E1714" i="1"/>
  <c r="F1714" i="1"/>
  <c r="H1714" i="1"/>
  <c r="E1715" i="1"/>
  <c r="F1715" i="1"/>
  <c r="H1715" i="1"/>
  <c r="E1716" i="1"/>
  <c r="F1716" i="1"/>
  <c r="H1716" i="1"/>
  <c r="E1717" i="1"/>
  <c r="F1717" i="1"/>
  <c r="H1717" i="1"/>
  <c r="E1718" i="1"/>
  <c r="F1718" i="1"/>
  <c r="H1718" i="1"/>
  <c r="E1719" i="1"/>
  <c r="F1719" i="1"/>
  <c r="H1719" i="1"/>
  <c r="E1720" i="1"/>
  <c r="F1720" i="1"/>
  <c r="H1720" i="1"/>
  <c r="E1721" i="1"/>
  <c r="F1721" i="1"/>
  <c r="H1721" i="1"/>
  <c r="E1722" i="1"/>
  <c r="F1722" i="1"/>
  <c r="H1722" i="1"/>
  <c r="E1723" i="1"/>
  <c r="F1723" i="1"/>
  <c r="H1723" i="1"/>
  <c r="E1724" i="1"/>
  <c r="F1724" i="1"/>
  <c r="H1724" i="1"/>
  <c r="E1725" i="1"/>
  <c r="F1725" i="1"/>
  <c r="H1725" i="1"/>
  <c r="E1726" i="1"/>
  <c r="F1726" i="1"/>
  <c r="H1726" i="1"/>
  <c r="E1727" i="1"/>
  <c r="F1727" i="1"/>
  <c r="H1727" i="1"/>
  <c r="E1728" i="1"/>
  <c r="F1728" i="1"/>
  <c r="H1728" i="1"/>
  <c r="E1729" i="1"/>
  <c r="F1729" i="1"/>
  <c r="H1729" i="1"/>
  <c r="E1730" i="1"/>
  <c r="F1730" i="1"/>
  <c r="H1730" i="1"/>
  <c r="E1731" i="1"/>
  <c r="F1731" i="1"/>
  <c r="H1731" i="1"/>
  <c r="E1732" i="1"/>
  <c r="F1732" i="1"/>
  <c r="H1732" i="1"/>
  <c r="E1733" i="1"/>
  <c r="F1733" i="1"/>
  <c r="H1733" i="1"/>
  <c r="E1734" i="1"/>
  <c r="F1734" i="1"/>
  <c r="H1734" i="1"/>
  <c r="E1735" i="1"/>
  <c r="F1735" i="1"/>
  <c r="H1735" i="1"/>
  <c r="E1736" i="1"/>
  <c r="F1736" i="1"/>
  <c r="H1736" i="1"/>
  <c r="E1737" i="1"/>
  <c r="F1737" i="1"/>
  <c r="H1737" i="1"/>
  <c r="E1738" i="1"/>
  <c r="F1738" i="1"/>
  <c r="H1738" i="1"/>
  <c r="E1739" i="1"/>
  <c r="F1739" i="1"/>
  <c r="H1739" i="1"/>
  <c r="E1740" i="1"/>
  <c r="F1740" i="1"/>
  <c r="H1740" i="1"/>
  <c r="E1741" i="1"/>
  <c r="F1741" i="1"/>
  <c r="H1741" i="1"/>
  <c r="E1742" i="1"/>
  <c r="F1742" i="1"/>
  <c r="H1742" i="1"/>
  <c r="E1743" i="1"/>
  <c r="F1743" i="1"/>
  <c r="H1743" i="1"/>
  <c r="E1744" i="1"/>
  <c r="F1744" i="1"/>
  <c r="H1744" i="1"/>
  <c r="E1745" i="1"/>
  <c r="F1745" i="1"/>
  <c r="H1745" i="1"/>
  <c r="E1746" i="1"/>
  <c r="F1746" i="1"/>
  <c r="H1746" i="1"/>
  <c r="E1747" i="1"/>
  <c r="F1747" i="1"/>
  <c r="H1747" i="1"/>
  <c r="E1748" i="1"/>
  <c r="F1748" i="1"/>
  <c r="H1748" i="1"/>
  <c r="E1749" i="1"/>
  <c r="F1749" i="1"/>
  <c r="H1749" i="1"/>
  <c r="E1750" i="1"/>
  <c r="F1750" i="1"/>
  <c r="H1750" i="1"/>
  <c r="E1751" i="1"/>
  <c r="F1751" i="1"/>
  <c r="H1751" i="1"/>
  <c r="E1752" i="1"/>
  <c r="F1752" i="1"/>
  <c r="H1752" i="1"/>
  <c r="E1753" i="1"/>
  <c r="F1753" i="1"/>
  <c r="H1753" i="1"/>
  <c r="E1754" i="1"/>
  <c r="F1754" i="1"/>
  <c r="H1754" i="1"/>
  <c r="E1755" i="1"/>
  <c r="F1755" i="1"/>
  <c r="H1755" i="1"/>
  <c r="E1756" i="1"/>
  <c r="F1756" i="1"/>
  <c r="H1756" i="1"/>
  <c r="E1757" i="1"/>
  <c r="F1757" i="1"/>
  <c r="H1757" i="1"/>
  <c r="E1758" i="1"/>
  <c r="F1758" i="1"/>
  <c r="H1758" i="1"/>
  <c r="E1759" i="1"/>
  <c r="F1759" i="1"/>
  <c r="H1759" i="1"/>
  <c r="E1760" i="1"/>
  <c r="F1760" i="1"/>
  <c r="H1760" i="1"/>
  <c r="E1761" i="1"/>
  <c r="F1761" i="1"/>
  <c r="H1761" i="1"/>
  <c r="E1762" i="1"/>
  <c r="F1762" i="1"/>
  <c r="H1762" i="1"/>
  <c r="E1763" i="1"/>
  <c r="F1763" i="1"/>
  <c r="H1763" i="1"/>
  <c r="E1764" i="1"/>
  <c r="F1764" i="1"/>
  <c r="H1764" i="1"/>
  <c r="E1765" i="1"/>
  <c r="F1765" i="1"/>
  <c r="H1765" i="1"/>
  <c r="E1766" i="1"/>
  <c r="F1766" i="1"/>
  <c r="H1766" i="1"/>
  <c r="E1767" i="1"/>
  <c r="F1767" i="1"/>
  <c r="H1767" i="1"/>
  <c r="E1768" i="1"/>
  <c r="F1768" i="1"/>
  <c r="H1768" i="1"/>
  <c r="E1769" i="1"/>
  <c r="F1769" i="1"/>
  <c r="H1769" i="1"/>
  <c r="E1770" i="1"/>
  <c r="F1770" i="1"/>
  <c r="H1770" i="1"/>
  <c r="E1771" i="1"/>
  <c r="F1771" i="1"/>
  <c r="H1771" i="1"/>
  <c r="E1772" i="1"/>
  <c r="F1772" i="1"/>
  <c r="H1772" i="1"/>
  <c r="E1773" i="1"/>
  <c r="F1773" i="1"/>
  <c r="H1773" i="1"/>
  <c r="E1774" i="1"/>
  <c r="F1774" i="1"/>
  <c r="H1774" i="1"/>
  <c r="E1775" i="1"/>
  <c r="F1775" i="1"/>
  <c r="H1775" i="1"/>
  <c r="E1776" i="1"/>
  <c r="F1776" i="1"/>
  <c r="H1776" i="1"/>
  <c r="E1777" i="1"/>
  <c r="F1777" i="1"/>
  <c r="H1777" i="1"/>
  <c r="E1778" i="1"/>
  <c r="F1778" i="1"/>
  <c r="H1778" i="1"/>
  <c r="E1779" i="1"/>
  <c r="F1779" i="1"/>
  <c r="H1779" i="1"/>
  <c r="E1780" i="1"/>
  <c r="F1780" i="1"/>
  <c r="H1780" i="1"/>
  <c r="E1781" i="1"/>
  <c r="F1781" i="1"/>
  <c r="H1781" i="1"/>
  <c r="E1782" i="1"/>
  <c r="F1782" i="1"/>
  <c r="H1782" i="1"/>
  <c r="E1783" i="1"/>
  <c r="F1783" i="1"/>
  <c r="H1783" i="1"/>
  <c r="E1784" i="1"/>
  <c r="F1784" i="1"/>
  <c r="H1784" i="1"/>
  <c r="E1785" i="1"/>
  <c r="F1785" i="1"/>
  <c r="H1785" i="1"/>
  <c r="E1786" i="1"/>
  <c r="F1786" i="1"/>
  <c r="H1786" i="1"/>
  <c r="E1787" i="1"/>
  <c r="F1787" i="1"/>
  <c r="H1787" i="1"/>
  <c r="E1788" i="1"/>
  <c r="F1788" i="1"/>
  <c r="H1788" i="1"/>
  <c r="E1789" i="1"/>
  <c r="F1789" i="1"/>
  <c r="H1789" i="1"/>
  <c r="E1790" i="1"/>
  <c r="F1790" i="1"/>
  <c r="H1790" i="1"/>
  <c r="E1791" i="1"/>
  <c r="F1791" i="1"/>
  <c r="H1791" i="1"/>
  <c r="E1792" i="1"/>
  <c r="F1792" i="1"/>
  <c r="H1792" i="1"/>
  <c r="E1793" i="1"/>
  <c r="F1793" i="1"/>
  <c r="H1793" i="1"/>
  <c r="E1794" i="1"/>
  <c r="F1794" i="1"/>
  <c r="H1794" i="1"/>
  <c r="E1795" i="1"/>
  <c r="F1795" i="1"/>
  <c r="H1795" i="1"/>
  <c r="E1796" i="1"/>
  <c r="F1796" i="1"/>
  <c r="H1796" i="1"/>
  <c r="E1797" i="1"/>
  <c r="F1797" i="1"/>
  <c r="H1797" i="1"/>
  <c r="E1798" i="1"/>
  <c r="F1798" i="1"/>
  <c r="H1798" i="1"/>
  <c r="E1799" i="1"/>
  <c r="F1799" i="1"/>
  <c r="H1799" i="1"/>
  <c r="E1800" i="1"/>
  <c r="F1800" i="1"/>
  <c r="H1800" i="1"/>
  <c r="E1801" i="1"/>
  <c r="F1801" i="1"/>
  <c r="H1801" i="1"/>
  <c r="E1802" i="1"/>
  <c r="F1802" i="1"/>
  <c r="H1802" i="1"/>
  <c r="E1803" i="1"/>
  <c r="F1803" i="1"/>
  <c r="H1803" i="1"/>
  <c r="E1804" i="1"/>
  <c r="F1804" i="1"/>
  <c r="H1804" i="1"/>
  <c r="E1805" i="1"/>
  <c r="F1805" i="1"/>
  <c r="H1805" i="1"/>
  <c r="E1806" i="1"/>
  <c r="F1806" i="1"/>
  <c r="H1806" i="1"/>
  <c r="E1807" i="1"/>
  <c r="F1807" i="1"/>
  <c r="H1807" i="1"/>
  <c r="E1808" i="1"/>
  <c r="F1808" i="1"/>
  <c r="H1808" i="1"/>
  <c r="E1809" i="1"/>
  <c r="F1809" i="1"/>
  <c r="H1809" i="1"/>
  <c r="E1810" i="1"/>
  <c r="F1810" i="1"/>
  <c r="H1810" i="1"/>
  <c r="E1811" i="1"/>
  <c r="F1811" i="1"/>
  <c r="H1811" i="1"/>
  <c r="E1812" i="1"/>
  <c r="F1812" i="1"/>
  <c r="H1812" i="1"/>
  <c r="E1813" i="1"/>
  <c r="F1813" i="1"/>
  <c r="H1813" i="1"/>
  <c r="E1814" i="1"/>
  <c r="F1814" i="1"/>
  <c r="H1814" i="1"/>
  <c r="E1815" i="1"/>
  <c r="F1815" i="1"/>
  <c r="H1815" i="1"/>
  <c r="E1816" i="1"/>
  <c r="F1816" i="1"/>
  <c r="H1816" i="1"/>
  <c r="E1817" i="1"/>
  <c r="F1817" i="1"/>
  <c r="H1817" i="1"/>
  <c r="E1818" i="1"/>
  <c r="F1818" i="1"/>
  <c r="H1818" i="1"/>
  <c r="E1819" i="1"/>
  <c r="F1819" i="1"/>
  <c r="H1819" i="1"/>
  <c r="E1820" i="1"/>
  <c r="F1820" i="1"/>
  <c r="H1820" i="1"/>
  <c r="E1821" i="1"/>
  <c r="F1821" i="1"/>
  <c r="H1821" i="1"/>
  <c r="E1822" i="1"/>
  <c r="F1822" i="1"/>
  <c r="H1822" i="1"/>
  <c r="E1823" i="1"/>
  <c r="F1823" i="1"/>
  <c r="H1823" i="1"/>
  <c r="E1824" i="1"/>
  <c r="F1824" i="1"/>
  <c r="H1824" i="1"/>
  <c r="E1825" i="1"/>
  <c r="F1825" i="1"/>
  <c r="H1825" i="1"/>
  <c r="E1826" i="1"/>
  <c r="F1826" i="1"/>
  <c r="H1826" i="1"/>
  <c r="E1827" i="1"/>
  <c r="F1827" i="1"/>
  <c r="H1827" i="1"/>
  <c r="E1828" i="1"/>
  <c r="F1828" i="1"/>
  <c r="H1828" i="1"/>
  <c r="E1829" i="1"/>
  <c r="F1829" i="1"/>
  <c r="H1829" i="1"/>
  <c r="E1830" i="1"/>
  <c r="F1830" i="1"/>
  <c r="H1830" i="1"/>
  <c r="E1831" i="1"/>
  <c r="F1831" i="1"/>
  <c r="H1831" i="1"/>
  <c r="E1832" i="1"/>
  <c r="F1832" i="1"/>
  <c r="H1832" i="1"/>
  <c r="E1833" i="1"/>
  <c r="F1833" i="1"/>
  <c r="H1833" i="1"/>
  <c r="E1834" i="1"/>
  <c r="F1834" i="1"/>
  <c r="H1834" i="1"/>
  <c r="E1835" i="1"/>
  <c r="F1835" i="1"/>
  <c r="H1835" i="1"/>
  <c r="E1836" i="1"/>
  <c r="F1836" i="1"/>
  <c r="H1836" i="1"/>
  <c r="E1837" i="1"/>
  <c r="F1837" i="1"/>
  <c r="H1837" i="1"/>
  <c r="E1838" i="1"/>
  <c r="F1838" i="1"/>
  <c r="H1838" i="1"/>
  <c r="E1839" i="1"/>
  <c r="F1839" i="1"/>
  <c r="H1839" i="1"/>
  <c r="E1840" i="1"/>
  <c r="F1840" i="1"/>
  <c r="H1840" i="1"/>
  <c r="E1841" i="1"/>
  <c r="F1841" i="1"/>
  <c r="H1841" i="1"/>
  <c r="E1842" i="1"/>
  <c r="F1842" i="1"/>
  <c r="H1842" i="1"/>
  <c r="E1843" i="1"/>
  <c r="F1843" i="1"/>
  <c r="H1843" i="1"/>
  <c r="E1844" i="1"/>
  <c r="F1844" i="1"/>
  <c r="H1844" i="1"/>
  <c r="E1845" i="1"/>
  <c r="F1845" i="1"/>
  <c r="H1845" i="1"/>
  <c r="E1846" i="1"/>
  <c r="F1846" i="1"/>
  <c r="H1846" i="1"/>
  <c r="E1847" i="1"/>
  <c r="F1847" i="1"/>
  <c r="H1847" i="1"/>
  <c r="E1848" i="1"/>
  <c r="F1848" i="1"/>
  <c r="H1848" i="1"/>
  <c r="E1849" i="1"/>
  <c r="F1849" i="1"/>
  <c r="H1849" i="1"/>
  <c r="E1850" i="1"/>
  <c r="F1850" i="1"/>
  <c r="H1850" i="1"/>
  <c r="E1851" i="1"/>
  <c r="F1851" i="1"/>
  <c r="H1851" i="1"/>
  <c r="E1852" i="1"/>
  <c r="F1852" i="1"/>
  <c r="H1852" i="1"/>
  <c r="E1853" i="1"/>
  <c r="F1853" i="1"/>
  <c r="H1853" i="1"/>
  <c r="E1854" i="1"/>
  <c r="F1854" i="1"/>
  <c r="H1854" i="1"/>
  <c r="E1855" i="1"/>
  <c r="F1855" i="1"/>
  <c r="H1855" i="1"/>
  <c r="E1856" i="1"/>
  <c r="F1856" i="1"/>
  <c r="H1856" i="1"/>
  <c r="E1857" i="1"/>
  <c r="F1857" i="1"/>
  <c r="H1857" i="1"/>
  <c r="E1858" i="1"/>
  <c r="F1858" i="1"/>
  <c r="H1858" i="1"/>
  <c r="E1859" i="1"/>
  <c r="F1859" i="1"/>
  <c r="H1859" i="1"/>
  <c r="E1860" i="1"/>
  <c r="F1860" i="1"/>
  <c r="H1860" i="1"/>
  <c r="E1861" i="1"/>
  <c r="F1861" i="1"/>
  <c r="H1861" i="1"/>
  <c r="E1862" i="1"/>
  <c r="F1862" i="1"/>
  <c r="H1862" i="1"/>
  <c r="E1863" i="1"/>
  <c r="F1863" i="1"/>
  <c r="H1863" i="1"/>
  <c r="E1864" i="1"/>
  <c r="F1864" i="1"/>
  <c r="H1864" i="1"/>
  <c r="E1865" i="1"/>
  <c r="F1865" i="1"/>
  <c r="H1865" i="1"/>
  <c r="E1866" i="1"/>
  <c r="F1866" i="1"/>
  <c r="H1866" i="1"/>
  <c r="E1867" i="1"/>
  <c r="F1867" i="1"/>
  <c r="H1867" i="1"/>
  <c r="E1868" i="1"/>
  <c r="F1868" i="1"/>
  <c r="H1868" i="1"/>
  <c r="E1869" i="1"/>
  <c r="F1869" i="1"/>
  <c r="H1869" i="1"/>
  <c r="E1870" i="1"/>
  <c r="F1870" i="1"/>
  <c r="H1870" i="1"/>
  <c r="E1871" i="1"/>
  <c r="F1871" i="1"/>
  <c r="H1871" i="1"/>
  <c r="E1872" i="1"/>
  <c r="F1872" i="1"/>
  <c r="H1872" i="1"/>
  <c r="E1873" i="1"/>
  <c r="F1873" i="1"/>
  <c r="H1873" i="1"/>
  <c r="E1874" i="1"/>
  <c r="F1874" i="1"/>
  <c r="H1874" i="1"/>
  <c r="E1875" i="1"/>
  <c r="F1875" i="1"/>
  <c r="H1875" i="1"/>
  <c r="E1876" i="1"/>
  <c r="F1876" i="1"/>
  <c r="H1876" i="1"/>
  <c r="E1877" i="1"/>
  <c r="F1877" i="1"/>
  <c r="H1877" i="1"/>
  <c r="E1878" i="1"/>
  <c r="F1878" i="1"/>
  <c r="H1878" i="1"/>
  <c r="E1879" i="1"/>
  <c r="F1879" i="1"/>
  <c r="H1879" i="1"/>
  <c r="E1880" i="1"/>
  <c r="F1880" i="1"/>
  <c r="H1880" i="1"/>
  <c r="E1881" i="1"/>
  <c r="F1881" i="1"/>
  <c r="H1881" i="1"/>
  <c r="E1882" i="1"/>
  <c r="F1882" i="1"/>
  <c r="H1882" i="1"/>
  <c r="E1883" i="1"/>
  <c r="F1883" i="1"/>
  <c r="H1883" i="1"/>
  <c r="E1884" i="1"/>
  <c r="F1884" i="1"/>
  <c r="H1884" i="1"/>
  <c r="E1885" i="1"/>
  <c r="F1885" i="1"/>
  <c r="H1885" i="1"/>
  <c r="E1886" i="1"/>
  <c r="F1886" i="1"/>
  <c r="H1886" i="1"/>
  <c r="E1887" i="1"/>
  <c r="F1887" i="1"/>
  <c r="H1887" i="1"/>
  <c r="E1888" i="1"/>
  <c r="F1888" i="1"/>
  <c r="H1888" i="1"/>
  <c r="E1889" i="1"/>
  <c r="F1889" i="1"/>
  <c r="H1889" i="1"/>
  <c r="E1890" i="1"/>
  <c r="F1890" i="1"/>
  <c r="H1890" i="1"/>
  <c r="E1891" i="1"/>
  <c r="F1891" i="1"/>
  <c r="H1891" i="1"/>
  <c r="E1892" i="1"/>
  <c r="F1892" i="1"/>
  <c r="H1892" i="1"/>
  <c r="E1893" i="1"/>
  <c r="F1893" i="1"/>
  <c r="H1893" i="1"/>
  <c r="E1894" i="1"/>
  <c r="F1894" i="1"/>
  <c r="H1894" i="1"/>
  <c r="E1895" i="1"/>
  <c r="F1895" i="1"/>
  <c r="H1895" i="1"/>
  <c r="E1896" i="1"/>
  <c r="F1896" i="1"/>
  <c r="H1896" i="1"/>
  <c r="E1897" i="1"/>
  <c r="F1897" i="1"/>
  <c r="H1897" i="1"/>
  <c r="E1898" i="1"/>
  <c r="F1898" i="1"/>
  <c r="H1898" i="1"/>
  <c r="E1899" i="1"/>
  <c r="F1899" i="1"/>
  <c r="H1899" i="1"/>
  <c r="E1900" i="1"/>
  <c r="F1900" i="1"/>
  <c r="H1900" i="1"/>
  <c r="E1901" i="1"/>
  <c r="F1901" i="1"/>
  <c r="H1901" i="1"/>
  <c r="E1902" i="1"/>
  <c r="F1902" i="1"/>
  <c r="H1902" i="1"/>
  <c r="E1903" i="1"/>
  <c r="F1903" i="1"/>
  <c r="H1903" i="1"/>
  <c r="E1904" i="1"/>
  <c r="F1904" i="1"/>
  <c r="H1904" i="1"/>
  <c r="E1905" i="1"/>
  <c r="F1905" i="1"/>
  <c r="H1905" i="1"/>
  <c r="E1906" i="1"/>
  <c r="F1906" i="1"/>
  <c r="H1906" i="1"/>
  <c r="E1907" i="1"/>
  <c r="F1907" i="1"/>
  <c r="H1907" i="1"/>
  <c r="E1908" i="1"/>
  <c r="F1908" i="1"/>
  <c r="H1908" i="1"/>
  <c r="E1909" i="1"/>
  <c r="F1909" i="1"/>
  <c r="H1909" i="1"/>
  <c r="E1910" i="1"/>
  <c r="F1910" i="1"/>
  <c r="H1910" i="1"/>
  <c r="E1911" i="1"/>
  <c r="F1911" i="1"/>
  <c r="H1911" i="1"/>
  <c r="E1912" i="1"/>
  <c r="F1912" i="1"/>
  <c r="H1912" i="1"/>
  <c r="E1913" i="1"/>
  <c r="F1913" i="1"/>
  <c r="H1913" i="1"/>
  <c r="E1914" i="1"/>
  <c r="F1914" i="1"/>
  <c r="H1914" i="1"/>
  <c r="E1915" i="1"/>
  <c r="F1915" i="1"/>
  <c r="H1915" i="1"/>
  <c r="E1916" i="1"/>
  <c r="F1916" i="1"/>
  <c r="H1916" i="1"/>
  <c r="E1917" i="1"/>
  <c r="F1917" i="1"/>
  <c r="H1917" i="1"/>
  <c r="E1918" i="1"/>
  <c r="F1918" i="1"/>
  <c r="H1918" i="1"/>
  <c r="E1919" i="1"/>
  <c r="F1919" i="1"/>
  <c r="H1919" i="1"/>
  <c r="E1920" i="1"/>
  <c r="F1920" i="1"/>
  <c r="H1920" i="1"/>
  <c r="E1921" i="1"/>
  <c r="F1921" i="1"/>
  <c r="H1921" i="1"/>
  <c r="E1922" i="1"/>
  <c r="F1922" i="1"/>
  <c r="H1922" i="1"/>
  <c r="E1923" i="1"/>
  <c r="F1923" i="1"/>
  <c r="H1923" i="1"/>
  <c r="E1924" i="1"/>
  <c r="F1924" i="1"/>
  <c r="H1924" i="1"/>
  <c r="E1925" i="1"/>
  <c r="F1925" i="1"/>
  <c r="H1925" i="1"/>
  <c r="E1926" i="1"/>
  <c r="F1926" i="1"/>
  <c r="H1926" i="1"/>
  <c r="E1927" i="1"/>
  <c r="F1927" i="1"/>
  <c r="H1927" i="1"/>
  <c r="E1928" i="1"/>
  <c r="F1928" i="1"/>
  <c r="H1928" i="1"/>
  <c r="E1929" i="1"/>
  <c r="F1929" i="1"/>
  <c r="H1929" i="1"/>
  <c r="E1930" i="1"/>
  <c r="F1930" i="1"/>
  <c r="H1930" i="1"/>
  <c r="E1931" i="1"/>
  <c r="F1931" i="1"/>
  <c r="H1931" i="1"/>
  <c r="E1932" i="1"/>
  <c r="F1932" i="1"/>
  <c r="H1932" i="1"/>
  <c r="E1933" i="1"/>
  <c r="F1933" i="1"/>
  <c r="H1933" i="1"/>
  <c r="E1934" i="1"/>
  <c r="F1934" i="1"/>
  <c r="H1934" i="1"/>
  <c r="E1935" i="1"/>
  <c r="F1935" i="1"/>
  <c r="H1935" i="1"/>
  <c r="E1936" i="1"/>
  <c r="F1936" i="1"/>
  <c r="H1936" i="1"/>
  <c r="E1937" i="1"/>
  <c r="F1937" i="1"/>
  <c r="H1937" i="1"/>
  <c r="E1938" i="1"/>
  <c r="F1938" i="1"/>
  <c r="H1938" i="1"/>
  <c r="E1939" i="1"/>
  <c r="F1939" i="1"/>
  <c r="H1939" i="1"/>
  <c r="E1940" i="1"/>
  <c r="F1940" i="1"/>
  <c r="H1940" i="1"/>
  <c r="E1941" i="1"/>
  <c r="F1941" i="1"/>
  <c r="H1941" i="1"/>
  <c r="E1942" i="1"/>
  <c r="F1942" i="1"/>
  <c r="H1942" i="1"/>
  <c r="E1943" i="1"/>
  <c r="F1943" i="1"/>
  <c r="H1943" i="1"/>
  <c r="E1944" i="1"/>
  <c r="F1944" i="1"/>
  <c r="H1944" i="1"/>
  <c r="E1945" i="1"/>
  <c r="F1945" i="1"/>
  <c r="H1945" i="1"/>
  <c r="E1946" i="1"/>
  <c r="F1946" i="1"/>
  <c r="H1946" i="1"/>
  <c r="E1947" i="1"/>
  <c r="F1947" i="1"/>
  <c r="H1947" i="1"/>
  <c r="E1948" i="1"/>
  <c r="F1948" i="1"/>
  <c r="H1948" i="1"/>
  <c r="E1949" i="1"/>
  <c r="F1949" i="1"/>
  <c r="H1949" i="1"/>
  <c r="E1950" i="1"/>
  <c r="F1950" i="1"/>
  <c r="H1950" i="1"/>
  <c r="E1951" i="1"/>
  <c r="F1951" i="1"/>
  <c r="H1951" i="1"/>
  <c r="E1952" i="1"/>
  <c r="F1952" i="1"/>
  <c r="H1952" i="1"/>
  <c r="E1953" i="1"/>
  <c r="F1953" i="1"/>
  <c r="H1953" i="1"/>
  <c r="E1954" i="1"/>
  <c r="F1954" i="1"/>
  <c r="H1954" i="1"/>
  <c r="E1955" i="1"/>
  <c r="F1955" i="1"/>
  <c r="H1955" i="1"/>
  <c r="E1956" i="1"/>
  <c r="F1956" i="1"/>
  <c r="H1956" i="1"/>
  <c r="E1957" i="1"/>
  <c r="F1957" i="1"/>
  <c r="H1957" i="1"/>
  <c r="E1958" i="1"/>
  <c r="F1958" i="1"/>
  <c r="H1958" i="1"/>
  <c r="E1959" i="1"/>
  <c r="F1959" i="1"/>
  <c r="H1959" i="1"/>
  <c r="E1960" i="1"/>
  <c r="F1960" i="1"/>
  <c r="H1960" i="1"/>
  <c r="E1961" i="1"/>
  <c r="F1961" i="1"/>
  <c r="H1961" i="1"/>
  <c r="E1962" i="1"/>
  <c r="F1962" i="1"/>
  <c r="H1962" i="1"/>
  <c r="E1963" i="1"/>
  <c r="F1963" i="1"/>
  <c r="H1963" i="1"/>
  <c r="E1964" i="1"/>
  <c r="F1964" i="1"/>
  <c r="H1964" i="1"/>
  <c r="E1965" i="1"/>
  <c r="F1965" i="1"/>
  <c r="H1965" i="1"/>
  <c r="E1966" i="1"/>
  <c r="F1966" i="1"/>
  <c r="H1966" i="1"/>
  <c r="E1967" i="1"/>
  <c r="F1967" i="1"/>
  <c r="H1967" i="1"/>
  <c r="E1968" i="1"/>
  <c r="F1968" i="1"/>
  <c r="H1968" i="1"/>
  <c r="E1969" i="1"/>
  <c r="F1969" i="1"/>
  <c r="H1969" i="1"/>
  <c r="E1970" i="1"/>
  <c r="F1970" i="1"/>
  <c r="H1970" i="1"/>
  <c r="E1971" i="1"/>
  <c r="F1971" i="1"/>
  <c r="H1971" i="1"/>
  <c r="E1972" i="1"/>
  <c r="F1972" i="1"/>
  <c r="H1972" i="1"/>
  <c r="E1973" i="1"/>
  <c r="F1973" i="1"/>
  <c r="H1973" i="1"/>
  <c r="E1974" i="1"/>
  <c r="F1974" i="1"/>
  <c r="H1974" i="1"/>
  <c r="E1975" i="1"/>
  <c r="F1975" i="1"/>
  <c r="H1975" i="1"/>
  <c r="E1976" i="1"/>
  <c r="F1976" i="1"/>
  <c r="H1976" i="1"/>
  <c r="E1977" i="1"/>
  <c r="F1977" i="1"/>
  <c r="H1977" i="1"/>
  <c r="E1978" i="1"/>
  <c r="F1978" i="1"/>
  <c r="H1978" i="1"/>
  <c r="E1979" i="1"/>
  <c r="F1979" i="1"/>
  <c r="H1979" i="1"/>
  <c r="E1980" i="1"/>
  <c r="F1980" i="1"/>
  <c r="H1980" i="1"/>
  <c r="E1981" i="1"/>
  <c r="F1981" i="1"/>
  <c r="H1981" i="1"/>
  <c r="E1982" i="1"/>
  <c r="F1982" i="1"/>
  <c r="H1982" i="1"/>
  <c r="E1983" i="1"/>
  <c r="F1983" i="1"/>
  <c r="H1983" i="1"/>
  <c r="E1984" i="1"/>
  <c r="F1984" i="1"/>
  <c r="H1984" i="1"/>
  <c r="E1985" i="1"/>
  <c r="F1985" i="1"/>
  <c r="H1985" i="1"/>
  <c r="E1986" i="1"/>
  <c r="F1986" i="1"/>
  <c r="H1986" i="1"/>
  <c r="E1987" i="1"/>
  <c r="F1987" i="1"/>
  <c r="H1987" i="1"/>
  <c r="E1988" i="1"/>
  <c r="F1988" i="1"/>
  <c r="H1988" i="1"/>
  <c r="E1989" i="1"/>
  <c r="F1989" i="1"/>
  <c r="H1989" i="1"/>
  <c r="E1990" i="1"/>
  <c r="F1990" i="1"/>
  <c r="H1990" i="1"/>
  <c r="E1991" i="1"/>
  <c r="F1991" i="1"/>
  <c r="H1991" i="1"/>
  <c r="E1992" i="1"/>
  <c r="F1992" i="1"/>
  <c r="H1992" i="1"/>
  <c r="E1993" i="1"/>
  <c r="F1993" i="1"/>
  <c r="H1993" i="1"/>
  <c r="E1994" i="1"/>
  <c r="F1994" i="1"/>
  <c r="H1994" i="1"/>
  <c r="E1995" i="1"/>
  <c r="F1995" i="1"/>
  <c r="H1995" i="1"/>
  <c r="E1996" i="1"/>
  <c r="F1996" i="1"/>
  <c r="H1996" i="1"/>
  <c r="E1997" i="1"/>
  <c r="F1997" i="1"/>
  <c r="H1997" i="1"/>
  <c r="E1998" i="1"/>
  <c r="F1998" i="1"/>
  <c r="H1998" i="1"/>
  <c r="E1999" i="1"/>
  <c r="F1999" i="1"/>
  <c r="H1999" i="1"/>
  <c r="E2000" i="1"/>
  <c r="F2000" i="1"/>
  <c r="H2000" i="1"/>
  <c r="E2001" i="1"/>
  <c r="F2001" i="1"/>
  <c r="H2001" i="1"/>
  <c r="E2002" i="1"/>
  <c r="F2002" i="1"/>
  <c r="H2002" i="1"/>
  <c r="E2003" i="1"/>
  <c r="F2003" i="1"/>
  <c r="H2003" i="1"/>
  <c r="E2004" i="1"/>
  <c r="F2004" i="1"/>
  <c r="H2004" i="1"/>
  <c r="E2005" i="1"/>
  <c r="F2005" i="1"/>
  <c r="H2005" i="1"/>
  <c r="E2006" i="1"/>
  <c r="F2006" i="1"/>
  <c r="H2006" i="1"/>
  <c r="E2007" i="1"/>
  <c r="F2007" i="1"/>
  <c r="H2007" i="1"/>
  <c r="E2008" i="1"/>
  <c r="F2008" i="1"/>
  <c r="H2008" i="1"/>
  <c r="E2009" i="1"/>
  <c r="F2009" i="1"/>
  <c r="H2009" i="1"/>
  <c r="E2010" i="1"/>
  <c r="F2010" i="1"/>
  <c r="H2010" i="1"/>
  <c r="E2011" i="1"/>
  <c r="F2011" i="1"/>
  <c r="H2011" i="1"/>
  <c r="E2012" i="1"/>
  <c r="F2012" i="1"/>
  <c r="H2012" i="1"/>
  <c r="E2013" i="1"/>
  <c r="F2013" i="1"/>
  <c r="H2013" i="1"/>
  <c r="E2014" i="1"/>
  <c r="F2014" i="1"/>
  <c r="H2014" i="1"/>
  <c r="E2015" i="1"/>
  <c r="F2015" i="1"/>
  <c r="H2015" i="1"/>
  <c r="E2016" i="1"/>
  <c r="F2016" i="1"/>
  <c r="H2016" i="1"/>
  <c r="E2017" i="1"/>
  <c r="F2017" i="1"/>
  <c r="H2017" i="1"/>
  <c r="E2018" i="1"/>
  <c r="F2018" i="1"/>
  <c r="H2018" i="1"/>
  <c r="E2019" i="1"/>
  <c r="F2019" i="1"/>
  <c r="H2019" i="1"/>
  <c r="E2020" i="1"/>
  <c r="F2020" i="1"/>
  <c r="H2020" i="1"/>
  <c r="E2021" i="1"/>
  <c r="F2021" i="1"/>
  <c r="H2021" i="1"/>
  <c r="E2022" i="1"/>
  <c r="F2022" i="1"/>
  <c r="H2022" i="1"/>
  <c r="E2023" i="1"/>
  <c r="F2023" i="1"/>
  <c r="H2023" i="1"/>
  <c r="E2024" i="1"/>
  <c r="F2024" i="1"/>
  <c r="H2024" i="1"/>
  <c r="E2025" i="1"/>
  <c r="F2025" i="1"/>
  <c r="H2025" i="1"/>
  <c r="E2026" i="1"/>
  <c r="F2026" i="1"/>
  <c r="H2026" i="1"/>
  <c r="E2027" i="1"/>
  <c r="F2027" i="1"/>
  <c r="H2027" i="1"/>
  <c r="E2028" i="1"/>
  <c r="F2028" i="1"/>
  <c r="H2028" i="1"/>
  <c r="E2029" i="1"/>
  <c r="F2029" i="1"/>
  <c r="H2029" i="1"/>
  <c r="E2030" i="1"/>
  <c r="F2030" i="1"/>
  <c r="H2030" i="1"/>
  <c r="E2031" i="1"/>
  <c r="F2031" i="1"/>
  <c r="H2031" i="1"/>
  <c r="E2032" i="1"/>
  <c r="F2032" i="1"/>
  <c r="H2032" i="1"/>
  <c r="E2033" i="1"/>
  <c r="F2033" i="1"/>
  <c r="H2033" i="1"/>
  <c r="E2034" i="1"/>
  <c r="F2034" i="1"/>
  <c r="H2034" i="1"/>
  <c r="E2035" i="1"/>
  <c r="F2035" i="1"/>
  <c r="H2035" i="1"/>
  <c r="E2036" i="1"/>
  <c r="F2036" i="1"/>
  <c r="H2036" i="1"/>
  <c r="E2037" i="1"/>
  <c r="F2037" i="1"/>
  <c r="H2037" i="1"/>
  <c r="E2038" i="1"/>
  <c r="F2038" i="1"/>
  <c r="H2038" i="1"/>
  <c r="E2039" i="1"/>
  <c r="F2039" i="1"/>
  <c r="H2039" i="1"/>
  <c r="E2040" i="1"/>
  <c r="F2040" i="1"/>
  <c r="H2040" i="1"/>
  <c r="E2041" i="1"/>
  <c r="F2041" i="1"/>
  <c r="H2041" i="1"/>
  <c r="E2042" i="1"/>
  <c r="F2042" i="1"/>
  <c r="H2042" i="1"/>
  <c r="E2043" i="1"/>
  <c r="F2043" i="1"/>
  <c r="H2043" i="1"/>
  <c r="E2044" i="1"/>
  <c r="F2044" i="1"/>
  <c r="H2044" i="1"/>
  <c r="E2045" i="1"/>
  <c r="F2045" i="1"/>
  <c r="H2045" i="1"/>
  <c r="E2046" i="1"/>
  <c r="F2046" i="1"/>
  <c r="H2046" i="1"/>
  <c r="E2047" i="1"/>
  <c r="F2047" i="1"/>
  <c r="H2047" i="1"/>
  <c r="E2048" i="1"/>
  <c r="F2048" i="1"/>
  <c r="H2048" i="1"/>
  <c r="E2049" i="1"/>
  <c r="F2049" i="1"/>
  <c r="H2049" i="1"/>
  <c r="E2050" i="1"/>
  <c r="F2050" i="1"/>
  <c r="H2050" i="1"/>
  <c r="E2051" i="1"/>
  <c r="F2051" i="1"/>
  <c r="H2051" i="1"/>
  <c r="E2052" i="1"/>
  <c r="F2052" i="1"/>
  <c r="H2052" i="1"/>
  <c r="E2053" i="1"/>
  <c r="F2053" i="1"/>
  <c r="H2053" i="1"/>
  <c r="E2054" i="1"/>
  <c r="F2054" i="1"/>
  <c r="H2054" i="1"/>
  <c r="E2055" i="1"/>
  <c r="F2055" i="1"/>
  <c r="H2055" i="1"/>
  <c r="E2056" i="1"/>
  <c r="F2056" i="1"/>
  <c r="H2056" i="1"/>
  <c r="E2057" i="1"/>
  <c r="F2057" i="1"/>
  <c r="H2057" i="1"/>
  <c r="E2058" i="1"/>
  <c r="F2058" i="1"/>
  <c r="H2058" i="1"/>
  <c r="E2059" i="1"/>
  <c r="F2059" i="1"/>
  <c r="H2059" i="1"/>
  <c r="E2060" i="1"/>
  <c r="F2060" i="1"/>
  <c r="H2060" i="1"/>
  <c r="E2061" i="1"/>
  <c r="F2061" i="1"/>
  <c r="H2061" i="1"/>
  <c r="E2062" i="1"/>
  <c r="F2062" i="1"/>
  <c r="H2062" i="1"/>
  <c r="E2063" i="1"/>
  <c r="F2063" i="1"/>
  <c r="H2063" i="1"/>
  <c r="E2064" i="1"/>
  <c r="F2064" i="1"/>
  <c r="H2064" i="1"/>
  <c r="E2065" i="1"/>
  <c r="F2065" i="1"/>
  <c r="H2065" i="1"/>
  <c r="E2066" i="1"/>
  <c r="F2066" i="1"/>
  <c r="H2066" i="1"/>
  <c r="E2067" i="1"/>
  <c r="F2067" i="1"/>
  <c r="H2067" i="1"/>
  <c r="E2068" i="1"/>
  <c r="F2068" i="1"/>
  <c r="H2068" i="1"/>
  <c r="E2069" i="1"/>
  <c r="F2069" i="1"/>
  <c r="H2069" i="1"/>
  <c r="E2070" i="1"/>
  <c r="F2070" i="1"/>
  <c r="H2070" i="1"/>
  <c r="E2071" i="1"/>
  <c r="F2071" i="1"/>
  <c r="H2071" i="1"/>
  <c r="E2072" i="1"/>
  <c r="F2072" i="1"/>
  <c r="H2072" i="1"/>
  <c r="E2073" i="1"/>
  <c r="F2073" i="1"/>
  <c r="H2073" i="1"/>
  <c r="E2074" i="1"/>
  <c r="F2074" i="1"/>
  <c r="H2074" i="1"/>
  <c r="E2075" i="1"/>
  <c r="F2075" i="1"/>
  <c r="H2075" i="1"/>
  <c r="E2076" i="1"/>
  <c r="F2076" i="1"/>
  <c r="H2076" i="1"/>
  <c r="E2077" i="1"/>
  <c r="F2077" i="1"/>
  <c r="H2077" i="1"/>
  <c r="E2078" i="1"/>
  <c r="F2078" i="1"/>
  <c r="H2078" i="1"/>
  <c r="E2079" i="1"/>
  <c r="F2079" i="1"/>
  <c r="H2079" i="1"/>
  <c r="E2080" i="1"/>
  <c r="F2080" i="1"/>
  <c r="H2080" i="1"/>
  <c r="E2081" i="1"/>
  <c r="F2081" i="1"/>
  <c r="H2081" i="1"/>
  <c r="E2082" i="1"/>
  <c r="F2082" i="1"/>
  <c r="H2082" i="1"/>
  <c r="E2083" i="1"/>
  <c r="F2083" i="1"/>
  <c r="H2083" i="1"/>
  <c r="E2084" i="1"/>
  <c r="F2084" i="1"/>
  <c r="H2084" i="1"/>
  <c r="E2085" i="1"/>
  <c r="F2085" i="1"/>
  <c r="H2085" i="1"/>
  <c r="E2086" i="1"/>
  <c r="F2086" i="1"/>
  <c r="H2086" i="1"/>
  <c r="E2087" i="1"/>
  <c r="F2087" i="1"/>
  <c r="H2087" i="1"/>
  <c r="E2088" i="1"/>
  <c r="F2088" i="1"/>
  <c r="H2088" i="1"/>
  <c r="E2089" i="1"/>
  <c r="F2089" i="1"/>
  <c r="H2089" i="1"/>
  <c r="E2090" i="1"/>
  <c r="F2090" i="1"/>
  <c r="H2090" i="1"/>
  <c r="E2091" i="1"/>
  <c r="F2091" i="1"/>
  <c r="H2091" i="1"/>
  <c r="E2092" i="1"/>
  <c r="F2092" i="1"/>
  <c r="H2092" i="1"/>
  <c r="E2093" i="1"/>
  <c r="F2093" i="1"/>
  <c r="H2093" i="1"/>
  <c r="E2094" i="1"/>
  <c r="F2094" i="1"/>
  <c r="H2094" i="1"/>
  <c r="E2095" i="1"/>
  <c r="F2095" i="1"/>
  <c r="H2095" i="1"/>
  <c r="E2096" i="1"/>
  <c r="F2096" i="1"/>
  <c r="H2096" i="1"/>
  <c r="E2097" i="1"/>
  <c r="F2097" i="1"/>
  <c r="H2097" i="1"/>
  <c r="E2098" i="1"/>
  <c r="F2098" i="1"/>
  <c r="H2098" i="1"/>
  <c r="E2099" i="1"/>
  <c r="F2099" i="1"/>
  <c r="H2099" i="1"/>
  <c r="E2100" i="1"/>
  <c r="F2100" i="1"/>
  <c r="H2100" i="1"/>
  <c r="E2101" i="1"/>
  <c r="F2101" i="1"/>
  <c r="H2101" i="1"/>
  <c r="E2102" i="1"/>
  <c r="F2102" i="1"/>
  <c r="H2102" i="1"/>
  <c r="E2103" i="1"/>
  <c r="F2103" i="1"/>
  <c r="H2103" i="1"/>
  <c r="E2104" i="1"/>
  <c r="F2104" i="1"/>
  <c r="H2104" i="1"/>
  <c r="E2105" i="1"/>
  <c r="F2105" i="1"/>
  <c r="H2105" i="1"/>
  <c r="E2106" i="1"/>
  <c r="F2106" i="1"/>
  <c r="H2106" i="1"/>
  <c r="E2107" i="1"/>
  <c r="F2107" i="1"/>
  <c r="H2107" i="1"/>
  <c r="E2108" i="1"/>
  <c r="F2108" i="1"/>
  <c r="H2108" i="1"/>
  <c r="E2109" i="1"/>
  <c r="F2109" i="1"/>
  <c r="H2109" i="1"/>
  <c r="E2110" i="1"/>
  <c r="F2110" i="1"/>
  <c r="H2110" i="1"/>
  <c r="E2111" i="1"/>
  <c r="F2111" i="1"/>
  <c r="H2111" i="1"/>
  <c r="E2112" i="1"/>
  <c r="F2112" i="1"/>
  <c r="H2112" i="1"/>
  <c r="E2113" i="1"/>
  <c r="F2113" i="1"/>
  <c r="H2113" i="1"/>
  <c r="E2114" i="1"/>
  <c r="F2114" i="1"/>
  <c r="H2114" i="1"/>
  <c r="E2115" i="1"/>
  <c r="F2115" i="1"/>
  <c r="H2115" i="1"/>
  <c r="E2116" i="1"/>
  <c r="F2116" i="1"/>
  <c r="H2116" i="1"/>
  <c r="E2117" i="1"/>
  <c r="F2117" i="1"/>
  <c r="H2117" i="1"/>
  <c r="E2118" i="1"/>
  <c r="F2118" i="1"/>
  <c r="H2118" i="1"/>
  <c r="E2119" i="1"/>
  <c r="F2119" i="1"/>
  <c r="H2119" i="1"/>
  <c r="E2120" i="1"/>
  <c r="F2120" i="1"/>
  <c r="H2120" i="1"/>
  <c r="E2121" i="1"/>
  <c r="F2121" i="1"/>
  <c r="H2121" i="1"/>
  <c r="E2122" i="1"/>
  <c r="F2122" i="1"/>
  <c r="H2122" i="1"/>
  <c r="E2123" i="1"/>
  <c r="F2123" i="1"/>
  <c r="H2123" i="1"/>
  <c r="E2124" i="1"/>
  <c r="F2124" i="1"/>
  <c r="H2124" i="1"/>
  <c r="E2125" i="1"/>
  <c r="F2125" i="1"/>
  <c r="H2125" i="1"/>
  <c r="E2126" i="1"/>
  <c r="F2126" i="1"/>
  <c r="H2126" i="1"/>
  <c r="E2127" i="1"/>
  <c r="F2127" i="1"/>
  <c r="H2127" i="1"/>
  <c r="E2128" i="1"/>
  <c r="F2128" i="1"/>
  <c r="H2128" i="1"/>
  <c r="E2129" i="1"/>
  <c r="F2129" i="1"/>
  <c r="H2129" i="1"/>
  <c r="E2130" i="1"/>
  <c r="F2130" i="1"/>
  <c r="H2130" i="1"/>
  <c r="E2131" i="1"/>
  <c r="F2131" i="1"/>
  <c r="H2131" i="1"/>
  <c r="E2132" i="1"/>
  <c r="F2132" i="1"/>
  <c r="H2132" i="1"/>
  <c r="E2133" i="1"/>
  <c r="F2133" i="1"/>
  <c r="H2133" i="1"/>
  <c r="E2134" i="1"/>
  <c r="F2134" i="1"/>
  <c r="H2134" i="1"/>
  <c r="E2135" i="1"/>
  <c r="F2135" i="1"/>
  <c r="H2135" i="1"/>
  <c r="E2136" i="1"/>
  <c r="F2136" i="1"/>
  <c r="H2136" i="1"/>
  <c r="E2137" i="1"/>
  <c r="F2137" i="1"/>
  <c r="H2137" i="1"/>
  <c r="E2138" i="1"/>
  <c r="F2138" i="1"/>
  <c r="H2138" i="1"/>
  <c r="E2139" i="1"/>
  <c r="F2139" i="1"/>
  <c r="H2139" i="1"/>
  <c r="E2140" i="1"/>
  <c r="F2140" i="1"/>
  <c r="H2140" i="1"/>
  <c r="E2141" i="1"/>
  <c r="F2141" i="1"/>
  <c r="H2141" i="1"/>
  <c r="E2142" i="1"/>
  <c r="F2142" i="1"/>
  <c r="H2142" i="1"/>
  <c r="E2143" i="1"/>
  <c r="F2143" i="1"/>
  <c r="H2143" i="1"/>
  <c r="E2144" i="1"/>
  <c r="F2144" i="1"/>
  <c r="H2144" i="1"/>
  <c r="E2145" i="1"/>
  <c r="F2145" i="1"/>
  <c r="H2145" i="1"/>
  <c r="E2146" i="1"/>
  <c r="F2146" i="1"/>
  <c r="H2146" i="1"/>
  <c r="E2147" i="1"/>
  <c r="F2147" i="1"/>
  <c r="H2147" i="1"/>
  <c r="E2148" i="1"/>
  <c r="F2148" i="1"/>
  <c r="H2148" i="1"/>
  <c r="E2149" i="1"/>
  <c r="F2149" i="1"/>
  <c r="H2149" i="1"/>
  <c r="E2150" i="1"/>
  <c r="F2150" i="1"/>
  <c r="H2150" i="1"/>
  <c r="E2151" i="1"/>
  <c r="F2151" i="1"/>
  <c r="H2151" i="1"/>
  <c r="E2152" i="1"/>
  <c r="F2152" i="1"/>
  <c r="H2152" i="1"/>
  <c r="E2153" i="1"/>
  <c r="F2153" i="1"/>
  <c r="H2153" i="1"/>
  <c r="E2154" i="1"/>
  <c r="F2154" i="1"/>
  <c r="H2154" i="1"/>
  <c r="E2155" i="1"/>
  <c r="F2155" i="1"/>
  <c r="H2155" i="1"/>
  <c r="E2156" i="1"/>
  <c r="F2156" i="1"/>
  <c r="H2156" i="1"/>
  <c r="E2157" i="1"/>
  <c r="F2157" i="1"/>
  <c r="H2157" i="1"/>
  <c r="E2158" i="1"/>
  <c r="F2158" i="1"/>
  <c r="H2158" i="1"/>
  <c r="E2159" i="1"/>
  <c r="F2159" i="1"/>
  <c r="H2159" i="1"/>
  <c r="E2160" i="1"/>
  <c r="F2160" i="1"/>
  <c r="H2160" i="1"/>
  <c r="E2161" i="1"/>
  <c r="F2161" i="1"/>
  <c r="H2161" i="1"/>
  <c r="E2162" i="1"/>
  <c r="F2162" i="1"/>
  <c r="H2162" i="1"/>
  <c r="E2163" i="1"/>
  <c r="F2163" i="1"/>
  <c r="H2163" i="1"/>
  <c r="E2164" i="1"/>
  <c r="F2164" i="1"/>
  <c r="H2164" i="1"/>
  <c r="E2165" i="1"/>
  <c r="F2165" i="1"/>
  <c r="H2165" i="1"/>
  <c r="E2166" i="1"/>
  <c r="F2166" i="1"/>
  <c r="H2166" i="1"/>
  <c r="E2167" i="1"/>
  <c r="F2167" i="1"/>
  <c r="H2167" i="1"/>
  <c r="E2168" i="1"/>
  <c r="F2168" i="1"/>
  <c r="H2168" i="1"/>
  <c r="E2169" i="1"/>
  <c r="F2169" i="1"/>
  <c r="H2169" i="1"/>
  <c r="E2170" i="1"/>
  <c r="F2170" i="1"/>
  <c r="H2170" i="1"/>
  <c r="E2171" i="1"/>
  <c r="F2171" i="1"/>
  <c r="H2171" i="1"/>
  <c r="E2172" i="1"/>
  <c r="F2172" i="1"/>
  <c r="H2172" i="1"/>
  <c r="E2173" i="1"/>
  <c r="F2173" i="1"/>
  <c r="H2173" i="1"/>
  <c r="E2174" i="1"/>
  <c r="F2174" i="1"/>
  <c r="H2174" i="1"/>
  <c r="E2175" i="1"/>
  <c r="F2175" i="1"/>
  <c r="H2175" i="1"/>
  <c r="E2176" i="1"/>
  <c r="F2176" i="1"/>
  <c r="H2176" i="1"/>
  <c r="E2177" i="1"/>
  <c r="F2177" i="1"/>
  <c r="H2177" i="1"/>
  <c r="E2178" i="1"/>
  <c r="F2178" i="1"/>
  <c r="H2178" i="1"/>
  <c r="E2179" i="1"/>
  <c r="F2179" i="1"/>
  <c r="H2179" i="1"/>
  <c r="E2180" i="1"/>
  <c r="F2180" i="1"/>
  <c r="H2180" i="1"/>
  <c r="E2181" i="1"/>
  <c r="F2181" i="1"/>
  <c r="H2181" i="1"/>
  <c r="E2182" i="1"/>
  <c r="F2182" i="1"/>
  <c r="H2182" i="1"/>
  <c r="E2183" i="1"/>
  <c r="F2183" i="1"/>
  <c r="H2183" i="1"/>
  <c r="E2184" i="1"/>
  <c r="F2184" i="1"/>
  <c r="H2184" i="1"/>
  <c r="E2185" i="1"/>
  <c r="F2185" i="1"/>
  <c r="H2185" i="1"/>
  <c r="E2186" i="1"/>
  <c r="F2186" i="1"/>
  <c r="H2186" i="1"/>
  <c r="E2187" i="1"/>
  <c r="F2187" i="1"/>
  <c r="H2187" i="1"/>
  <c r="E2188" i="1"/>
  <c r="F2188" i="1"/>
  <c r="H2188" i="1"/>
  <c r="E2189" i="1"/>
  <c r="F2189" i="1"/>
  <c r="H2189" i="1"/>
  <c r="E2190" i="1"/>
  <c r="F2190" i="1"/>
  <c r="H2190" i="1"/>
  <c r="E2191" i="1"/>
  <c r="F2191" i="1"/>
  <c r="H2191" i="1"/>
  <c r="E2192" i="1"/>
  <c r="F2192" i="1"/>
  <c r="H2192" i="1"/>
  <c r="E2193" i="1"/>
  <c r="F2193" i="1"/>
  <c r="H2193" i="1"/>
  <c r="E2194" i="1"/>
  <c r="F2194" i="1"/>
  <c r="H2194" i="1"/>
  <c r="E2195" i="1"/>
  <c r="F2195" i="1"/>
  <c r="H2195" i="1"/>
  <c r="E2196" i="1"/>
  <c r="F2196" i="1"/>
  <c r="H2196" i="1"/>
  <c r="E2197" i="1"/>
  <c r="F2197" i="1"/>
  <c r="H2197" i="1"/>
  <c r="E2198" i="1"/>
  <c r="F2198" i="1"/>
  <c r="H2198" i="1"/>
  <c r="E2199" i="1"/>
  <c r="F2199" i="1"/>
  <c r="H2199" i="1"/>
  <c r="E2200" i="1"/>
  <c r="F2200" i="1"/>
  <c r="H2200" i="1"/>
  <c r="E2201" i="1"/>
  <c r="F2201" i="1"/>
  <c r="H2201" i="1"/>
  <c r="E2202" i="1"/>
  <c r="F2202" i="1"/>
  <c r="H2202" i="1"/>
  <c r="E2203" i="1"/>
  <c r="F2203" i="1"/>
  <c r="H2203" i="1"/>
  <c r="E2204" i="1"/>
  <c r="F2204" i="1"/>
  <c r="H2204" i="1"/>
  <c r="E2205" i="1"/>
  <c r="F2205" i="1"/>
  <c r="H2205" i="1"/>
  <c r="E2206" i="1"/>
  <c r="F2206" i="1"/>
  <c r="H2206" i="1"/>
  <c r="E2207" i="1"/>
  <c r="F2207" i="1"/>
  <c r="H2207" i="1"/>
  <c r="E2208" i="1"/>
  <c r="F2208" i="1"/>
  <c r="H2208" i="1"/>
  <c r="E2209" i="1"/>
  <c r="F2209" i="1"/>
  <c r="H2209" i="1"/>
  <c r="E2210" i="1"/>
  <c r="F2210" i="1"/>
  <c r="H2210" i="1"/>
  <c r="E2211" i="1"/>
  <c r="F2211" i="1"/>
  <c r="H2211" i="1"/>
  <c r="E2212" i="1"/>
  <c r="F2212" i="1"/>
  <c r="H2212" i="1"/>
  <c r="E2213" i="1"/>
  <c r="F2213" i="1"/>
  <c r="H2213" i="1"/>
  <c r="E2214" i="1"/>
  <c r="F2214" i="1"/>
  <c r="H2214" i="1"/>
  <c r="E2215" i="1"/>
  <c r="F2215" i="1"/>
  <c r="H2215" i="1"/>
  <c r="E2216" i="1"/>
  <c r="F2216" i="1"/>
  <c r="H2216" i="1"/>
  <c r="E2217" i="1"/>
  <c r="F2217" i="1"/>
  <c r="H2217" i="1"/>
  <c r="E2218" i="1"/>
  <c r="F2218" i="1"/>
  <c r="H2218" i="1"/>
  <c r="E2219" i="1"/>
  <c r="F2219" i="1"/>
  <c r="H2219" i="1"/>
  <c r="E2220" i="1"/>
  <c r="F2220" i="1"/>
  <c r="H2220" i="1"/>
  <c r="E2221" i="1"/>
  <c r="F2221" i="1"/>
  <c r="H2221" i="1"/>
  <c r="E2222" i="1"/>
  <c r="F2222" i="1"/>
  <c r="H2222" i="1"/>
  <c r="E2223" i="1"/>
  <c r="F2223" i="1"/>
  <c r="H2223" i="1"/>
  <c r="E2224" i="1"/>
  <c r="F2224" i="1"/>
  <c r="H2224" i="1"/>
  <c r="E2225" i="1"/>
  <c r="F2225" i="1"/>
  <c r="H2225" i="1"/>
  <c r="E2226" i="1"/>
  <c r="F2226" i="1"/>
  <c r="H2226" i="1"/>
  <c r="E2227" i="1"/>
  <c r="F2227" i="1"/>
  <c r="H2227" i="1"/>
  <c r="E2228" i="1"/>
  <c r="F2228" i="1"/>
  <c r="H2228" i="1"/>
  <c r="E2229" i="1"/>
  <c r="F2229" i="1"/>
  <c r="H2229" i="1"/>
  <c r="E2230" i="1"/>
  <c r="F2230" i="1"/>
  <c r="H2230" i="1"/>
  <c r="E2231" i="1"/>
  <c r="F2231" i="1"/>
  <c r="H2231" i="1"/>
  <c r="E2232" i="1"/>
  <c r="F2232" i="1"/>
  <c r="H2232" i="1"/>
  <c r="E2233" i="1"/>
  <c r="F2233" i="1"/>
  <c r="H2233" i="1"/>
  <c r="E2234" i="1"/>
  <c r="F2234" i="1"/>
  <c r="H2234" i="1"/>
  <c r="E2235" i="1"/>
  <c r="F2235" i="1"/>
  <c r="H2235" i="1"/>
  <c r="E2236" i="1"/>
  <c r="F2236" i="1"/>
  <c r="H2236" i="1"/>
  <c r="E2237" i="1"/>
  <c r="F2237" i="1"/>
  <c r="H2237" i="1"/>
  <c r="E2238" i="1"/>
  <c r="F2238" i="1"/>
  <c r="H2238" i="1"/>
  <c r="E2239" i="1"/>
  <c r="F2239" i="1"/>
  <c r="H2239" i="1"/>
  <c r="E2240" i="1"/>
  <c r="F2240" i="1"/>
  <c r="H2240" i="1"/>
  <c r="E2241" i="1"/>
  <c r="F2241" i="1"/>
  <c r="H2241" i="1"/>
  <c r="E2242" i="1"/>
  <c r="F2242" i="1"/>
  <c r="H2242" i="1"/>
  <c r="E2243" i="1"/>
  <c r="F2243" i="1"/>
  <c r="H2243" i="1"/>
  <c r="E2244" i="1"/>
  <c r="F2244" i="1"/>
  <c r="H2244" i="1"/>
  <c r="E2245" i="1"/>
  <c r="F2245" i="1"/>
  <c r="H2245" i="1"/>
  <c r="E2246" i="1"/>
  <c r="F2246" i="1"/>
  <c r="H2246" i="1"/>
  <c r="E2247" i="1"/>
  <c r="F2247" i="1"/>
  <c r="H2247" i="1"/>
  <c r="E2248" i="1"/>
  <c r="F2248" i="1"/>
  <c r="H2248" i="1"/>
  <c r="E2249" i="1"/>
  <c r="F2249" i="1"/>
  <c r="H2249" i="1"/>
  <c r="E2250" i="1"/>
  <c r="F2250" i="1"/>
  <c r="H2250" i="1"/>
  <c r="E2251" i="1"/>
  <c r="F2251" i="1"/>
  <c r="H2251" i="1"/>
  <c r="E2252" i="1"/>
  <c r="F2252" i="1"/>
  <c r="H2252" i="1"/>
  <c r="E2253" i="1"/>
  <c r="F2253" i="1"/>
  <c r="H2253" i="1"/>
  <c r="E2254" i="1"/>
  <c r="F2254" i="1"/>
  <c r="H2254" i="1"/>
  <c r="E2255" i="1"/>
  <c r="F2255" i="1"/>
  <c r="H2255" i="1"/>
  <c r="E2256" i="1"/>
  <c r="F2256" i="1"/>
  <c r="H2256" i="1"/>
  <c r="E2257" i="1"/>
  <c r="F2257" i="1"/>
  <c r="H2257" i="1"/>
  <c r="E2258" i="1"/>
  <c r="F2258" i="1"/>
  <c r="H2258" i="1"/>
  <c r="E2259" i="1"/>
  <c r="F2259" i="1"/>
  <c r="H2259" i="1"/>
  <c r="E2260" i="1"/>
  <c r="F2260" i="1"/>
  <c r="H2260" i="1"/>
  <c r="E2261" i="1"/>
  <c r="F2261" i="1"/>
  <c r="H2261" i="1"/>
  <c r="E2262" i="1"/>
  <c r="F2262" i="1"/>
  <c r="H2262" i="1"/>
  <c r="E2263" i="1"/>
  <c r="F2263" i="1"/>
  <c r="H2263" i="1"/>
  <c r="E2264" i="1"/>
  <c r="F2264" i="1"/>
  <c r="H2264" i="1"/>
  <c r="E2265" i="1"/>
  <c r="F2265" i="1"/>
  <c r="H2265" i="1"/>
  <c r="E2266" i="1"/>
  <c r="F2266" i="1"/>
  <c r="H2266" i="1"/>
  <c r="E2267" i="1"/>
  <c r="F2267" i="1"/>
  <c r="H2267" i="1"/>
  <c r="E2268" i="1"/>
  <c r="F2268" i="1"/>
  <c r="H2268" i="1"/>
  <c r="E2269" i="1"/>
  <c r="F2269" i="1"/>
  <c r="H2269" i="1"/>
  <c r="E2270" i="1"/>
  <c r="F2270" i="1"/>
  <c r="H2270" i="1"/>
  <c r="E2271" i="1"/>
  <c r="F2271" i="1"/>
  <c r="H2271" i="1"/>
  <c r="E2272" i="1"/>
  <c r="F2272" i="1"/>
  <c r="H2272" i="1"/>
  <c r="E2273" i="1"/>
  <c r="F2273" i="1"/>
  <c r="H2273" i="1"/>
  <c r="E2274" i="1"/>
  <c r="F2274" i="1"/>
  <c r="H2274" i="1"/>
  <c r="E2275" i="1"/>
  <c r="F2275" i="1"/>
  <c r="H2275" i="1"/>
  <c r="E2276" i="1"/>
  <c r="F2276" i="1"/>
  <c r="H2276" i="1"/>
  <c r="E2277" i="1"/>
  <c r="F2277" i="1"/>
  <c r="H2277" i="1"/>
  <c r="E2278" i="1"/>
  <c r="F2278" i="1"/>
  <c r="H2278" i="1"/>
  <c r="E2279" i="1"/>
  <c r="F2279" i="1"/>
  <c r="H2279" i="1"/>
  <c r="E2280" i="1"/>
  <c r="F2280" i="1"/>
  <c r="H2280" i="1"/>
  <c r="E2281" i="1"/>
  <c r="F2281" i="1"/>
  <c r="H2281" i="1"/>
  <c r="E2282" i="1"/>
  <c r="F2282" i="1"/>
  <c r="H2282" i="1"/>
  <c r="E2283" i="1"/>
  <c r="F2283" i="1"/>
  <c r="H2283" i="1"/>
  <c r="E2284" i="1"/>
  <c r="F2284" i="1"/>
  <c r="H2284" i="1"/>
  <c r="E2285" i="1"/>
  <c r="F2285" i="1"/>
  <c r="H2285" i="1"/>
  <c r="E2286" i="1"/>
  <c r="F2286" i="1"/>
  <c r="H2286" i="1"/>
  <c r="E2287" i="1"/>
  <c r="F2287" i="1"/>
  <c r="H2287" i="1"/>
  <c r="E2288" i="1"/>
  <c r="F2288" i="1"/>
  <c r="H2288" i="1"/>
  <c r="E2289" i="1"/>
  <c r="F2289" i="1"/>
  <c r="H2289" i="1"/>
  <c r="E2290" i="1"/>
  <c r="F2290" i="1"/>
  <c r="H2290" i="1"/>
  <c r="E2291" i="1"/>
  <c r="F2291" i="1"/>
  <c r="H2291" i="1"/>
  <c r="E2292" i="1"/>
  <c r="F2292" i="1"/>
  <c r="H2292" i="1"/>
  <c r="E2293" i="1"/>
  <c r="F2293" i="1"/>
  <c r="H2293" i="1"/>
  <c r="E2294" i="1"/>
  <c r="F2294" i="1"/>
  <c r="H2294" i="1"/>
  <c r="E2295" i="1"/>
  <c r="F2295" i="1"/>
  <c r="H2295" i="1"/>
  <c r="E2296" i="1"/>
  <c r="F2296" i="1"/>
  <c r="H2296" i="1"/>
  <c r="E2297" i="1"/>
  <c r="F2297" i="1"/>
  <c r="H2297" i="1"/>
  <c r="E2298" i="1"/>
  <c r="F2298" i="1"/>
  <c r="H2298" i="1"/>
  <c r="E2299" i="1"/>
  <c r="F2299" i="1"/>
  <c r="H2299" i="1"/>
  <c r="E2300" i="1"/>
  <c r="F2300" i="1"/>
  <c r="H2300" i="1"/>
  <c r="E2301" i="1"/>
  <c r="F2301" i="1"/>
  <c r="H2301" i="1"/>
  <c r="E2302" i="1"/>
  <c r="F2302" i="1"/>
  <c r="H2302" i="1"/>
  <c r="E2303" i="1"/>
  <c r="F2303" i="1"/>
  <c r="H2303" i="1"/>
  <c r="E2304" i="1"/>
  <c r="F2304" i="1"/>
  <c r="H2304" i="1"/>
  <c r="E2305" i="1"/>
  <c r="F2305" i="1"/>
  <c r="H2305" i="1"/>
  <c r="E2306" i="1"/>
  <c r="F2306" i="1"/>
  <c r="H2306" i="1"/>
  <c r="E2307" i="1"/>
  <c r="F2307" i="1"/>
  <c r="H2307" i="1"/>
  <c r="E2308" i="1"/>
  <c r="F2308" i="1"/>
  <c r="H2308" i="1"/>
  <c r="E2309" i="1"/>
  <c r="F2309" i="1"/>
  <c r="H2309" i="1"/>
  <c r="E2310" i="1"/>
  <c r="F2310" i="1"/>
  <c r="H2310" i="1"/>
  <c r="E2311" i="1"/>
  <c r="F2311" i="1"/>
  <c r="H2311" i="1"/>
  <c r="E2312" i="1"/>
  <c r="F2312" i="1"/>
  <c r="H2312" i="1"/>
  <c r="E2313" i="1"/>
  <c r="F2313" i="1"/>
  <c r="H2313" i="1"/>
  <c r="E2314" i="1"/>
  <c r="F2314" i="1"/>
  <c r="H2314" i="1"/>
  <c r="E2315" i="1"/>
  <c r="F2315" i="1"/>
  <c r="H2315" i="1"/>
  <c r="E2316" i="1"/>
  <c r="F2316" i="1"/>
  <c r="H2316" i="1"/>
  <c r="E2317" i="1"/>
  <c r="F2317" i="1"/>
  <c r="H2317" i="1"/>
  <c r="E2318" i="1"/>
  <c r="F2318" i="1"/>
  <c r="H2318" i="1"/>
  <c r="E2319" i="1"/>
  <c r="F2319" i="1"/>
  <c r="H2319" i="1"/>
  <c r="E2320" i="1"/>
  <c r="F2320" i="1"/>
  <c r="H2320" i="1"/>
  <c r="E2321" i="1"/>
  <c r="F2321" i="1"/>
  <c r="H2321" i="1"/>
  <c r="E2322" i="1"/>
  <c r="F2322" i="1"/>
  <c r="H2322" i="1"/>
  <c r="E2323" i="1"/>
  <c r="F2323" i="1"/>
  <c r="H2323" i="1"/>
  <c r="E2324" i="1"/>
  <c r="F2324" i="1"/>
  <c r="H2324" i="1"/>
  <c r="E2325" i="1"/>
  <c r="F2325" i="1"/>
  <c r="H2325" i="1"/>
  <c r="E2326" i="1"/>
  <c r="F2326" i="1"/>
  <c r="H2326" i="1"/>
  <c r="E2327" i="1"/>
  <c r="F2327" i="1"/>
  <c r="H2327" i="1"/>
  <c r="E2328" i="1"/>
  <c r="F2328" i="1"/>
  <c r="H2328" i="1"/>
  <c r="E2329" i="1"/>
  <c r="F2329" i="1"/>
  <c r="H2329" i="1"/>
  <c r="E2330" i="1"/>
  <c r="F2330" i="1"/>
  <c r="H2330" i="1"/>
  <c r="E2331" i="1"/>
  <c r="F2331" i="1"/>
  <c r="H2331" i="1"/>
  <c r="E2332" i="1"/>
  <c r="F2332" i="1"/>
  <c r="H2332" i="1"/>
  <c r="E2333" i="1"/>
  <c r="F2333" i="1"/>
  <c r="H2333" i="1"/>
  <c r="E2334" i="1"/>
  <c r="F2334" i="1"/>
  <c r="H2334" i="1"/>
  <c r="E2335" i="1"/>
  <c r="F2335" i="1"/>
  <c r="H2335" i="1"/>
  <c r="E2336" i="1"/>
  <c r="F2336" i="1"/>
  <c r="H2336" i="1"/>
  <c r="E2337" i="1"/>
  <c r="F2337" i="1"/>
  <c r="H2337" i="1"/>
  <c r="E2338" i="1"/>
  <c r="F2338" i="1"/>
  <c r="H2338" i="1"/>
  <c r="E2339" i="1"/>
  <c r="F2339" i="1"/>
  <c r="H2339" i="1"/>
  <c r="E2340" i="1"/>
  <c r="F2340" i="1"/>
  <c r="H2340" i="1"/>
  <c r="E2341" i="1"/>
  <c r="F2341" i="1"/>
  <c r="H2341" i="1"/>
  <c r="E2342" i="1"/>
  <c r="F2342" i="1"/>
  <c r="H2342" i="1"/>
  <c r="E2343" i="1"/>
  <c r="F2343" i="1"/>
  <c r="H2343" i="1"/>
  <c r="E2344" i="1"/>
  <c r="F2344" i="1"/>
  <c r="H2344" i="1"/>
  <c r="E2345" i="1"/>
  <c r="F2345" i="1"/>
  <c r="H2345" i="1"/>
  <c r="E2346" i="1"/>
  <c r="F2346" i="1"/>
  <c r="H2346" i="1"/>
  <c r="E2347" i="1"/>
  <c r="F2347" i="1"/>
  <c r="H2347" i="1"/>
  <c r="E2348" i="1"/>
  <c r="F2348" i="1"/>
  <c r="H2348" i="1"/>
  <c r="E2349" i="1"/>
  <c r="F2349" i="1"/>
  <c r="H2349" i="1"/>
  <c r="E2350" i="1"/>
  <c r="F2350" i="1"/>
  <c r="H2350" i="1"/>
  <c r="E2351" i="1"/>
  <c r="F2351" i="1"/>
  <c r="H2351" i="1"/>
  <c r="E2352" i="1"/>
  <c r="F2352" i="1"/>
  <c r="H2352" i="1"/>
  <c r="E2353" i="1"/>
  <c r="F2353" i="1"/>
  <c r="H2353" i="1"/>
  <c r="E2354" i="1"/>
  <c r="F2354" i="1"/>
  <c r="H2354" i="1"/>
  <c r="E2355" i="1"/>
  <c r="F2355" i="1"/>
  <c r="H2355" i="1"/>
  <c r="E2356" i="1"/>
  <c r="F2356" i="1"/>
  <c r="H2356" i="1"/>
  <c r="E2357" i="1"/>
  <c r="F2357" i="1"/>
  <c r="H2357" i="1"/>
  <c r="E2358" i="1"/>
  <c r="F2358" i="1"/>
  <c r="H2358" i="1"/>
  <c r="E2359" i="1"/>
  <c r="F2359" i="1"/>
  <c r="H2359" i="1"/>
  <c r="E2360" i="1"/>
  <c r="F2360" i="1"/>
  <c r="H2360" i="1"/>
  <c r="E2361" i="1"/>
  <c r="F2361" i="1"/>
  <c r="H2361" i="1"/>
  <c r="E2362" i="1"/>
  <c r="F2362" i="1"/>
  <c r="H2362" i="1"/>
  <c r="E2363" i="1"/>
  <c r="F2363" i="1"/>
  <c r="H2363" i="1"/>
  <c r="E2364" i="1"/>
  <c r="F2364" i="1"/>
  <c r="H2364" i="1"/>
  <c r="E2365" i="1"/>
  <c r="F2365" i="1"/>
  <c r="H2365" i="1"/>
  <c r="E2366" i="1"/>
  <c r="F2366" i="1"/>
  <c r="H2366" i="1"/>
  <c r="E2367" i="1"/>
  <c r="F2367" i="1"/>
  <c r="H2367" i="1"/>
  <c r="E2368" i="1"/>
  <c r="F2368" i="1"/>
  <c r="H2368" i="1"/>
  <c r="E2369" i="1"/>
  <c r="F2369" i="1"/>
  <c r="H2369" i="1"/>
  <c r="E2370" i="1"/>
  <c r="F2370" i="1"/>
  <c r="H2370" i="1"/>
  <c r="E2371" i="1"/>
  <c r="F2371" i="1"/>
  <c r="H2371" i="1"/>
  <c r="E2372" i="1"/>
  <c r="F2372" i="1"/>
  <c r="H2372" i="1"/>
  <c r="E2373" i="1"/>
  <c r="F2373" i="1"/>
  <c r="H2373" i="1"/>
  <c r="E2374" i="1"/>
  <c r="F2374" i="1"/>
  <c r="H2374" i="1"/>
  <c r="E2375" i="1"/>
  <c r="F2375" i="1"/>
  <c r="H2375" i="1"/>
  <c r="E2376" i="1"/>
  <c r="F2376" i="1"/>
  <c r="H2376" i="1"/>
  <c r="E2377" i="1"/>
  <c r="F2377" i="1"/>
  <c r="H2377" i="1"/>
  <c r="E2378" i="1"/>
  <c r="F2378" i="1"/>
  <c r="H2378" i="1"/>
  <c r="E2379" i="1"/>
  <c r="F2379" i="1"/>
  <c r="H2379" i="1"/>
  <c r="E2380" i="1"/>
  <c r="F2380" i="1"/>
  <c r="H2380" i="1"/>
  <c r="E2381" i="1"/>
  <c r="F2381" i="1"/>
  <c r="H2381" i="1"/>
  <c r="E2382" i="1"/>
  <c r="F2382" i="1"/>
  <c r="H2382" i="1"/>
  <c r="E2383" i="1"/>
  <c r="F2383" i="1"/>
  <c r="H2383" i="1"/>
  <c r="E2384" i="1"/>
  <c r="F2384" i="1"/>
  <c r="H2384" i="1"/>
  <c r="E2385" i="1"/>
  <c r="F2385" i="1"/>
  <c r="H2385" i="1"/>
  <c r="E2386" i="1"/>
  <c r="F2386" i="1"/>
  <c r="H2386" i="1"/>
  <c r="E2387" i="1"/>
  <c r="F2387" i="1"/>
  <c r="H2387" i="1"/>
  <c r="E2388" i="1"/>
  <c r="F2388" i="1"/>
  <c r="H2388" i="1"/>
  <c r="E2389" i="1"/>
  <c r="F2389" i="1"/>
  <c r="H2389" i="1"/>
  <c r="E2390" i="1"/>
  <c r="F2390" i="1"/>
  <c r="H2390" i="1"/>
  <c r="E2391" i="1"/>
  <c r="F2391" i="1"/>
  <c r="H2391" i="1"/>
  <c r="E2392" i="1"/>
  <c r="F2392" i="1"/>
  <c r="H2392" i="1"/>
  <c r="E2393" i="1"/>
  <c r="F2393" i="1"/>
  <c r="H2393" i="1"/>
  <c r="E2394" i="1"/>
  <c r="F2394" i="1"/>
  <c r="H2394" i="1"/>
  <c r="E2395" i="1"/>
  <c r="F2395" i="1"/>
  <c r="H2395" i="1"/>
  <c r="E2396" i="1"/>
  <c r="F2396" i="1"/>
  <c r="H2396" i="1"/>
  <c r="E2397" i="1"/>
  <c r="F2397" i="1"/>
  <c r="H2397" i="1"/>
  <c r="E2398" i="1"/>
  <c r="F2398" i="1"/>
  <c r="H2398" i="1"/>
  <c r="E2399" i="1"/>
  <c r="F2399" i="1"/>
  <c r="H2399" i="1"/>
  <c r="E2400" i="1"/>
  <c r="F2400" i="1"/>
  <c r="H2400" i="1"/>
  <c r="E2401" i="1"/>
  <c r="F2401" i="1"/>
  <c r="H2401" i="1"/>
  <c r="E2402" i="1"/>
  <c r="F2402" i="1"/>
  <c r="H2402" i="1"/>
  <c r="E2403" i="1"/>
  <c r="F2403" i="1"/>
  <c r="H2403" i="1"/>
  <c r="E2404" i="1"/>
  <c r="F2404" i="1"/>
  <c r="H2404" i="1"/>
  <c r="E2405" i="1"/>
  <c r="F2405" i="1"/>
  <c r="H2405" i="1"/>
  <c r="E2406" i="1"/>
  <c r="F2406" i="1"/>
  <c r="H2406" i="1"/>
  <c r="E2407" i="1"/>
  <c r="F2407" i="1"/>
  <c r="H2407" i="1"/>
  <c r="E2408" i="1"/>
  <c r="F2408" i="1"/>
  <c r="H2408" i="1"/>
  <c r="E2409" i="1"/>
  <c r="F2409" i="1"/>
  <c r="H2409" i="1"/>
  <c r="E2410" i="1"/>
  <c r="F2410" i="1"/>
  <c r="H2410" i="1"/>
  <c r="E2411" i="1"/>
  <c r="F2411" i="1"/>
  <c r="H2411" i="1"/>
  <c r="E2412" i="1"/>
  <c r="F2412" i="1"/>
  <c r="H2412" i="1"/>
  <c r="E2413" i="1"/>
  <c r="F2413" i="1"/>
  <c r="H2413" i="1"/>
  <c r="E2414" i="1"/>
  <c r="F2414" i="1"/>
  <c r="H2414" i="1"/>
  <c r="E2415" i="1"/>
  <c r="F2415" i="1"/>
  <c r="H2415" i="1"/>
  <c r="E2416" i="1"/>
  <c r="F2416" i="1"/>
  <c r="H2416" i="1"/>
  <c r="E2417" i="1"/>
  <c r="F2417" i="1"/>
  <c r="H2417" i="1"/>
  <c r="E2418" i="1"/>
  <c r="F2418" i="1"/>
  <c r="H2418" i="1"/>
  <c r="E2419" i="1"/>
  <c r="F2419" i="1"/>
  <c r="H2419" i="1"/>
  <c r="E2420" i="1"/>
  <c r="F2420" i="1"/>
  <c r="H2420" i="1"/>
  <c r="E2421" i="1"/>
  <c r="F2421" i="1"/>
  <c r="H2421" i="1"/>
  <c r="E2422" i="1"/>
  <c r="F2422" i="1"/>
  <c r="H2422" i="1"/>
  <c r="E2423" i="1"/>
  <c r="F2423" i="1"/>
  <c r="H2423" i="1"/>
  <c r="E2424" i="1"/>
  <c r="F2424" i="1"/>
  <c r="H2424" i="1"/>
  <c r="E2425" i="1"/>
  <c r="F2425" i="1"/>
  <c r="H2425" i="1"/>
  <c r="E2426" i="1"/>
  <c r="F2426" i="1"/>
  <c r="H2426" i="1"/>
  <c r="E2427" i="1"/>
  <c r="F2427" i="1"/>
  <c r="H2427" i="1"/>
  <c r="E2428" i="1"/>
  <c r="F2428" i="1"/>
  <c r="H2428" i="1"/>
  <c r="E2429" i="1"/>
  <c r="F2429" i="1"/>
  <c r="H2429" i="1"/>
  <c r="E2430" i="1"/>
  <c r="F2430" i="1"/>
  <c r="H2430" i="1"/>
  <c r="E2431" i="1"/>
  <c r="F2431" i="1"/>
  <c r="H2431" i="1"/>
  <c r="E2432" i="1"/>
  <c r="F2432" i="1"/>
  <c r="H2432" i="1"/>
  <c r="E2433" i="1"/>
  <c r="F2433" i="1"/>
  <c r="H2433" i="1"/>
  <c r="E2434" i="1"/>
  <c r="F2434" i="1"/>
  <c r="H2434" i="1"/>
  <c r="E2435" i="1"/>
  <c r="F2435" i="1"/>
  <c r="H2435" i="1"/>
  <c r="E2436" i="1"/>
  <c r="F2436" i="1"/>
  <c r="H2436" i="1"/>
  <c r="E2437" i="1"/>
  <c r="F2437" i="1"/>
  <c r="H2437" i="1"/>
  <c r="E2438" i="1"/>
  <c r="F2438" i="1"/>
  <c r="H2438" i="1"/>
  <c r="E2439" i="1"/>
  <c r="F2439" i="1"/>
  <c r="H2439" i="1"/>
  <c r="E2440" i="1"/>
  <c r="F2440" i="1"/>
  <c r="H2440" i="1"/>
  <c r="E2441" i="1"/>
  <c r="F2441" i="1"/>
  <c r="H2441" i="1"/>
  <c r="E2442" i="1"/>
  <c r="F2442" i="1"/>
  <c r="H2442" i="1"/>
  <c r="E2443" i="1"/>
  <c r="F2443" i="1"/>
  <c r="H2443" i="1"/>
  <c r="E2444" i="1"/>
  <c r="F2444" i="1"/>
  <c r="H2444" i="1"/>
  <c r="E2445" i="1"/>
  <c r="F2445" i="1"/>
  <c r="H2445" i="1"/>
  <c r="E2446" i="1"/>
  <c r="F2446" i="1"/>
  <c r="H2446" i="1"/>
  <c r="E2447" i="1"/>
  <c r="F2447" i="1"/>
  <c r="H2447" i="1"/>
  <c r="E2448" i="1"/>
  <c r="F2448" i="1"/>
  <c r="H2448" i="1"/>
  <c r="E2449" i="1"/>
  <c r="F2449" i="1"/>
  <c r="H2449" i="1"/>
  <c r="E2450" i="1"/>
  <c r="F2450" i="1"/>
  <c r="H2450" i="1"/>
  <c r="E2451" i="1"/>
  <c r="F2451" i="1"/>
  <c r="H2451" i="1"/>
  <c r="E2452" i="1"/>
  <c r="F2452" i="1"/>
  <c r="H2452" i="1"/>
  <c r="E2453" i="1"/>
  <c r="F2453" i="1"/>
  <c r="H2453" i="1"/>
  <c r="E2454" i="1"/>
  <c r="F2454" i="1"/>
  <c r="H2454" i="1"/>
  <c r="E2455" i="1"/>
  <c r="F2455" i="1"/>
  <c r="H2455" i="1"/>
  <c r="E2456" i="1"/>
  <c r="F2456" i="1"/>
  <c r="H2456" i="1"/>
  <c r="E2457" i="1"/>
  <c r="F2457" i="1"/>
  <c r="H2457" i="1"/>
  <c r="E2458" i="1"/>
  <c r="F2458" i="1"/>
  <c r="H2458" i="1"/>
  <c r="E2459" i="1"/>
  <c r="F2459" i="1"/>
  <c r="H2459" i="1"/>
  <c r="E2460" i="1"/>
  <c r="F2460" i="1"/>
  <c r="H2460" i="1"/>
  <c r="E2461" i="1"/>
  <c r="F2461" i="1"/>
  <c r="H2461" i="1"/>
  <c r="E2462" i="1"/>
  <c r="F2462" i="1"/>
  <c r="H2462" i="1"/>
  <c r="E2463" i="1"/>
  <c r="F2463" i="1"/>
  <c r="H2463" i="1"/>
  <c r="E2464" i="1"/>
  <c r="F2464" i="1"/>
  <c r="H2464" i="1"/>
  <c r="E2465" i="1"/>
  <c r="F2465" i="1"/>
  <c r="H2465" i="1"/>
  <c r="E2466" i="1"/>
  <c r="F2466" i="1"/>
  <c r="H2466" i="1"/>
  <c r="E2467" i="1"/>
  <c r="F2467" i="1"/>
  <c r="H2467" i="1"/>
  <c r="E2468" i="1"/>
  <c r="F2468" i="1"/>
  <c r="H2468" i="1"/>
  <c r="E2469" i="1"/>
  <c r="F2469" i="1"/>
  <c r="H2469" i="1"/>
  <c r="E2470" i="1"/>
  <c r="F2470" i="1"/>
  <c r="H2470" i="1"/>
  <c r="E2471" i="1"/>
  <c r="F2471" i="1"/>
  <c r="H2471" i="1"/>
  <c r="E2472" i="1"/>
  <c r="F2472" i="1"/>
  <c r="H2472" i="1"/>
  <c r="E2473" i="1"/>
  <c r="F2473" i="1"/>
  <c r="H2473" i="1"/>
  <c r="E2474" i="1"/>
  <c r="F2474" i="1"/>
  <c r="H2474" i="1"/>
  <c r="E2475" i="1"/>
  <c r="F2475" i="1"/>
  <c r="H2475" i="1"/>
  <c r="E2476" i="1"/>
  <c r="F2476" i="1"/>
  <c r="H2476" i="1"/>
  <c r="E2477" i="1"/>
  <c r="F2477" i="1"/>
  <c r="H2477" i="1"/>
  <c r="E2478" i="1"/>
  <c r="F2478" i="1"/>
  <c r="H2478" i="1"/>
  <c r="E2479" i="1"/>
  <c r="F2479" i="1"/>
  <c r="H2479" i="1"/>
  <c r="E2480" i="1"/>
  <c r="F2480" i="1"/>
  <c r="H2480" i="1"/>
  <c r="E2481" i="1"/>
  <c r="F2481" i="1"/>
  <c r="H2481" i="1"/>
  <c r="E2482" i="1"/>
  <c r="F2482" i="1"/>
  <c r="H2482" i="1"/>
  <c r="E2483" i="1"/>
  <c r="F2483" i="1"/>
  <c r="H2483" i="1"/>
  <c r="E2484" i="1"/>
  <c r="F2484" i="1"/>
  <c r="H2484" i="1"/>
  <c r="E2485" i="1"/>
  <c r="F2485" i="1"/>
  <c r="H2485" i="1"/>
  <c r="E2486" i="1"/>
  <c r="F2486" i="1"/>
  <c r="H2486" i="1"/>
  <c r="E2487" i="1"/>
  <c r="F2487" i="1"/>
  <c r="H2487" i="1"/>
  <c r="E2488" i="1"/>
  <c r="F2488" i="1"/>
  <c r="H2488" i="1"/>
  <c r="E2489" i="1"/>
  <c r="F2489" i="1"/>
  <c r="H2489" i="1"/>
  <c r="E2490" i="1"/>
  <c r="F2490" i="1"/>
  <c r="H2490" i="1"/>
  <c r="E2491" i="1"/>
  <c r="F2491" i="1"/>
  <c r="H2491" i="1"/>
  <c r="E2492" i="1"/>
  <c r="F2492" i="1"/>
  <c r="H2492" i="1"/>
  <c r="E2493" i="1"/>
  <c r="F2493" i="1"/>
  <c r="H2493" i="1"/>
  <c r="E2494" i="1"/>
  <c r="F2494" i="1"/>
  <c r="H2494" i="1"/>
  <c r="E2495" i="1"/>
  <c r="F2495" i="1"/>
  <c r="H2495" i="1"/>
  <c r="E2496" i="1"/>
  <c r="F2496" i="1"/>
  <c r="H2496" i="1"/>
  <c r="E2497" i="1"/>
  <c r="F2497" i="1"/>
  <c r="H2497" i="1"/>
  <c r="E2498" i="1"/>
  <c r="F2498" i="1"/>
  <c r="H2498" i="1"/>
  <c r="E2499" i="1"/>
  <c r="F2499" i="1"/>
  <c r="H2499" i="1"/>
  <c r="E2500" i="1"/>
  <c r="F2500" i="1"/>
  <c r="H2500" i="1"/>
  <c r="E2501" i="1"/>
  <c r="F2501" i="1"/>
  <c r="H2501" i="1"/>
  <c r="E2502" i="1"/>
  <c r="F2502" i="1"/>
  <c r="H2502" i="1"/>
  <c r="E2503" i="1"/>
  <c r="F2503" i="1"/>
  <c r="H2503" i="1"/>
  <c r="E2504" i="1"/>
  <c r="F2504" i="1"/>
  <c r="H2504" i="1"/>
  <c r="E2505" i="1"/>
  <c r="F2505" i="1"/>
  <c r="H2505" i="1"/>
  <c r="E2506" i="1"/>
  <c r="F2506" i="1"/>
  <c r="H2506" i="1"/>
  <c r="E2507" i="1"/>
  <c r="F2507" i="1"/>
  <c r="H2507" i="1"/>
  <c r="E2508" i="1"/>
  <c r="F2508" i="1"/>
  <c r="H2508" i="1"/>
  <c r="E2509" i="1"/>
  <c r="F2509" i="1"/>
  <c r="H2509" i="1"/>
  <c r="E2510" i="1"/>
  <c r="F2510" i="1"/>
  <c r="H2510" i="1"/>
  <c r="E2511" i="1"/>
  <c r="F2511" i="1"/>
  <c r="H2511" i="1"/>
  <c r="E2512" i="1"/>
  <c r="F2512" i="1"/>
  <c r="H2512" i="1"/>
  <c r="E2513" i="1"/>
  <c r="F2513" i="1"/>
  <c r="H2513" i="1"/>
  <c r="E2514" i="1"/>
  <c r="F2514" i="1"/>
  <c r="H2514" i="1"/>
  <c r="E2515" i="1"/>
  <c r="F2515" i="1"/>
  <c r="H2515" i="1"/>
  <c r="E2516" i="1"/>
  <c r="F2516" i="1"/>
  <c r="H2516" i="1"/>
  <c r="E2517" i="1"/>
  <c r="F2517" i="1"/>
  <c r="H2517" i="1"/>
  <c r="E2518" i="1"/>
  <c r="F2518" i="1"/>
  <c r="H2518" i="1"/>
  <c r="E2519" i="1"/>
  <c r="F2519" i="1"/>
  <c r="H2519" i="1"/>
  <c r="E2520" i="1"/>
  <c r="F2520" i="1"/>
  <c r="H2520" i="1"/>
  <c r="E2521" i="1"/>
  <c r="F2521" i="1"/>
  <c r="H2521" i="1"/>
  <c r="E2522" i="1"/>
  <c r="F2522" i="1"/>
  <c r="H2522" i="1"/>
  <c r="E2523" i="1"/>
  <c r="F2523" i="1"/>
  <c r="H2523" i="1"/>
  <c r="E2524" i="1"/>
  <c r="F2524" i="1"/>
  <c r="H2524" i="1"/>
  <c r="E2525" i="1"/>
  <c r="F2525" i="1"/>
  <c r="H2525" i="1"/>
  <c r="E2526" i="1"/>
  <c r="F2526" i="1"/>
  <c r="H2526" i="1"/>
  <c r="E2527" i="1"/>
  <c r="F2527" i="1"/>
  <c r="H2527" i="1"/>
  <c r="E2528" i="1"/>
  <c r="F2528" i="1"/>
  <c r="H2528" i="1"/>
  <c r="E2529" i="1"/>
  <c r="F2529" i="1"/>
  <c r="H2529" i="1"/>
  <c r="E2530" i="1"/>
  <c r="F2530" i="1"/>
  <c r="H2530" i="1"/>
  <c r="E2531" i="1"/>
  <c r="F2531" i="1"/>
  <c r="H2531" i="1"/>
  <c r="E2532" i="1"/>
  <c r="F2532" i="1"/>
  <c r="H2532" i="1"/>
  <c r="E2533" i="1"/>
  <c r="F2533" i="1"/>
  <c r="H2533" i="1"/>
  <c r="E2534" i="1"/>
  <c r="F2534" i="1"/>
  <c r="H2534" i="1"/>
  <c r="E2535" i="1"/>
  <c r="F2535" i="1"/>
  <c r="H2535" i="1"/>
  <c r="E2536" i="1"/>
  <c r="F2536" i="1"/>
  <c r="H2536" i="1"/>
  <c r="E2537" i="1"/>
  <c r="F2537" i="1"/>
  <c r="H2537" i="1"/>
  <c r="E2538" i="1"/>
  <c r="F2538" i="1"/>
  <c r="H2538" i="1"/>
  <c r="E2539" i="1"/>
  <c r="F2539" i="1"/>
  <c r="H2539" i="1"/>
  <c r="E2540" i="1"/>
  <c r="F2540" i="1"/>
  <c r="H2540" i="1"/>
  <c r="E2541" i="1"/>
  <c r="F2541" i="1"/>
  <c r="H2541" i="1"/>
  <c r="E2542" i="1"/>
  <c r="F2542" i="1"/>
  <c r="H2542" i="1"/>
  <c r="E2543" i="1"/>
  <c r="F2543" i="1"/>
  <c r="H2543" i="1"/>
  <c r="E2544" i="1"/>
  <c r="F2544" i="1"/>
  <c r="H2544" i="1"/>
  <c r="E2545" i="1"/>
  <c r="F2545" i="1"/>
  <c r="H2545" i="1"/>
  <c r="E2546" i="1"/>
  <c r="F2546" i="1"/>
  <c r="H2546" i="1"/>
  <c r="E2547" i="1"/>
  <c r="F2547" i="1"/>
  <c r="H2547" i="1"/>
  <c r="E2548" i="1"/>
  <c r="F2548" i="1"/>
  <c r="H2548" i="1"/>
  <c r="E2549" i="1"/>
  <c r="F2549" i="1"/>
  <c r="H2549" i="1"/>
  <c r="E2550" i="1"/>
  <c r="F2550" i="1"/>
  <c r="H2550" i="1"/>
  <c r="E2551" i="1"/>
  <c r="F2551" i="1"/>
  <c r="H2551" i="1"/>
  <c r="E2552" i="1"/>
  <c r="F2552" i="1"/>
  <c r="H2552" i="1"/>
  <c r="E2553" i="1"/>
  <c r="F2553" i="1"/>
  <c r="H2553" i="1"/>
  <c r="E2554" i="1"/>
  <c r="F2554" i="1"/>
  <c r="H2554" i="1"/>
  <c r="E2555" i="1"/>
  <c r="F2555" i="1"/>
  <c r="H2555" i="1"/>
  <c r="E2556" i="1"/>
  <c r="F2556" i="1"/>
  <c r="H2556" i="1"/>
  <c r="E2557" i="1"/>
  <c r="F2557" i="1"/>
  <c r="H2557" i="1"/>
  <c r="E2558" i="1"/>
  <c r="F2558" i="1"/>
  <c r="H2558" i="1"/>
  <c r="E2559" i="1"/>
  <c r="F2559" i="1"/>
  <c r="H2559" i="1"/>
  <c r="E2560" i="1"/>
  <c r="F2560" i="1"/>
  <c r="H2560" i="1"/>
  <c r="E2561" i="1"/>
  <c r="F2561" i="1"/>
  <c r="H2561" i="1"/>
  <c r="E2562" i="1"/>
  <c r="F2562" i="1"/>
  <c r="H2562" i="1"/>
  <c r="E2563" i="1"/>
  <c r="F2563" i="1"/>
  <c r="H2563" i="1"/>
  <c r="E2564" i="1"/>
  <c r="F2564" i="1"/>
  <c r="H2564" i="1"/>
  <c r="E2565" i="1"/>
  <c r="F2565" i="1"/>
  <c r="H2565" i="1"/>
  <c r="E2566" i="1"/>
  <c r="F2566" i="1"/>
  <c r="H2566" i="1"/>
  <c r="E2567" i="1"/>
  <c r="F2567" i="1"/>
  <c r="H2567" i="1"/>
  <c r="E2568" i="1"/>
  <c r="F2568" i="1"/>
  <c r="H2568" i="1"/>
  <c r="E2569" i="1"/>
  <c r="F2569" i="1"/>
  <c r="H2569" i="1"/>
  <c r="E2570" i="1"/>
  <c r="F2570" i="1"/>
  <c r="H2570" i="1"/>
  <c r="E2571" i="1"/>
  <c r="F2571" i="1"/>
  <c r="H2571" i="1"/>
  <c r="E2572" i="1"/>
  <c r="F2572" i="1"/>
  <c r="H2572" i="1"/>
  <c r="E2573" i="1"/>
  <c r="F2573" i="1"/>
  <c r="H2573" i="1"/>
  <c r="E2574" i="1"/>
  <c r="F2574" i="1"/>
  <c r="H2574" i="1"/>
  <c r="E2575" i="1"/>
  <c r="F2575" i="1"/>
  <c r="H2575" i="1"/>
  <c r="E2576" i="1"/>
  <c r="F2576" i="1"/>
  <c r="H2576" i="1"/>
  <c r="E2577" i="1"/>
  <c r="F2577" i="1"/>
  <c r="H2577" i="1"/>
  <c r="E2578" i="1"/>
  <c r="F2578" i="1"/>
  <c r="H2578" i="1"/>
  <c r="E2579" i="1"/>
  <c r="F2579" i="1"/>
  <c r="H2579" i="1"/>
  <c r="E2580" i="1"/>
  <c r="F2580" i="1"/>
  <c r="H2580" i="1"/>
  <c r="E2581" i="1"/>
  <c r="F2581" i="1"/>
  <c r="H2581" i="1"/>
  <c r="E2582" i="1"/>
  <c r="F2582" i="1"/>
  <c r="H2582" i="1"/>
  <c r="E2583" i="1"/>
  <c r="F2583" i="1"/>
  <c r="H2583" i="1"/>
  <c r="E2584" i="1"/>
  <c r="F2584" i="1"/>
  <c r="H2584" i="1"/>
  <c r="E2585" i="1"/>
  <c r="F2585" i="1"/>
  <c r="H2585" i="1"/>
  <c r="E2586" i="1"/>
  <c r="F2586" i="1"/>
  <c r="H2586" i="1"/>
  <c r="E2587" i="1"/>
  <c r="F2587" i="1"/>
  <c r="H2587" i="1"/>
  <c r="E2588" i="1"/>
  <c r="F2588" i="1"/>
  <c r="H2588" i="1"/>
  <c r="E2589" i="1"/>
  <c r="F2589" i="1"/>
  <c r="H2589" i="1"/>
  <c r="E2590" i="1"/>
  <c r="F2590" i="1"/>
  <c r="H2590" i="1"/>
  <c r="E2591" i="1"/>
  <c r="F2591" i="1"/>
  <c r="H2591" i="1"/>
  <c r="E2592" i="1"/>
  <c r="F2592" i="1"/>
  <c r="H2592" i="1"/>
  <c r="E2593" i="1"/>
  <c r="F2593" i="1"/>
  <c r="H2593" i="1"/>
  <c r="E2594" i="1"/>
  <c r="F2594" i="1"/>
  <c r="H2594" i="1"/>
  <c r="E2595" i="1"/>
  <c r="F2595" i="1"/>
  <c r="H2595" i="1"/>
  <c r="E2596" i="1"/>
  <c r="F2596" i="1"/>
  <c r="H2596" i="1"/>
  <c r="E2597" i="1"/>
  <c r="F2597" i="1"/>
  <c r="H2597" i="1"/>
  <c r="E2598" i="1"/>
  <c r="F2598" i="1"/>
  <c r="H2598" i="1"/>
  <c r="E2599" i="1"/>
  <c r="F2599" i="1"/>
  <c r="H2599" i="1"/>
  <c r="E2600" i="1"/>
  <c r="F2600" i="1"/>
  <c r="H2600" i="1"/>
  <c r="E2601" i="1"/>
  <c r="F2601" i="1"/>
  <c r="H2601" i="1"/>
  <c r="E2602" i="1"/>
  <c r="F2602" i="1"/>
  <c r="H2602" i="1"/>
  <c r="E2603" i="1"/>
  <c r="F2603" i="1"/>
  <c r="H2603" i="1"/>
  <c r="E2604" i="1"/>
  <c r="F2604" i="1"/>
  <c r="H2604" i="1"/>
  <c r="E2605" i="1"/>
  <c r="F2605" i="1"/>
  <c r="H2605" i="1"/>
  <c r="E2606" i="1"/>
  <c r="F2606" i="1"/>
  <c r="H2606" i="1"/>
  <c r="E2607" i="1"/>
  <c r="F2607" i="1"/>
  <c r="H2607" i="1"/>
  <c r="E2608" i="1"/>
  <c r="F2608" i="1"/>
  <c r="H2608" i="1"/>
  <c r="E2609" i="1"/>
  <c r="F2609" i="1"/>
  <c r="H2609" i="1"/>
  <c r="E2610" i="1"/>
  <c r="F2610" i="1"/>
  <c r="H2610" i="1"/>
  <c r="E2611" i="1"/>
  <c r="F2611" i="1"/>
  <c r="H2611" i="1"/>
  <c r="E2612" i="1"/>
  <c r="F2612" i="1"/>
  <c r="H2612" i="1"/>
  <c r="E2613" i="1"/>
  <c r="F2613" i="1"/>
  <c r="H2613" i="1"/>
  <c r="E2614" i="1"/>
  <c r="F2614" i="1"/>
  <c r="H2614" i="1"/>
  <c r="E2615" i="1"/>
  <c r="F2615" i="1"/>
  <c r="H2615" i="1"/>
  <c r="E2616" i="1"/>
  <c r="F2616" i="1"/>
  <c r="H2616" i="1"/>
  <c r="E2617" i="1"/>
  <c r="F2617" i="1"/>
  <c r="H2617" i="1"/>
  <c r="E2618" i="1"/>
  <c r="F2618" i="1"/>
  <c r="H2618" i="1"/>
  <c r="E2619" i="1"/>
  <c r="F2619" i="1"/>
  <c r="H2619" i="1"/>
  <c r="E2620" i="1"/>
  <c r="F2620" i="1"/>
  <c r="H2620" i="1"/>
  <c r="E2621" i="1"/>
  <c r="F2621" i="1"/>
  <c r="H2621" i="1"/>
  <c r="E2622" i="1"/>
  <c r="F2622" i="1"/>
  <c r="H2622" i="1"/>
  <c r="E2623" i="1"/>
  <c r="F2623" i="1"/>
  <c r="H2623" i="1"/>
  <c r="E2624" i="1"/>
  <c r="F2624" i="1"/>
  <c r="H2624" i="1"/>
  <c r="E2625" i="1"/>
  <c r="F2625" i="1"/>
  <c r="H2625" i="1"/>
  <c r="E2626" i="1"/>
  <c r="F2626" i="1"/>
  <c r="H2626" i="1"/>
  <c r="E2627" i="1"/>
  <c r="F2627" i="1"/>
  <c r="H2627" i="1"/>
  <c r="E2628" i="1"/>
  <c r="F2628" i="1"/>
  <c r="H2628" i="1"/>
  <c r="E2629" i="1"/>
  <c r="F2629" i="1"/>
  <c r="H2629" i="1"/>
  <c r="E2630" i="1"/>
  <c r="F2630" i="1"/>
  <c r="H2630" i="1"/>
  <c r="E2631" i="1"/>
  <c r="F2631" i="1"/>
  <c r="H2631" i="1"/>
  <c r="E2632" i="1"/>
  <c r="F2632" i="1"/>
  <c r="H2632" i="1"/>
  <c r="E2633" i="1"/>
  <c r="F2633" i="1"/>
  <c r="H2633" i="1"/>
  <c r="E2634" i="1"/>
  <c r="F2634" i="1"/>
  <c r="H2634" i="1"/>
  <c r="E2635" i="1"/>
  <c r="F2635" i="1"/>
  <c r="H2635" i="1"/>
  <c r="E2636" i="1"/>
  <c r="F2636" i="1"/>
  <c r="H2636" i="1"/>
  <c r="E2637" i="1"/>
  <c r="F2637" i="1"/>
  <c r="H2637" i="1"/>
  <c r="E2638" i="1"/>
  <c r="F2638" i="1"/>
  <c r="H2638" i="1"/>
  <c r="E2639" i="1"/>
  <c r="F2639" i="1"/>
  <c r="H2639" i="1"/>
  <c r="E2640" i="1"/>
  <c r="F2640" i="1"/>
  <c r="H2640" i="1"/>
  <c r="E2641" i="1"/>
  <c r="F2641" i="1"/>
  <c r="H2641" i="1"/>
  <c r="E2642" i="1"/>
  <c r="F2642" i="1"/>
  <c r="H2642" i="1"/>
  <c r="E2643" i="1"/>
  <c r="F2643" i="1"/>
  <c r="H2643" i="1"/>
  <c r="E2644" i="1"/>
  <c r="F2644" i="1"/>
  <c r="H2644" i="1"/>
  <c r="E2645" i="1"/>
  <c r="F2645" i="1"/>
  <c r="H2645" i="1"/>
  <c r="E2646" i="1"/>
  <c r="F2646" i="1"/>
  <c r="H2646" i="1"/>
  <c r="E2647" i="1"/>
  <c r="F2647" i="1"/>
  <c r="H2647" i="1"/>
  <c r="E2648" i="1"/>
  <c r="F2648" i="1"/>
  <c r="H2648" i="1"/>
  <c r="E2649" i="1"/>
  <c r="F2649" i="1"/>
  <c r="H2649" i="1"/>
  <c r="E2650" i="1"/>
  <c r="F2650" i="1"/>
  <c r="H2650" i="1"/>
  <c r="E2651" i="1"/>
  <c r="F2651" i="1"/>
  <c r="H2651" i="1"/>
  <c r="E2652" i="1"/>
  <c r="F2652" i="1"/>
  <c r="H2652" i="1"/>
  <c r="E2653" i="1"/>
  <c r="F2653" i="1"/>
  <c r="H2653" i="1"/>
  <c r="E2654" i="1"/>
  <c r="F2654" i="1"/>
  <c r="H2654" i="1"/>
  <c r="E2655" i="1"/>
  <c r="F2655" i="1"/>
  <c r="H2655" i="1"/>
  <c r="E2656" i="1"/>
  <c r="F2656" i="1"/>
  <c r="H2656" i="1"/>
  <c r="E2657" i="1"/>
  <c r="F2657" i="1"/>
  <c r="H2657" i="1"/>
  <c r="E2658" i="1"/>
  <c r="F2658" i="1"/>
  <c r="H2658" i="1"/>
  <c r="E2659" i="1"/>
  <c r="F2659" i="1"/>
  <c r="H2659" i="1"/>
  <c r="E2660" i="1"/>
  <c r="F2660" i="1"/>
  <c r="H2660" i="1"/>
  <c r="E2661" i="1"/>
  <c r="F2661" i="1"/>
  <c r="H2661" i="1"/>
  <c r="E2662" i="1"/>
  <c r="F2662" i="1"/>
  <c r="H2662" i="1"/>
  <c r="E2663" i="1"/>
  <c r="F2663" i="1"/>
  <c r="H2663" i="1"/>
  <c r="E2664" i="1"/>
  <c r="F2664" i="1"/>
  <c r="H2664" i="1"/>
  <c r="E2665" i="1"/>
  <c r="F2665" i="1"/>
  <c r="H2665" i="1"/>
  <c r="E2666" i="1"/>
  <c r="F2666" i="1"/>
  <c r="H2666" i="1"/>
  <c r="E2667" i="1"/>
  <c r="F2667" i="1"/>
  <c r="H2667" i="1"/>
  <c r="E2668" i="1"/>
  <c r="F2668" i="1"/>
  <c r="H2668" i="1"/>
  <c r="E2669" i="1"/>
  <c r="F2669" i="1"/>
  <c r="H2669" i="1"/>
  <c r="E2670" i="1"/>
  <c r="F2670" i="1"/>
  <c r="H2670" i="1"/>
  <c r="E2671" i="1"/>
  <c r="F2671" i="1"/>
  <c r="H2671" i="1"/>
  <c r="E2672" i="1"/>
  <c r="F2672" i="1"/>
  <c r="H2672" i="1"/>
  <c r="E2673" i="1"/>
  <c r="F2673" i="1"/>
  <c r="H2673" i="1"/>
  <c r="E2674" i="1"/>
  <c r="F2674" i="1"/>
  <c r="H2674" i="1"/>
  <c r="E2675" i="1"/>
  <c r="F2675" i="1"/>
  <c r="H2675" i="1"/>
  <c r="E2676" i="1"/>
  <c r="F2676" i="1"/>
  <c r="H2676" i="1"/>
  <c r="E2677" i="1"/>
  <c r="F2677" i="1"/>
  <c r="H2677" i="1"/>
  <c r="E2678" i="1"/>
  <c r="F2678" i="1"/>
  <c r="H2678" i="1"/>
  <c r="E2679" i="1"/>
  <c r="F2679" i="1"/>
  <c r="H2679" i="1"/>
  <c r="E2680" i="1"/>
  <c r="F2680" i="1"/>
  <c r="H2680" i="1"/>
  <c r="E2681" i="1"/>
  <c r="F2681" i="1"/>
  <c r="H2681" i="1"/>
  <c r="E2682" i="1"/>
  <c r="F2682" i="1"/>
  <c r="H2682" i="1"/>
  <c r="E2683" i="1"/>
  <c r="F2683" i="1"/>
  <c r="H2683" i="1"/>
  <c r="E2684" i="1"/>
  <c r="F2684" i="1"/>
  <c r="H2684" i="1"/>
  <c r="E2685" i="1"/>
  <c r="F2685" i="1"/>
  <c r="H2685" i="1"/>
  <c r="E2686" i="1"/>
  <c r="F2686" i="1"/>
  <c r="H2686" i="1"/>
  <c r="E2687" i="1"/>
  <c r="F2687" i="1"/>
  <c r="H2687" i="1"/>
  <c r="E2688" i="1"/>
  <c r="F2688" i="1"/>
  <c r="H2688" i="1"/>
  <c r="E2689" i="1"/>
  <c r="F2689" i="1"/>
  <c r="H2689" i="1"/>
  <c r="E2690" i="1"/>
  <c r="F2690" i="1"/>
  <c r="H2690" i="1"/>
  <c r="E2691" i="1"/>
  <c r="F2691" i="1"/>
  <c r="H2691" i="1"/>
  <c r="E2692" i="1"/>
  <c r="F2692" i="1"/>
  <c r="H2692" i="1"/>
  <c r="E2693" i="1"/>
  <c r="F2693" i="1"/>
  <c r="H2693" i="1"/>
  <c r="E2694" i="1"/>
  <c r="F2694" i="1"/>
  <c r="H2694" i="1"/>
  <c r="E2695" i="1"/>
  <c r="F2695" i="1"/>
  <c r="H2695" i="1"/>
  <c r="E2696" i="1"/>
  <c r="F2696" i="1"/>
  <c r="H2696" i="1"/>
  <c r="E2697" i="1"/>
  <c r="F2697" i="1"/>
  <c r="H2697" i="1"/>
  <c r="E2698" i="1"/>
  <c r="F2698" i="1"/>
  <c r="H2698" i="1"/>
  <c r="E2699" i="1"/>
  <c r="F2699" i="1"/>
  <c r="H2699" i="1"/>
  <c r="E2700" i="1"/>
  <c r="F2700" i="1"/>
  <c r="H2700" i="1"/>
  <c r="E2701" i="1"/>
  <c r="F2701" i="1"/>
  <c r="H2701" i="1"/>
  <c r="E2702" i="1"/>
  <c r="F2702" i="1"/>
  <c r="H2702" i="1"/>
  <c r="E2703" i="1"/>
  <c r="F2703" i="1"/>
  <c r="H2703" i="1"/>
  <c r="E2704" i="1"/>
  <c r="F2704" i="1"/>
  <c r="H2704" i="1"/>
  <c r="E2705" i="1"/>
  <c r="F2705" i="1"/>
  <c r="H2705" i="1"/>
  <c r="E2706" i="1"/>
  <c r="F2706" i="1"/>
  <c r="H2706" i="1"/>
  <c r="E2707" i="1"/>
  <c r="F2707" i="1"/>
  <c r="H2707" i="1"/>
  <c r="E2708" i="1"/>
  <c r="F2708" i="1"/>
  <c r="H2708" i="1"/>
  <c r="E2709" i="1"/>
  <c r="F2709" i="1"/>
  <c r="H2709" i="1"/>
  <c r="E2710" i="1"/>
  <c r="F2710" i="1"/>
  <c r="H2710" i="1"/>
  <c r="E2711" i="1"/>
  <c r="F2711" i="1"/>
  <c r="H2711" i="1"/>
  <c r="E2712" i="1"/>
  <c r="F2712" i="1"/>
  <c r="H2712" i="1"/>
  <c r="E2713" i="1"/>
  <c r="F2713" i="1"/>
  <c r="H2713" i="1"/>
  <c r="E2714" i="1"/>
  <c r="F2714" i="1"/>
  <c r="H2714" i="1"/>
  <c r="E2715" i="1"/>
  <c r="F2715" i="1"/>
  <c r="H2715" i="1"/>
  <c r="E2716" i="1"/>
  <c r="F2716" i="1"/>
  <c r="H2716" i="1"/>
  <c r="E2717" i="1"/>
  <c r="F2717" i="1"/>
  <c r="H2717" i="1"/>
  <c r="E2718" i="1"/>
  <c r="F2718" i="1"/>
  <c r="H2718" i="1"/>
  <c r="E2719" i="1"/>
  <c r="F2719" i="1"/>
  <c r="H2719" i="1"/>
  <c r="E2720" i="1"/>
  <c r="F2720" i="1"/>
  <c r="H2720" i="1"/>
  <c r="E2721" i="1"/>
  <c r="F2721" i="1"/>
  <c r="H2721" i="1"/>
  <c r="E2722" i="1"/>
  <c r="F2722" i="1"/>
  <c r="H2722" i="1"/>
  <c r="E2723" i="1"/>
  <c r="F2723" i="1"/>
  <c r="H2723" i="1"/>
  <c r="E2724" i="1"/>
  <c r="F2724" i="1"/>
  <c r="H2724" i="1"/>
  <c r="E2725" i="1"/>
  <c r="F2725" i="1"/>
  <c r="H2725" i="1"/>
  <c r="E2726" i="1"/>
  <c r="F2726" i="1"/>
  <c r="H2726" i="1"/>
  <c r="E2727" i="1"/>
  <c r="F2727" i="1"/>
  <c r="H2727" i="1"/>
  <c r="E2728" i="1"/>
  <c r="F2728" i="1"/>
  <c r="H2728" i="1"/>
  <c r="E2729" i="1"/>
  <c r="F2729" i="1"/>
  <c r="H2729" i="1"/>
  <c r="E2730" i="1"/>
  <c r="F2730" i="1"/>
  <c r="H2730" i="1"/>
  <c r="E2731" i="1"/>
  <c r="F2731" i="1"/>
  <c r="H2731" i="1"/>
  <c r="E2732" i="1"/>
  <c r="F2732" i="1"/>
  <c r="H2732" i="1"/>
  <c r="E2733" i="1"/>
  <c r="F2733" i="1"/>
  <c r="H2733" i="1"/>
  <c r="E2734" i="1"/>
  <c r="F2734" i="1"/>
  <c r="H2734" i="1"/>
  <c r="E2735" i="1"/>
  <c r="F2735" i="1"/>
  <c r="H2735" i="1"/>
  <c r="E2736" i="1"/>
  <c r="F2736" i="1"/>
  <c r="H2736" i="1"/>
  <c r="E2737" i="1"/>
  <c r="F2737" i="1"/>
  <c r="H2737" i="1"/>
  <c r="E2738" i="1"/>
  <c r="F2738" i="1"/>
  <c r="H2738" i="1"/>
  <c r="E2739" i="1"/>
  <c r="F2739" i="1"/>
  <c r="H2739" i="1"/>
  <c r="E2740" i="1"/>
  <c r="F2740" i="1"/>
  <c r="H2740" i="1"/>
  <c r="E2741" i="1"/>
  <c r="F2741" i="1"/>
  <c r="H2741" i="1"/>
  <c r="E2742" i="1"/>
  <c r="F2742" i="1"/>
  <c r="H2742" i="1"/>
  <c r="E2743" i="1"/>
  <c r="F2743" i="1"/>
  <c r="H2743" i="1"/>
  <c r="E2744" i="1"/>
  <c r="F2744" i="1"/>
  <c r="H2744" i="1"/>
  <c r="E2745" i="1"/>
  <c r="F2745" i="1"/>
  <c r="H2745" i="1"/>
  <c r="E2746" i="1"/>
  <c r="F2746" i="1"/>
  <c r="H2746" i="1"/>
  <c r="E2747" i="1"/>
  <c r="F2747" i="1"/>
  <c r="H2747" i="1"/>
  <c r="E2748" i="1"/>
  <c r="F2748" i="1"/>
  <c r="H2748" i="1"/>
  <c r="E2749" i="1"/>
  <c r="F2749" i="1"/>
  <c r="H2749" i="1"/>
  <c r="E2750" i="1"/>
  <c r="F2750" i="1"/>
  <c r="H2750" i="1"/>
  <c r="E2751" i="1"/>
  <c r="F2751" i="1"/>
  <c r="H2751" i="1"/>
  <c r="E2752" i="1"/>
  <c r="F2752" i="1"/>
  <c r="H2752" i="1"/>
  <c r="E2753" i="1"/>
  <c r="F2753" i="1"/>
  <c r="H2753" i="1"/>
  <c r="E2754" i="1"/>
  <c r="F2754" i="1"/>
  <c r="H2754" i="1"/>
  <c r="E2755" i="1"/>
  <c r="F2755" i="1"/>
  <c r="H2755" i="1"/>
  <c r="E2756" i="1"/>
  <c r="F2756" i="1"/>
  <c r="H2756" i="1"/>
  <c r="E2757" i="1"/>
  <c r="F2757" i="1"/>
  <c r="H2757" i="1"/>
  <c r="E2758" i="1"/>
  <c r="F2758" i="1"/>
  <c r="H2758" i="1"/>
  <c r="E2759" i="1"/>
  <c r="F2759" i="1"/>
  <c r="H2759" i="1"/>
  <c r="E2760" i="1"/>
  <c r="F2760" i="1"/>
  <c r="H2760" i="1"/>
  <c r="E2761" i="1"/>
  <c r="F2761" i="1"/>
  <c r="H2761" i="1"/>
  <c r="E2762" i="1"/>
  <c r="F2762" i="1"/>
  <c r="H2762" i="1"/>
  <c r="E2763" i="1"/>
  <c r="F2763" i="1"/>
  <c r="H2763" i="1"/>
  <c r="E2764" i="1"/>
  <c r="F2764" i="1"/>
  <c r="H2764" i="1"/>
  <c r="E2765" i="1"/>
  <c r="F2765" i="1"/>
  <c r="H2765" i="1"/>
  <c r="E2766" i="1"/>
  <c r="F2766" i="1"/>
  <c r="H2766" i="1"/>
  <c r="E2767" i="1"/>
  <c r="F2767" i="1"/>
  <c r="H2767" i="1"/>
  <c r="E2768" i="1"/>
  <c r="F2768" i="1"/>
  <c r="H2768" i="1"/>
  <c r="E2769" i="1"/>
  <c r="F2769" i="1"/>
  <c r="H2769" i="1"/>
  <c r="E2770" i="1"/>
  <c r="F2770" i="1"/>
  <c r="H2770" i="1"/>
  <c r="E2771" i="1"/>
  <c r="F2771" i="1"/>
  <c r="H2771" i="1"/>
  <c r="E2772" i="1"/>
  <c r="F2772" i="1"/>
  <c r="H2772" i="1"/>
  <c r="E2773" i="1"/>
  <c r="F2773" i="1"/>
  <c r="H2773" i="1"/>
  <c r="E2774" i="1"/>
  <c r="F2774" i="1"/>
  <c r="H2774" i="1"/>
</calcChain>
</file>

<file path=xl/sharedStrings.xml><?xml version="1.0" encoding="utf-8"?>
<sst xmlns="http://schemas.openxmlformats.org/spreadsheetml/2006/main" count="586" uniqueCount="463">
  <si>
    <t>Name</t>
  </si>
  <si>
    <t>Check #</t>
  </si>
  <si>
    <t>Check Amount</t>
  </si>
  <si>
    <t>Check Date</t>
  </si>
  <si>
    <t>Invoice ID</t>
  </si>
  <si>
    <t>Invoice Desc</t>
  </si>
  <si>
    <t>Invoice Payment</t>
  </si>
  <si>
    <t>GL Description</t>
  </si>
  <si>
    <t>CHRISTINA CANNON</t>
  </si>
  <si>
    <t>304 CONSTRUCTION LLC</t>
  </si>
  <si>
    <t>WILLIAM E. SUMNER</t>
  </si>
  <si>
    <t>973 MATERIALS  LLC</t>
  </si>
  <si>
    <t>A PLUS BAIL BONDS</t>
  </si>
  <si>
    <t>ARNOLD OIL COMPANY OF AUSTIN LP</t>
  </si>
  <si>
    <t>AAA FIRE &amp; SAFETY EQUIP CO.  INC.</t>
  </si>
  <si>
    <t>ACADIAN AMBULANCE SERVICE INC</t>
  </si>
  <si>
    <t>ADAM DAKOTA ROWINS</t>
  </si>
  <si>
    <t>ADENA LEWIS</t>
  </si>
  <si>
    <t>ALAMO  GROUP (TX)  INC</t>
  </si>
  <si>
    <t>ALBERT NEAL PFEIFFER</t>
  </si>
  <si>
    <t>ALEJANDRO RODRIGUEZ</t>
  </si>
  <si>
    <t>ADVANCED LAW ENFORCEMENT READINESS TRAINING</t>
  </si>
  <si>
    <t>ALEXANDER YOUNG</t>
  </si>
  <si>
    <t>TIMOTHY HALL</t>
  </si>
  <si>
    <t>AMANDA MICKELSON</t>
  </si>
  <si>
    <t>AMAZON CAPITAL SERVICES INC</t>
  </si>
  <si>
    <t>AMERICAN ASSN OF NOTARIES</t>
  </si>
  <si>
    <t>AMERICAN FASTENERS  INC.</t>
  </si>
  <si>
    <t>AMERICAN TIRE DISTRIBUTORS INC</t>
  </si>
  <si>
    <t>AMERISOURCEBERGEN</t>
  </si>
  <si>
    <t>AMG PRINTING &amp; MAILING  LLC</t>
  </si>
  <si>
    <t>ANA WEHR</t>
  </si>
  <si>
    <t>ANDERSON &amp; ANDERSON LAW FIRM PC</t>
  </si>
  <si>
    <t>C APPLEMAN ENT INC</t>
  </si>
  <si>
    <t>APPRISS INC</t>
  </si>
  <si>
    <t>AQUA BEVERAGE COMPANY/OZARKA</t>
  </si>
  <si>
    <t>AQUA WATER SUPPLY CORPORATION</t>
  </si>
  <si>
    <t>ARA / ST.DAVID'S IMAGING  LP</t>
  </si>
  <si>
    <t>ARSENAL ADVERTISING LLC</t>
  </si>
  <si>
    <t>AT&amp;T</t>
  </si>
  <si>
    <t>AT&amp;T MOBILITY</t>
  </si>
  <si>
    <t>BUTLER &amp; BURNS EAR NOSE &amp; THROAT ASSO</t>
  </si>
  <si>
    <t>PTL LAWN &amp; CLEANING SERVICE  INC</t>
  </si>
  <si>
    <t>AUSTIN RADIOLOGICAL ASSOC</t>
  </si>
  <si>
    <t>AUTUMN J SMITH</t>
  </si>
  <si>
    <t>MICHAEL OLDHAM TIRE INC</t>
  </si>
  <si>
    <t>EDUARDO BARRIENTOS</t>
  </si>
  <si>
    <t>BASTROP CENTRAL APPRAISAL DIST.</t>
  </si>
  <si>
    <t>BASTROP CNTY JUV BOOT CAMP FUND</t>
  </si>
  <si>
    <t>BASTROP COUNTY SHERIFF'S DEPT</t>
  </si>
  <si>
    <t>BASTROP COUNTY CARES</t>
  </si>
  <si>
    <t>BASTROP COUNTY FIRST RESPONDERS  INC.</t>
  </si>
  <si>
    <t>BASTROP COUNTY PROBATION DEPT</t>
  </si>
  <si>
    <t>BASTROP MEDICAL CLINIC</t>
  </si>
  <si>
    <t>BASTROP PROVIDENCE  LLC</t>
  </si>
  <si>
    <t>BASTROP VETERINARY HOSPITAL  INC.</t>
  </si>
  <si>
    <t>BAYER CORPORATION</t>
  </si>
  <si>
    <t>DAVID H OUTON</t>
  </si>
  <si>
    <t>BEN E KEITH CO.</t>
  </si>
  <si>
    <t>MULTI SERVICE TECHNOLOGY SOLUTIONS  INC.</t>
  </si>
  <si>
    <t>B C FOOD GROUP  LLC</t>
  </si>
  <si>
    <t>BIG WRENCH ROAD SERVICE INC</t>
  </si>
  <si>
    <t>MAURINE MC LEAN</t>
  </si>
  <si>
    <t>BIMBO FOODS INC</t>
  </si>
  <si>
    <t>BINSWANGER GLASS CO.</t>
  </si>
  <si>
    <t>BLAS J. COY  JR.</t>
  </si>
  <si>
    <t>BLUE 360 MEDIA  LLC</t>
  </si>
  <si>
    <t>BLUEBONNET AREA CRIME STOPPERS PROGRAM</t>
  </si>
  <si>
    <t>BLUEBONNET ELECTRIC COOPERATIVE  INC.</t>
  </si>
  <si>
    <t>BLUEBONNET TRAILS MHMR</t>
  </si>
  <si>
    <t>BOBBY BROWN</t>
  </si>
  <si>
    <t>BOEHM TRACTOR SALES INC</t>
  </si>
  <si>
    <t>BOSQUE COUNTY SHERIFF</t>
  </si>
  <si>
    <t>BRAUNTEX MATERIALS INC</t>
  </si>
  <si>
    <t>BRAZORIA COUNTY SHERIFF</t>
  </si>
  <si>
    <t>LAW OFFICE OF BRYAN W. MCDANIEL  P.C.</t>
  </si>
  <si>
    <t>BUREAU OF VITAL STATISTICS</t>
  </si>
  <si>
    <t>CAITLIN BICKERSTAFF</t>
  </si>
  <si>
    <t>CAPITAL ONE FRAUD OPERATIONS</t>
  </si>
  <si>
    <t>091"</t>
  </si>
  <si>
    <t>TIB-THE INDEPENDENT BANKERS BANK</t>
  </si>
  <si>
    <t>CAROLINE McCLIMON</t>
  </si>
  <si>
    <t>CAROLYN LEISZ</t>
  </si>
  <si>
    <t>CDW GOVERNMENT INC</t>
  </si>
  <si>
    <t>CENTERPOINT ENERGY</t>
  </si>
  <si>
    <t>CHARLES W CARVER</t>
  </si>
  <si>
    <t>CHRIS MATT DILLON</t>
  </si>
  <si>
    <t>CHRISTINE FILES</t>
  </si>
  <si>
    <t>CINTAS</t>
  </si>
  <si>
    <t>CINTAS CORPORATION</t>
  </si>
  <si>
    <t>CINTAS CORPORATION #86</t>
  </si>
  <si>
    <t>CITIBANK</t>
  </si>
  <si>
    <t>CITY OF BASTROP</t>
  </si>
  <si>
    <t>CITY OF SMITHVILLE</t>
  </si>
  <si>
    <t>CLAUDIA PALMA RUBIN DE CELIS</t>
  </si>
  <si>
    <t>CLIFFORD POWER SYSTEMS INC</t>
  </si>
  <si>
    <t>CLINICAL PATHOLOGY LABORATORIES INC</t>
  </si>
  <si>
    <t>CML SECURITY  LLC</t>
  </si>
  <si>
    <t>MICHAEL L. SELVES</t>
  </si>
  <si>
    <t>COLORADO MATERIALS CO.</t>
  </si>
  <si>
    <t>COMMUNITY COFFEE COMPANY LLC</t>
  </si>
  <si>
    <t>COMMUNITY HEALTH CENTERS</t>
  </si>
  <si>
    <t>CONTECH ENGINEERED SOLUTIONS INC</t>
  </si>
  <si>
    <t>CONVERGENCE CABLING  INC.</t>
  </si>
  <si>
    <t>CORAM ALTERNATE SITE SERVICES  INC</t>
  </si>
  <si>
    <t>COUNTY JUDGES &amp; COMMISSIONERS ASSOC OF TEXAS</t>
  </si>
  <si>
    <t>COUNTY OF BEXAR - SHERIFF</t>
  </si>
  <si>
    <t>BUTLER ANIMAL HEALTH HOLDING COMPANY  LLC</t>
  </si>
  <si>
    <t>CENTRAL TEXAS JPCA</t>
  </si>
  <si>
    <t>CUSTOM PRODUCTS CORPORATION</t>
  </si>
  <si>
    <t>DALLAS COUNTY CONSTABLE PCT 1</t>
  </si>
  <si>
    <t>DARLON J. SOJAK</t>
  </si>
  <si>
    <t>DATA PROJECTIONS  INC.</t>
  </si>
  <si>
    <t>DAVID B BROOKS</t>
  </si>
  <si>
    <t>DAVID CONTI</t>
  </si>
  <si>
    <t>JOHN DAVID LEWIS</t>
  </si>
  <si>
    <t>DAVID M COLLINS</t>
  </si>
  <si>
    <t>DEBORAH BALDWIN</t>
  </si>
  <si>
    <t>DELL</t>
  </si>
  <si>
    <t>DENTRUST DENTAL TX PC</t>
  </si>
  <si>
    <t>TEXAS DEPARTMENT OF INFORMATION RESOURCES</t>
  </si>
  <si>
    <t>THE REINALT - THOMAS CORPORATION</t>
  </si>
  <si>
    <t>DONNIE STARK</t>
  </si>
  <si>
    <t>DORENA MARTINEZ</t>
  </si>
  <si>
    <t>DOUBLE D INTERNATIONAL FOOD CO.  INC.</t>
  </si>
  <si>
    <t>DOUBLE TUFF TRUCK TARPS INC</t>
  </si>
  <si>
    <t>DUNNE &amp; JUAREZ L.L.C.</t>
  </si>
  <si>
    <t>DAVID MCMULLEN</t>
  </si>
  <si>
    <t>ECOLAB INC</t>
  </si>
  <si>
    <t>EDUARDO GUERRERO</t>
  </si>
  <si>
    <t>BLACKLANDS PUBLICATIONS INC</t>
  </si>
  <si>
    <t>ELGIN FUNERAL HOME</t>
  </si>
  <si>
    <t>RALPH DAVID GLASS</t>
  </si>
  <si>
    <t>CITY OF ELGIN UTILITIES</t>
  </si>
  <si>
    <t>ELLIOTT ELECTRIC SUPPLY INC</t>
  </si>
  <si>
    <t>GUARDIAN SAFETY &amp; SUPPLY  LLC</t>
  </si>
  <si>
    <t>ENVIRONMENTAL SYSTEMS RESEARCH INSTITUTE  INC</t>
  </si>
  <si>
    <t>ERGON ASPHALT &amp; EMULSIONS INC</t>
  </si>
  <si>
    <t>BASTROP COUNTY WOMEN'S SHELTER</t>
  </si>
  <si>
    <t>FEDERAL EXPRESS</t>
  </si>
  <si>
    <t>FLEETPRIDE</t>
  </si>
  <si>
    <t>FOREMOST COUNTY MUTUAL INS CO</t>
  </si>
  <si>
    <t>347  02/28/2020"</t>
  </si>
  <si>
    <t>FORREST L. SANDERSON</t>
  </si>
  <si>
    <t>FRANCES HUNTER</t>
  </si>
  <si>
    <t>AUSTIN TRUCK AND EQUIPMENT  LTD</t>
  </si>
  <si>
    <t>108"</t>
  </si>
  <si>
    <t>EUGENE W BRIGGS JR</t>
  </si>
  <si>
    <t>GALLS PARENT HOLDINGS LLC</t>
  </si>
  <si>
    <t>GARLAND T MURLEY</t>
  </si>
  <si>
    <t>GARMENTS TO GO  INC</t>
  </si>
  <si>
    <t>PREUSS PRINTING CO.  LP</t>
  </si>
  <si>
    <t>GIPSON PENDERGRASS PEOPLE'S MORTUARY LLC</t>
  </si>
  <si>
    <t>GRAINGER INC</t>
  </si>
  <si>
    <t>GT DISTRIBUTORS  INC.</t>
  </si>
  <si>
    <t>GULF COAST PAPER CO. INC.</t>
  </si>
  <si>
    <t>HALFF ASSOCIATES</t>
  </si>
  <si>
    <t>HARRIS COUNTY CONSTABLE PCT 1</t>
  </si>
  <si>
    <t>HENGST PRINTING &amp; SUPPLIES</t>
  </si>
  <si>
    <t>HERSHCAP BACKHOE &amp; DITCHING  INC.</t>
  </si>
  <si>
    <t>658  02/07/2020"</t>
  </si>
  <si>
    <t>HI-LINE</t>
  </si>
  <si>
    <t>HIGHWAY INTERDICTION TRAINING SPECIALISTS INC</t>
  </si>
  <si>
    <t>BASCOM L HODGES JR</t>
  </si>
  <si>
    <t>HODGSON G ECKEL</t>
  </si>
  <si>
    <t>BD HOLT CO</t>
  </si>
  <si>
    <t>CITIBANK (SOUTH DAKOTA)N.A./THE HOME DEPOT</t>
  </si>
  <si>
    <t>NORTHWEST CASCADE INC</t>
  </si>
  <si>
    <t>AMERICAS EQUINE WAREHOUSE  INC.</t>
  </si>
  <si>
    <t>GREGORY LUCAS</t>
  </si>
  <si>
    <t>HYDRAULIC HOUSE INC</t>
  </si>
  <si>
    <t>ICS</t>
  </si>
  <si>
    <t>IDEXX DISTRIBUTION INC</t>
  </si>
  <si>
    <t>INDIGENT HEALTHCARE SOLUTIONS</t>
  </si>
  <si>
    <t>INTAB  LLC</t>
  </si>
  <si>
    <t>INTERSTATE BILLING SERVICE INC</t>
  </si>
  <si>
    <t>INTERVET INC</t>
  </si>
  <si>
    <t>IRON MOUNTAIN RECORDS MGMT INC</t>
  </si>
  <si>
    <t>J D LANGLEY</t>
  </si>
  <si>
    <t>ROBERT J. JACKSON</t>
  </si>
  <si>
    <t>JAMES DAVENPORT</t>
  </si>
  <si>
    <t>JAMES DONNELLY</t>
  </si>
  <si>
    <t>070  02/12/2020"</t>
  </si>
  <si>
    <t>JAMES K ALTGELT</t>
  </si>
  <si>
    <t>JENKINS &amp; JENKINS LLP</t>
  </si>
  <si>
    <t>JENNIFER BLUE BOYD</t>
  </si>
  <si>
    <t>JAMES MORGAN</t>
  </si>
  <si>
    <t>JOHN DEERE FINANCIAL f.s.b.</t>
  </si>
  <si>
    <t>JOHN MATTHEW FABIAN  PSY.D. J.D. LLC.</t>
  </si>
  <si>
    <t>JOHNNIE SCHROEDER  JR.</t>
  </si>
  <si>
    <t>JORDAN BATTERSBY  MCDONALD</t>
  </si>
  <si>
    <t>BILLY JOSHUA GILL</t>
  </si>
  <si>
    <t>JUSTIN MATTHEW FOHN</t>
  </si>
  <si>
    <t>KATHERINE NEWTON</t>
  </si>
  <si>
    <t>KAYCI SCHULTZ WATSON</t>
  </si>
  <si>
    <t>KEITH MONTGOMERY</t>
  </si>
  <si>
    <t>KELLY-MOORE PAINT COMPANY  INC</t>
  </si>
  <si>
    <t>KENT BROUSSARD TOWER RENTAL INC</t>
  </si>
  <si>
    <t>DIONNE HIEBERT</t>
  </si>
  <si>
    <t>KING'S PORTABLE THRONES</t>
  </si>
  <si>
    <t>KNIGHT SECURITY SYSTEMS LLC</t>
  </si>
  <si>
    <t>LONGHORN INTERNATIONAL TRUCKS LTD</t>
  </si>
  <si>
    <t>LA GRANGE FORD</t>
  </si>
  <si>
    <t>THE LA GRANGE PARTS HOUSE INC</t>
  </si>
  <si>
    <t>LABATT INSTITUTIONAL SUPPLY CO</t>
  </si>
  <si>
    <t>LANGFORD COMMUNITY MGMT INC</t>
  </si>
  <si>
    <t>LAURA ROBERTSON</t>
  </si>
  <si>
    <t>LEE COUNTY WATER SUPPLY CORP</t>
  </si>
  <si>
    <t>LENNOX INDUSTRIES INC</t>
  </si>
  <si>
    <t>AUSTIN LT  INC.</t>
  </si>
  <si>
    <t>LEXISNEXIS RISK DATA MGMT INC</t>
  </si>
  <si>
    <t>LIBERTY TIRE RECYCLING</t>
  </si>
  <si>
    <t>LINDA HARMON-TAX ASSESSOR</t>
  </si>
  <si>
    <t>LONE STAR CIRCLE OF CARE</t>
  </si>
  <si>
    <t>SETH S HAMMOCK</t>
  </si>
  <si>
    <t>LONGHORN MOBILE GLASS SERVICE INC</t>
  </si>
  <si>
    <t>LONNIE LAWRENCE DAVIS JR</t>
  </si>
  <si>
    <t>SCOTT BRYANT</t>
  </si>
  <si>
    <t>LOWE'S</t>
  </si>
  <si>
    <t>LOYA'S SEPTIC  LLC</t>
  </si>
  <si>
    <t>MAIN STOP STORE</t>
  </si>
  <si>
    <t>MANATRON</t>
  </si>
  <si>
    <t>MARATHON FITNESS</t>
  </si>
  <si>
    <t>MARIA ANFOSSO</t>
  </si>
  <si>
    <t>MARK DALTON</t>
  </si>
  <si>
    <t>MARK T. MALONE  M.D. P.A</t>
  </si>
  <si>
    <t>JOHN W GASPARINI INC</t>
  </si>
  <si>
    <t>MARY BETH SCOTT</t>
  </si>
  <si>
    <t>MATHESON TRI-GAS INC</t>
  </si>
  <si>
    <t>McCOY'S BUILDING SUPPLY CENTER</t>
  </si>
  <si>
    <t>McCREARY  VESELKA  BRAGG &amp; ALLEN P</t>
  </si>
  <si>
    <t>497"</t>
  </si>
  <si>
    <t>McKESSON MEDICAL-SURGIVAL GOVERNMENT SOLUTIONS LLC</t>
  </si>
  <si>
    <t>AMERICAN HEALTH SERVICE SALES CORP</t>
  </si>
  <si>
    <t>MEDIMPACT HEALTHCARE SYSTEMS INC</t>
  </si>
  <si>
    <t>MEDINA COUNTY SHERIFF</t>
  </si>
  <si>
    <t>MEGAN FAITH ANDERSON</t>
  </si>
  <si>
    <t>MEL HAMNER</t>
  </si>
  <si>
    <t>MELLANIE MICKELSON</t>
  </si>
  <si>
    <t>MICHAEL PANZINO</t>
  </si>
  <si>
    <t>MIDTEX MATERIALS</t>
  </si>
  <si>
    <t>MIMI ANH-NGOC TRAN</t>
  </si>
  <si>
    <t>Family Crisis Center</t>
  </si>
  <si>
    <t>Children's Advocacy Center</t>
  </si>
  <si>
    <t>COURT APPOINTED SPECIAL ADVOCA</t>
  </si>
  <si>
    <t>Child Protective Services</t>
  </si>
  <si>
    <t>JUAN FRANCISCO PRUNEDA</t>
  </si>
  <si>
    <t>KALI JO MONTGOMERY</t>
  </si>
  <si>
    <t>PATRICIA HOPKINS MATHIS</t>
  </si>
  <si>
    <t>LUKE ALEXANDER PATTERSON</t>
  </si>
  <si>
    <t>LUIS CHRISTIAN ALVITER</t>
  </si>
  <si>
    <t>CLAUDIA JOSE THOMPSON</t>
  </si>
  <si>
    <t>TRAVIS ALAN WARD</t>
  </si>
  <si>
    <t>BONARD CHARLES NORTON</t>
  </si>
  <si>
    <t>TROY EUGENE SCHUELKE</t>
  </si>
  <si>
    <t>DEBRA JOHNSON REYNOLDS</t>
  </si>
  <si>
    <t>JANE VOGEL DYAL</t>
  </si>
  <si>
    <t>EMILIANO CRUCIOFICIO PUENTE</t>
  </si>
  <si>
    <t>JACQUELINE J TOMPKINS</t>
  </si>
  <si>
    <t>MARGARITA ESPERANZA PLEITEZ</t>
  </si>
  <si>
    <t>JOSHUA DANIEL HAYES</t>
  </si>
  <si>
    <t>SAMMY JAY BRANDON</t>
  </si>
  <si>
    <t>MICHAEL POWELL KRESGE</t>
  </si>
  <si>
    <t>JO ANN SMOTHERMAN</t>
  </si>
  <si>
    <t>JOHN WESLEY SUMMARELL</t>
  </si>
  <si>
    <t>BARBARA ANN KNAPEK</t>
  </si>
  <si>
    <t>ZANE KENAN VERSYP</t>
  </si>
  <si>
    <t>MICHAEL SHAWN BACH-LESAK</t>
  </si>
  <si>
    <t>WADE EDWARD SELBY</t>
  </si>
  <si>
    <t>GLORIA R VILLALOBOS</t>
  </si>
  <si>
    <t>JEREMY RYAN JENSON</t>
  </si>
  <si>
    <t>MINETTE M HATT</t>
  </si>
  <si>
    <t>MARK ALLEN BARRELL</t>
  </si>
  <si>
    <t>EDWARD CHRISTOPHER MURPHY</t>
  </si>
  <si>
    <t>JOSE REYNA SEPULVEDA</t>
  </si>
  <si>
    <t>RANELDA RENEE CRANEY</t>
  </si>
  <si>
    <t>QUENTIN RAY JORDAN</t>
  </si>
  <si>
    <t>NAN NETA BECK</t>
  </si>
  <si>
    <t>SUSEN BARNETT EASTTY</t>
  </si>
  <si>
    <t>NATHAN WADE WILCOX</t>
  </si>
  <si>
    <t>ERIC MARTIN GROSE</t>
  </si>
  <si>
    <t>JEFFREY WADE SCOTT</t>
  </si>
  <si>
    <t>HOSANNA KAY SULLIVAN</t>
  </si>
  <si>
    <t>MICHAEL MALAGON</t>
  </si>
  <si>
    <t>JUSTIN TYLER PENA</t>
  </si>
  <si>
    <t>HOWARD GAYLAN PUTMAN</t>
  </si>
  <si>
    <t>FRED EDWARD ROSE</t>
  </si>
  <si>
    <t>BRANDI RENE BREWER</t>
  </si>
  <si>
    <t>SAMUEL LUVIANO</t>
  </si>
  <si>
    <t>TUCKER WITHINGTON BRISCOE</t>
  </si>
  <si>
    <t>BLAKE ROBERT CLAMPFFER</t>
  </si>
  <si>
    <t>JONATHAN XAVIER CHAVEZ SANCHEZ</t>
  </si>
  <si>
    <t>JACKIE VAN EVANS</t>
  </si>
  <si>
    <t>MARISA JANIRA GARCIA</t>
  </si>
  <si>
    <t>CRAIG EDWARD COSGROVE</t>
  </si>
  <si>
    <t>VICTORIA MAXWELL ALLEN</t>
  </si>
  <si>
    <t>MIGUEL ANGEL DELACRUZ</t>
  </si>
  <si>
    <t>JO LYNN COHEN</t>
  </si>
  <si>
    <t>MONTGOMERY COUNTY CONSTABLE PCT 2</t>
  </si>
  <si>
    <t>MOTOROLA SOLUTIONS  IN.C</t>
  </si>
  <si>
    <t>MUSTANG MACHINERY COMPANY LTD</t>
  </si>
  <si>
    <t>NALCO COMPANY LLC</t>
  </si>
  <si>
    <t>NALLEY HVAC MECHANICAL LLC</t>
  </si>
  <si>
    <t>NANCY MENDEZ</t>
  </si>
  <si>
    <t>INTERNATIONAL IDENTIFICATION INC.</t>
  </si>
  <si>
    <t>NATIONAL FOOD GROUP INC</t>
  </si>
  <si>
    <t>O'REILLY AUTOMOTIVE  INC.</t>
  </si>
  <si>
    <t>DEAN FOODS COMPANY</t>
  </si>
  <si>
    <t>OFFICE DEPOT</t>
  </si>
  <si>
    <t>ON SITE SERVICES</t>
  </si>
  <si>
    <t>ROGER C. OSBORN</t>
  </si>
  <si>
    <t>OSBURN ASSOCIATES INC.</t>
  </si>
  <si>
    <t>PAIGE TRACTORS INC</t>
  </si>
  <si>
    <t>SL PARKER PARTNERSHIP LLC</t>
  </si>
  <si>
    <t>PATRICIA TREVINO</t>
  </si>
  <si>
    <t>PATRICK ELECTRIC SERVICE</t>
  </si>
  <si>
    <t>PATTERSON  VETERINARY SUPPLY INC</t>
  </si>
  <si>
    <t>PHILIP R DUCLOUX</t>
  </si>
  <si>
    <t>PHILLIP N. SLAUGHTER</t>
  </si>
  <si>
    <t>CLYDE HAYWOOD SR</t>
  </si>
  <si>
    <t>PITNEY BOWES GLOBAL FINANCIAL SERVICES</t>
  </si>
  <si>
    <t>POLK COUNTY SHERIFF</t>
  </si>
  <si>
    <t>POST OAK HARDWARE  INC.</t>
  </si>
  <si>
    <t>PRAXAIR DISTRIBUTION  INC.</t>
  </si>
  <si>
    <t>POPE PRO ENTERPRISES INC</t>
  </si>
  <si>
    <t>PROGRESSIVE - RESTITUTION ACCT</t>
  </si>
  <si>
    <t>181  02/18/2020"</t>
  </si>
  <si>
    <t>PROSPERITY BANK</t>
  </si>
  <si>
    <t>122 02/28/2020"</t>
  </si>
  <si>
    <t>QUEST DIAGNOSTICS CLINICAL LABORATORIES</t>
  </si>
  <si>
    <t>R &amp; D BISHOP INC</t>
  </si>
  <si>
    <t>RALPH HUBERT</t>
  </si>
  <si>
    <t>RANDY WILHELM</t>
  </si>
  <si>
    <t>MADTEX  INC.</t>
  </si>
  <si>
    <t>RC HEALTH SERVICES  INC.</t>
  </si>
  <si>
    <t>NESTLE WATERS N AMERICA INC</t>
  </si>
  <si>
    <t>RED WING BUSINESS ADVANTAGE ACCOUNT</t>
  </si>
  <si>
    <t>T7 ENTERPRISES  LLC</t>
  </si>
  <si>
    <t>NRG ENERGY INC</t>
  </si>
  <si>
    <t>REPUBLIC TRUCK SALES   PARTS  &amp; REPAIRS LLC</t>
  </si>
  <si>
    <t>RESERVE ACCOUNT</t>
  </si>
  <si>
    <t>REYNOLDS &amp; KEINARTH</t>
  </si>
  <si>
    <t>RICHARD ALLAN DICKMAN JR</t>
  </si>
  <si>
    <t>CIT TECHNOLOGY FINANCE</t>
  </si>
  <si>
    <t>ROADRUNNER PHARMACY  INC.</t>
  </si>
  <si>
    <t>ROADRUNNER RADIOLOGY EQUIP LLC</t>
  </si>
  <si>
    <t>ROBERT E CANTU M.D. P.A.</t>
  </si>
  <si>
    <t>ROBERT MADDEN INDUSTRIES LTD</t>
  </si>
  <si>
    <t>ROSE PIETSCH COUNTY CLERK</t>
  </si>
  <si>
    <t>RUTH A. CARROLL</t>
  </si>
  <si>
    <t>SAFELITE FULFILLMENT INC</t>
  </si>
  <si>
    <t>SAMMY LERMA III MD</t>
  </si>
  <si>
    <t>SCOTT MERRIMAN INC</t>
  </si>
  <si>
    <t>SETON HEALTHCARE SPONSORED PROJECTS</t>
  </si>
  <si>
    <t>SHARON HANCOCK</t>
  </si>
  <si>
    <t>962  02/14/2020"</t>
  </si>
  <si>
    <t>FERRELLGAS  LP</t>
  </si>
  <si>
    <t>SHI GOVERNMENT SOLUTIONS INC.</t>
  </si>
  <si>
    <t>SHRED-IT US HOLDCO  INC</t>
  </si>
  <si>
    <t>RONALD JOHN CALDWELL JR</t>
  </si>
  <si>
    <t>SINGLETON ASSOCIATES  PA</t>
  </si>
  <si>
    <t>SMITH STORES  INC.</t>
  </si>
  <si>
    <t>SMITHVILLE AUTO PARTS  INC</t>
  </si>
  <si>
    <t>SOUTHERN TIRE MART LLC</t>
  </si>
  <si>
    <t>DS WATERS OF AMERICA INC</t>
  </si>
  <si>
    <t>SPARKLETTS &amp; SIERRA SPRINGS</t>
  </si>
  <si>
    <t>SRIDHAR P REDDY MD PA</t>
  </si>
  <si>
    <t>ST DAVID'S HEALTHCARE PARTNERSHIP</t>
  </si>
  <si>
    <t>ST. DAVIDS HEART &amp; VASCULAR  PLLC</t>
  </si>
  <si>
    <t>STAPLES  INC.</t>
  </si>
  <si>
    <t>STATE OF TEXAS</t>
  </si>
  <si>
    <t>STEGER &amp; BIZZELL ENGINEERING  INC</t>
  </si>
  <si>
    <t>STERICYCLE  INC.</t>
  </si>
  <si>
    <t>STERLING BAADE</t>
  </si>
  <si>
    <t>STEVE GRANADO</t>
  </si>
  <si>
    <t>MATTHEW LEE SULLINS</t>
  </si>
  <si>
    <t>SUN COAST RESOURCES</t>
  </si>
  <si>
    <t>TAVCO SERVICES INC</t>
  </si>
  <si>
    <t>TAYLOR SECURITY SYSTEMS  LLC</t>
  </si>
  <si>
    <t>TEXAS COMMISSION ON LAW ENFORCEMENT</t>
  </si>
  <si>
    <t>TEXAS DISTRICT &amp; COUNTY ATTORNEYS ASSOCIATION</t>
  </si>
  <si>
    <t>TEJAS ELEVATOR COMPANY</t>
  </si>
  <si>
    <t>TERRACON CONSULTANTS INC</t>
  </si>
  <si>
    <t>TERRILL L FLENNIKEN</t>
  </si>
  <si>
    <t>JOHN J FIETSAM INC</t>
  </si>
  <si>
    <t>TEX-CON OIL CO</t>
  </si>
  <si>
    <t>TEXAS ASSOCIATES INSURORS AGENCY</t>
  </si>
  <si>
    <t>TEXAS ASSOCIATION OF COUNTIES</t>
  </si>
  <si>
    <t>TEXAS CORRUGATORS INC</t>
  </si>
  <si>
    <t>TEXAS DEPT OF PUBLIC SAFETY</t>
  </si>
  <si>
    <t>349  02/03/2020"</t>
  </si>
  <si>
    <t>722  02/24/2020"</t>
  </si>
  <si>
    <t>TEXAS DISPOSAL SYSTEMS  INC.</t>
  </si>
  <si>
    <t>TEXAS JUSTICE COURT JUDGES ASSOCIATION</t>
  </si>
  <si>
    <t>TEXAS MATERIALS GROUP  INC.</t>
  </si>
  <si>
    <t>TEXAS PARKS &amp; WILDLIFE DEPARTMENT</t>
  </si>
  <si>
    <t>TEXAS VISION CLINIC  PLLC</t>
  </si>
  <si>
    <t>BUG MASTER EXTERMINATING SERVICES  LTD</t>
  </si>
  <si>
    <t>JAMES ANDREW CASEY</t>
  </si>
  <si>
    <t>RICHARD NELSON MOORE</t>
  </si>
  <si>
    <t>WEST PUBLISHING CORPORATION</t>
  </si>
  <si>
    <t>TWE-ADVANCE/NEWHOUSE PARTNERSHIP</t>
  </si>
  <si>
    <t>TELVA D KESLER</t>
  </si>
  <si>
    <t>TRACTOR SUPPLY CREDIT PLAN</t>
  </si>
  <si>
    <t>TRAVIS COUNTY CONSTABLE PCT 5</t>
  </si>
  <si>
    <t>TRAVIS COUNTY EMERGENCY PHYSICIANS PA</t>
  </si>
  <si>
    <t>TRAVIS COUNTY MEDICAL EXAMINER</t>
  </si>
  <si>
    <t>KAUFFMAN TIRE</t>
  </si>
  <si>
    <t>SETON FAMILY OF DOCTORS</t>
  </si>
  <si>
    <t>TRI-TECH FORENSICS  INC.</t>
  </si>
  <si>
    <t>TEXAS FRAME &amp; ALIGNMENT</t>
  </si>
  <si>
    <t>TULL FARLEY</t>
  </si>
  <si>
    <t>TYLER TECHNOLOGIES INC</t>
  </si>
  <si>
    <t>ULINE  INC.</t>
  </si>
  <si>
    <t>COUFAL-PRATER EQUIPMENT  LLC</t>
  </si>
  <si>
    <t>SETON FAMILY OF HOSPITALS</t>
  </si>
  <si>
    <t>VICTORY SUPPLY LLC</t>
  </si>
  <si>
    <t>TEXAS DEPARTMENT OF STATE HEALTH SERVICES</t>
  </si>
  <si>
    <t>VIVIAN PAN</t>
  </si>
  <si>
    <t>US BANK NA</t>
  </si>
  <si>
    <t>WALLER COUNTY ASPHALT INC</t>
  </si>
  <si>
    <t>WASTE CONNECTIONS LONE STAR. INC.</t>
  </si>
  <si>
    <t>WASTE MANAGEMENT OF TEXAS  INC</t>
  </si>
  <si>
    <t>WIND KNOT INCORPORATED</t>
  </si>
  <si>
    <t>MAO PHARMACY INC</t>
  </si>
  <si>
    <t>WILLIAMSON COUNTY CONSTABLE PCT 2</t>
  </si>
  <si>
    <t>WILLO PRODUCTS CO.  INC.</t>
  </si>
  <si>
    <t>WJC CONSTRUCTORS SERVICES  LLC</t>
  </si>
  <si>
    <t>ZBATTERY.COM INC</t>
  </si>
  <si>
    <t>ZOETIS US LLC</t>
  </si>
  <si>
    <t>ZURICH DIRECT UNDERWRITERS</t>
  </si>
  <si>
    <t>573  02/27/2020"</t>
  </si>
  <si>
    <t>BASTROP INDEPENDENT SCHOOL DISTRICT</t>
  </si>
  <si>
    <t>BEFCO ENGINEERING INC</t>
  </si>
  <si>
    <t>CHASCO CONSTRUCTORS LTD LLP</t>
  </si>
  <si>
    <t>DANIELA VLAD</t>
  </si>
  <si>
    <t>NETSYNC NETWORK SOUTIONS INC.</t>
  </si>
  <si>
    <t>VERONICA JUAREZ</t>
  </si>
  <si>
    <t>WILLIAM A. GORDON</t>
  </si>
  <si>
    <t>ALLSTATE-AMERICAN HERITAGE LIFE INS CO</t>
  </si>
  <si>
    <t>AmWINS Group Benefits  Inc.</t>
  </si>
  <si>
    <t>BASTROP COUNTY ADULT PROBATION</t>
  </si>
  <si>
    <t>COLONIAL LIFE &amp; ACCIDENT INS. CO.</t>
  </si>
  <si>
    <t>CPI QUALIFIED PLAN CONSULTANTS  INC.</t>
  </si>
  <si>
    <t>DEBORAH B LANGEHENNIG</t>
  </si>
  <si>
    <t>GUARDIAN</t>
  </si>
  <si>
    <t>IRS-PAYROLL TAXES</t>
  </si>
  <si>
    <t>GERALD FLORES OLIVO</t>
  </si>
  <si>
    <t>PHI AIR MEDICAL  LLC</t>
  </si>
  <si>
    <t>TAC HEALTH BENEFITS POOL</t>
  </si>
  <si>
    <t>TOTAL ADMINISTRATIVE SERVICES CORPORATION</t>
  </si>
  <si>
    <t>TEXAS ATTY.GENERAL'S OFFICE</t>
  </si>
  <si>
    <t>TEXAS CNTY &amp; DIST RETIREMENT SYS</t>
  </si>
  <si>
    <t>TEXAS LEGAL PROTECTION PLAN INC</t>
  </si>
  <si>
    <t>U.S. DEPT OF EDUCATION AWG</t>
  </si>
  <si>
    <t>U.S. DEPT OF EDUCATION - FINANCIAL  ASST</t>
  </si>
  <si>
    <t>JIM ATTRA INC</t>
  </si>
  <si>
    <t>MUNICIPAL SERVICES BUREAU/GILA GROUP</t>
  </si>
  <si>
    <t>DICKENS LOCKSMITH INC</t>
  </si>
  <si>
    <t>SHERWIN WILLIAMS CO</t>
  </si>
  <si>
    <t>SHOPPA'S FARM SUPPLY</t>
  </si>
  <si>
    <t>WALMART COMMUNITY BRC</t>
  </si>
  <si>
    <t>Grand Total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</si>
</sst>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14" fontId="0" fillId="0" borderId="0" xfId="0" applyNumberFormat="1"/>
    <xf numFmtId="0" fontId="16" fillId="0" borderId="0" xfId="0" applyFont="1"/>
    <xf numFmtId="0" fontId="18" fillId="0" borderId="0" xfId="0" applyFont="1"/>
    <xf numFmtId="44" fontId="18" fillId="0" borderId="0" xfId="1" applyFont="1"/>
    <xf numFmtId="44" fontId="0" fillId="0" borderId="0" xfId="1" applyFont="1"/>
    <xf numFmtId="44" fontId="16" fillId="0" borderId="10" xfId="1" applyFont="1" applyBorder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76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56.7109375" bestFit="1" customWidth="1"/>
    <col min="2" max="2" width="7.7109375" bestFit="1" customWidth="1"/>
    <col min="3" max="3" width="14.28515625" style="5" bestFit="1" customWidth="1"/>
    <col min="4" max="4" width="10.85546875" bestFit="1" customWidth="1"/>
    <col min="5" max="5" width="19.42578125" bestFit="1" customWidth="1"/>
    <col min="6" max="6" width="35.85546875" bestFit="1" customWidth="1"/>
    <col min="7" max="7" width="19.7109375" style="5" bestFit="1" customWidth="1"/>
    <col min="8" max="8" width="35.85546875" bestFit="1" customWidth="1"/>
  </cols>
  <sheetData>
    <row r="1" spans="1:8" s="3" customFormat="1" x14ac:dyDescent="0.25">
      <c r="A1" s="3" t="s">
        <v>0</v>
      </c>
      <c r="B1" s="3" t="s">
        <v>1</v>
      </c>
      <c r="C1" s="4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3" t="s">
        <v>7</v>
      </c>
    </row>
    <row r="2" spans="1:8" x14ac:dyDescent="0.25">
      <c r="A2" t="s">
        <v>8</v>
      </c>
      <c r="B2">
        <v>131082</v>
      </c>
      <c r="C2" s="5">
        <v>15</v>
      </c>
      <c r="D2" s="1">
        <v>43899</v>
      </c>
      <c r="E2" t="str">
        <f>"202003035671"</f>
        <v>202003035671</v>
      </c>
      <c r="F2" t="str">
        <f>"REIMBURSE BAIL BOND COUPONS"</f>
        <v>REIMBURSE BAIL BOND COUPONS</v>
      </c>
      <c r="G2" s="5">
        <v>15</v>
      </c>
      <c r="H2" t="str">
        <f>"REIMBURSE BAIL BOND COUPONS"</f>
        <v>REIMBURSE BAIL BOND COUPONS</v>
      </c>
    </row>
    <row r="3" spans="1:8" x14ac:dyDescent="0.25">
      <c r="A3" t="s">
        <v>9</v>
      </c>
      <c r="B3">
        <v>2261</v>
      </c>
      <c r="C3" s="5">
        <v>86566.37</v>
      </c>
      <c r="D3" s="1">
        <v>43900</v>
      </c>
      <c r="E3" t="str">
        <f>"202003045715"</f>
        <v>202003045715</v>
      </c>
      <c r="F3" t="str">
        <f>"Pay App #3"</f>
        <v>Pay App #3</v>
      </c>
      <c r="G3" s="5">
        <v>86566.37</v>
      </c>
      <c r="H3" t="str">
        <f>"Pay App #3"</f>
        <v>Pay App #3</v>
      </c>
    </row>
    <row r="4" spans="1:8" x14ac:dyDescent="0.25">
      <c r="A4" t="s">
        <v>10</v>
      </c>
      <c r="B4">
        <v>2285</v>
      </c>
      <c r="C4" s="5">
        <v>12657.89</v>
      </c>
      <c r="D4" s="1">
        <v>43900</v>
      </c>
      <c r="E4" t="str">
        <f>"202003025592"</f>
        <v>202003025592</v>
      </c>
      <c r="F4" t="str">
        <f>"HAULING EXPS 02/17-02/27/P2"</f>
        <v>HAULING EXPS 02/17-02/27/P2</v>
      </c>
      <c r="G4" s="5">
        <v>12657.89</v>
      </c>
      <c r="H4" t="str">
        <f>"HAULING EXPS 02/17-02/27/P2"</f>
        <v>HAULING EXPS 02/17-02/27/P2</v>
      </c>
    </row>
    <row r="5" spans="1:8" x14ac:dyDescent="0.25">
      <c r="A5" t="s">
        <v>10</v>
      </c>
      <c r="B5">
        <v>2365</v>
      </c>
      <c r="C5" s="5">
        <v>9476.11</v>
      </c>
      <c r="D5" s="1">
        <v>43914</v>
      </c>
      <c r="E5" t="str">
        <f>"202003175998"</f>
        <v>202003175998</v>
      </c>
      <c r="F5" t="str">
        <f>"HAULING EXPS 03/02-03/12/PCT#2"</f>
        <v>HAULING EXPS 03/02-03/12/PCT#2</v>
      </c>
      <c r="G5" s="5">
        <v>9476.11</v>
      </c>
      <c r="H5" t="str">
        <f>"HAULING EXPS 03/02-03/12/PCT#2"</f>
        <v>HAULING EXPS 03/02-03/12/PCT#2</v>
      </c>
    </row>
    <row r="6" spans="1:8" x14ac:dyDescent="0.25">
      <c r="A6" t="s">
        <v>11</v>
      </c>
      <c r="B6">
        <v>2258</v>
      </c>
      <c r="C6" s="5">
        <v>43552.480000000003</v>
      </c>
      <c r="D6" s="1">
        <v>43900</v>
      </c>
      <c r="E6" t="str">
        <f>"9725-001-114258"</f>
        <v>9725-001-114258</v>
      </c>
      <c r="F6" t="str">
        <f t="shared" ref="F6:F18" si="0">"ACCT#9725-001/REC BASE/PCT#2"</f>
        <v>ACCT#9725-001/REC BASE/PCT#2</v>
      </c>
      <c r="G6" s="5">
        <v>2283.9499999999998</v>
      </c>
      <c r="H6" t="str">
        <f t="shared" ref="H6:H18" si="1">"ACCT#9725-001/REC BASE/PCT#2"</f>
        <v>ACCT#9725-001/REC BASE/PCT#2</v>
      </c>
    </row>
    <row r="7" spans="1:8" x14ac:dyDescent="0.25">
      <c r="E7" t="str">
        <f>"9725-001-114275"</f>
        <v>9725-001-114275</v>
      </c>
      <c r="F7" t="str">
        <f t="shared" si="0"/>
        <v>ACCT#9725-001/REC BASE/PCT#2</v>
      </c>
      <c r="G7" s="5">
        <v>1887.48</v>
      </c>
      <c r="H7" t="str">
        <f t="shared" si="1"/>
        <v>ACCT#9725-001/REC BASE/PCT#2</v>
      </c>
    </row>
    <row r="8" spans="1:8" x14ac:dyDescent="0.25">
      <c r="E8" t="str">
        <f>"9725-001-114299"</f>
        <v>9725-001-114299</v>
      </c>
      <c r="F8" t="str">
        <f t="shared" si="0"/>
        <v>ACCT#9725-001/REC BASE/PCT#2</v>
      </c>
      <c r="G8" s="5">
        <v>2152.69</v>
      </c>
      <c r="H8" t="str">
        <f t="shared" si="1"/>
        <v>ACCT#9725-001/REC BASE/PCT#2</v>
      </c>
    </row>
    <row r="9" spans="1:8" x14ac:dyDescent="0.25">
      <c r="E9" t="str">
        <f>"9725-001-114332"</f>
        <v>9725-001-114332</v>
      </c>
      <c r="F9" t="str">
        <f t="shared" si="0"/>
        <v>ACCT#9725-001/REC BASE/PCT#2</v>
      </c>
      <c r="G9" s="5">
        <v>1865.77</v>
      </c>
      <c r="H9" t="str">
        <f t="shared" si="1"/>
        <v>ACCT#9725-001/REC BASE/PCT#2</v>
      </c>
    </row>
    <row r="10" spans="1:8" x14ac:dyDescent="0.25">
      <c r="E10" t="str">
        <f>"9725-001-114351"</f>
        <v>9725-001-114351</v>
      </c>
      <c r="F10" t="str">
        <f t="shared" si="0"/>
        <v>ACCT#9725-001/REC BASE/PCT#2</v>
      </c>
      <c r="G10" s="5">
        <v>2409.0700000000002</v>
      </c>
      <c r="H10" t="str">
        <f t="shared" si="1"/>
        <v>ACCT#9725-001/REC BASE/PCT#2</v>
      </c>
    </row>
    <row r="11" spans="1:8" x14ac:dyDescent="0.25">
      <c r="E11" t="str">
        <f>"9725-001-114405"</f>
        <v>9725-001-114405</v>
      </c>
      <c r="F11" t="str">
        <f t="shared" si="0"/>
        <v>ACCT#9725-001/REC BASE/PCT#2</v>
      </c>
      <c r="G11" s="5">
        <v>1939.38</v>
      </c>
      <c r="H11" t="str">
        <f t="shared" si="1"/>
        <v>ACCT#9725-001/REC BASE/PCT#2</v>
      </c>
    </row>
    <row r="12" spans="1:8" x14ac:dyDescent="0.25">
      <c r="E12" t="str">
        <f>"9725-001-114429"</f>
        <v>9725-001-114429</v>
      </c>
      <c r="F12" t="str">
        <f t="shared" si="0"/>
        <v>ACCT#9725-001/REC BASE/PCT#2</v>
      </c>
      <c r="G12" s="5">
        <v>4152.51</v>
      </c>
      <c r="H12" t="str">
        <f t="shared" si="1"/>
        <v>ACCT#9725-001/REC BASE/PCT#2</v>
      </c>
    </row>
    <row r="13" spans="1:8" x14ac:dyDescent="0.25">
      <c r="E13" t="str">
        <f>"9725-001-114446"</f>
        <v>9725-001-114446</v>
      </c>
      <c r="F13" t="str">
        <f t="shared" si="0"/>
        <v>ACCT#9725-001/REC BASE/PCT#2</v>
      </c>
      <c r="G13" s="5">
        <v>3032.42</v>
      </c>
      <c r="H13" t="str">
        <f t="shared" si="1"/>
        <v>ACCT#9725-001/REC BASE/PCT#2</v>
      </c>
    </row>
    <row r="14" spans="1:8" x14ac:dyDescent="0.25">
      <c r="E14" t="str">
        <f>"9725-001-114485"</f>
        <v>9725-001-114485</v>
      </c>
      <c r="F14" t="str">
        <f t="shared" si="0"/>
        <v>ACCT#9725-001/REC BASE/PCT#2</v>
      </c>
      <c r="G14" s="5">
        <v>3392.13</v>
      </c>
      <c r="H14" t="str">
        <f t="shared" si="1"/>
        <v>ACCT#9725-001/REC BASE/PCT#2</v>
      </c>
    </row>
    <row r="15" spans="1:8" x14ac:dyDescent="0.25">
      <c r="E15" t="str">
        <f>"9725-001-114516"</f>
        <v>9725-001-114516</v>
      </c>
      <c r="F15" t="str">
        <f t="shared" si="0"/>
        <v>ACCT#9725-001/REC BASE/PCT#2</v>
      </c>
      <c r="G15" s="5">
        <v>2558.5300000000002</v>
      </c>
      <c r="H15" t="str">
        <f t="shared" si="1"/>
        <v>ACCT#9725-001/REC BASE/PCT#2</v>
      </c>
    </row>
    <row r="16" spans="1:8" x14ac:dyDescent="0.25">
      <c r="E16" t="str">
        <f>"9725-001-114541"</f>
        <v>9725-001-114541</v>
      </c>
      <c r="F16" t="str">
        <f t="shared" si="0"/>
        <v>ACCT#9725-001/REC BASE/PCT#2</v>
      </c>
      <c r="G16" s="5">
        <v>3255.19</v>
      </c>
      <c r="H16" t="str">
        <f t="shared" si="1"/>
        <v>ACCT#9725-001/REC BASE/PCT#2</v>
      </c>
    </row>
    <row r="17" spans="1:8" x14ac:dyDescent="0.25">
      <c r="E17" t="str">
        <f>"9725-001-114575"</f>
        <v>9725-001-114575</v>
      </c>
      <c r="F17" t="str">
        <f t="shared" si="0"/>
        <v>ACCT#9725-001/REC BASE/PCT#2</v>
      </c>
      <c r="G17" s="5">
        <v>3665.84</v>
      </c>
      <c r="H17" t="str">
        <f t="shared" si="1"/>
        <v>ACCT#9725-001/REC BASE/PCT#2</v>
      </c>
    </row>
    <row r="18" spans="1:8" x14ac:dyDescent="0.25">
      <c r="E18" t="str">
        <f>"9725-001-114603"</f>
        <v>9725-001-114603</v>
      </c>
      <c r="F18" t="str">
        <f t="shared" si="0"/>
        <v>ACCT#9725-001/REC BASE/PCT#2</v>
      </c>
      <c r="G18" s="5">
        <v>1067.25</v>
      </c>
      <c r="H18" t="str">
        <f t="shared" si="1"/>
        <v>ACCT#9725-001/REC BASE/PCT#2</v>
      </c>
    </row>
    <row r="19" spans="1:8" x14ac:dyDescent="0.25">
      <c r="E19" t="str">
        <f>"9725-007-114416"</f>
        <v>9725-007-114416</v>
      </c>
      <c r="F19" t="str">
        <f t="shared" ref="F19:F24" si="2">"ACCT#9725-007/REC BASE/PCT#4"</f>
        <v>ACCT#9725-007/REC BASE/PCT#4</v>
      </c>
      <c r="G19" s="5">
        <v>2043.92</v>
      </c>
      <c r="H19" t="str">
        <f t="shared" ref="H19:H24" si="3">"ACCT#9725-007/REC BASE/PCT#4"</f>
        <v>ACCT#9725-007/REC BASE/PCT#4</v>
      </c>
    </row>
    <row r="20" spans="1:8" x14ac:dyDescent="0.25">
      <c r="E20" t="str">
        <f>"9725-007-114437"</f>
        <v>9725-007-114437</v>
      </c>
      <c r="F20" t="str">
        <f t="shared" si="2"/>
        <v>ACCT#9725-007/REC BASE/PCT#4</v>
      </c>
      <c r="G20" s="5">
        <v>616.35</v>
      </c>
      <c r="H20" t="str">
        <f t="shared" si="3"/>
        <v>ACCT#9725-007/REC BASE/PCT#4</v>
      </c>
    </row>
    <row r="21" spans="1:8" x14ac:dyDescent="0.25">
      <c r="E21" t="str">
        <f>"9725-007-114456"</f>
        <v>9725-007-114456</v>
      </c>
      <c r="F21" t="str">
        <f t="shared" si="2"/>
        <v>ACCT#9725-007/REC BASE/PCT#4</v>
      </c>
      <c r="G21" s="5">
        <v>2493.08</v>
      </c>
      <c r="H21" t="str">
        <f t="shared" si="3"/>
        <v>ACCT#9725-007/REC BASE/PCT#4</v>
      </c>
    </row>
    <row r="22" spans="1:8" x14ac:dyDescent="0.25">
      <c r="E22" t="str">
        <f>"9725-007-114496"</f>
        <v>9725-007-114496</v>
      </c>
      <c r="F22" t="str">
        <f t="shared" si="2"/>
        <v>ACCT#9725-007/REC BASE/PCT#4</v>
      </c>
      <c r="G22" s="5">
        <v>1849.14</v>
      </c>
      <c r="H22" t="str">
        <f t="shared" si="3"/>
        <v>ACCT#9725-007/REC BASE/PCT#4</v>
      </c>
    </row>
    <row r="23" spans="1:8" x14ac:dyDescent="0.25">
      <c r="E23" t="str">
        <f>"9725-007-114526"</f>
        <v>9725-007-114526</v>
      </c>
      <c r="F23" t="str">
        <f t="shared" si="2"/>
        <v>ACCT#9725-007/REC BASE/PCT#4</v>
      </c>
      <c r="G23" s="5">
        <v>627.04</v>
      </c>
      <c r="H23" t="str">
        <f t="shared" si="3"/>
        <v>ACCT#9725-007/REC BASE/PCT#4</v>
      </c>
    </row>
    <row r="24" spans="1:8" x14ac:dyDescent="0.25">
      <c r="E24" t="str">
        <f>"9725-007-114556"</f>
        <v>9725-007-114556</v>
      </c>
      <c r="F24" t="str">
        <f t="shared" si="2"/>
        <v>ACCT#9725-007/REC BASE/PCT#4</v>
      </c>
      <c r="G24" s="5">
        <v>2260.7399999999998</v>
      </c>
      <c r="H24" t="str">
        <f t="shared" si="3"/>
        <v>ACCT#9725-007/REC BASE/PCT#4</v>
      </c>
    </row>
    <row r="25" spans="1:8" x14ac:dyDescent="0.25">
      <c r="A25" t="s">
        <v>11</v>
      </c>
      <c r="B25">
        <v>2339</v>
      </c>
      <c r="C25" s="5">
        <v>51959.06</v>
      </c>
      <c r="D25" s="1">
        <v>43914</v>
      </c>
      <c r="E25" t="str">
        <f>"9725-001-114639"</f>
        <v>9725-001-114639</v>
      </c>
      <c r="F25" t="str">
        <f t="shared" ref="F25:F34" si="4">"ACCT#9725-001/REC BASE/PCT#2"</f>
        <v>ACCT#9725-001/REC BASE/PCT#2</v>
      </c>
      <c r="G25" s="5">
        <v>4189.17</v>
      </c>
      <c r="H25" t="str">
        <f t="shared" ref="H25:H34" si="5">"ACCT#9725-001/REC BASE/PCT#2"</f>
        <v>ACCT#9725-001/REC BASE/PCT#2</v>
      </c>
    </row>
    <row r="26" spans="1:8" x14ac:dyDescent="0.25">
      <c r="E26" t="str">
        <f>"9725-001-114667"</f>
        <v>9725-001-114667</v>
      </c>
      <c r="F26" t="str">
        <f t="shared" si="4"/>
        <v>ACCT#9725-001/REC BASE/PCT#2</v>
      </c>
      <c r="G26" s="5">
        <v>4327.42</v>
      </c>
      <c r="H26" t="str">
        <f t="shared" si="5"/>
        <v>ACCT#9725-001/REC BASE/PCT#2</v>
      </c>
    </row>
    <row r="27" spans="1:8" x14ac:dyDescent="0.25">
      <c r="E27" t="str">
        <f>"9725-001-114690"</f>
        <v>9725-001-114690</v>
      </c>
      <c r="F27" t="str">
        <f t="shared" si="4"/>
        <v>ACCT#9725-001/REC BASE/PCT#2</v>
      </c>
      <c r="G27" s="5">
        <v>2786.11</v>
      </c>
      <c r="H27" t="str">
        <f t="shared" si="5"/>
        <v>ACCT#9725-001/REC BASE/PCT#2</v>
      </c>
    </row>
    <row r="28" spans="1:8" x14ac:dyDescent="0.25">
      <c r="E28" t="str">
        <f>"9725-001-114703"</f>
        <v>9725-001-114703</v>
      </c>
      <c r="F28" t="str">
        <f t="shared" si="4"/>
        <v>ACCT#9725-001/REC BASE/PCT#2</v>
      </c>
      <c r="G28" s="5">
        <v>3118.86</v>
      </c>
      <c r="H28" t="str">
        <f t="shared" si="5"/>
        <v>ACCT#9725-001/REC BASE/PCT#2</v>
      </c>
    </row>
    <row r="29" spans="1:8" x14ac:dyDescent="0.25">
      <c r="E29" t="str">
        <f>"9725-001-114724"</f>
        <v>9725-001-114724</v>
      </c>
      <c r="F29" t="str">
        <f t="shared" si="4"/>
        <v>ACCT#9725-001/REC BASE/PCT#2</v>
      </c>
      <c r="G29" s="5">
        <v>1931.59</v>
      </c>
      <c r="H29" t="str">
        <f t="shared" si="5"/>
        <v>ACCT#9725-001/REC BASE/PCT#2</v>
      </c>
    </row>
    <row r="30" spans="1:8" x14ac:dyDescent="0.25">
      <c r="E30" t="str">
        <f>"9725-001-114749"</f>
        <v>9725-001-114749</v>
      </c>
      <c r="F30" t="str">
        <f t="shared" si="4"/>
        <v>ACCT#9725-001/REC BASE/PCT#2</v>
      </c>
      <c r="G30" s="5">
        <v>1680.46</v>
      </c>
      <c r="H30" t="str">
        <f t="shared" si="5"/>
        <v>ACCT#9725-001/REC BASE/PCT#2</v>
      </c>
    </row>
    <row r="31" spans="1:8" x14ac:dyDescent="0.25">
      <c r="E31" t="str">
        <f>"9725-001-114790"</f>
        <v>9725-001-114790</v>
      </c>
      <c r="F31" t="str">
        <f t="shared" si="4"/>
        <v>ACCT#9725-001/REC BASE/PCT#2</v>
      </c>
      <c r="G31" s="5">
        <v>1434.92</v>
      </c>
      <c r="H31" t="str">
        <f t="shared" si="5"/>
        <v>ACCT#9725-001/REC BASE/PCT#2</v>
      </c>
    </row>
    <row r="32" spans="1:8" x14ac:dyDescent="0.25">
      <c r="E32" t="str">
        <f>"9725-001-114816"</f>
        <v>9725-001-114816</v>
      </c>
      <c r="F32" t="str">
        <f t="shared" si="4"/>
        <v>ACCT#9725-001/REC BASE/PCT#2</v>
      </c>
      <c r="G32" s="5">
        <v>1944.09</v>
      </c>
      <c r="H32" t="str">
        <f t="shared" si="5"/>
        <v>ACCT#9725-001/REC BASE/PCT#2</v>
      </c>
    </row>
    <row r="33" spans="5:8" x14ac:dyDescent="0.25">
      <c r="E33" t="str">
        <f>"9725-001-114844"</f>
        <v>9725-001-114844</v>
      </c>
      <c r="F33" t="str">
        <f t="shared" si="4"/>
        <v>ACCT#9725-001/REC BASE/PCT#2</v>
      </c>
      <c r="G33" s="5">
        <v>1265.69</v>
      </c>
      <c r="H33" t="str">
        <f t="shared" si="5"/>
        <v>ACCT#9725-001/REC BASE/PCT#2</v>
      </c>
    </row>
    <row r="34" spans="5:8" x14ac:dyDescent="0.25">
      <c r="E34" t="str">
        <f>"9725-001-114876"</f>
        <v>9725-001-114876</v>
      </c>
      <c r="F34" t="str">
        <f t="shared" si="4"/>
        <v>ACCT#9725-001/REC BASE/PCT#2</v>
      </c>
      <c r="G34" s="5">
        <v>1487.61</v>
      </c>
      <c r="H34" t="str">
        <f t="shared" si="5"/>
        <v>ACCT#9725-001/REC BASE/PCT#2</v>
      </c>
    </row>
    <row r="35" spans="5:8" x14ac:dyDescent="0.25">
      <c r="E35" t="str">
        <f>"9725-004-114650"</f>
        <v>9725-004-114650</v>
      </c>
      <c r="F35" t="str">
        <f>"ACCT#9725-004/REC BASE/PCT#2"</f>
        <v>ACCT#9725-004/REC BASE/PCT#2</v>
      </c>
      <c r="G35" s="5">
        <v>220.33</v>
      </c>
      <c r="H35" t="str">
        <f>"ACCT#9725-004/REC BASE/PCT#2"</f>
        <v>ACCT#9725-004/REC BASE/PCT#2</v>
      </c>
    </row>
    <row r="36" spans="5:8" x14ac:dyDescent="0.25">
      <c r="E36" t="str">
        <f>"9725-007-114587"</f>
        <v>9725-007-114587</v>
      </c>
      <c r="F36" t="str">
        <f>"ACCT#9725-007/REC/BASE/PCT#4"</f>
        <v>ACCT#9725-007/REC/BASE/PCT#4</v>
      </c>
      <c r="G36" s="5">
        <v>1600.03</v>
      </c>
      <c r="H36" t="str">
        <f>"ACCT#9725-007/REC/BASE/PCT#4"</f>
        <v>ACCT#9725-007/REC/BASE/PCT#4</v>
      </c>
    </row>
    <row r="37" spans="5:8" x14ac:dyDescent="0.25">
      <c r="E37" t="str">
        <f>"9725-007-114611"</f>
        <v>9725-007-114611</v>
      </c>
      <c r="F37" t="str">
        <f>"ACCT#9725-007/REC/BASE/PCT#4"</f>
        <v>ACCT#9725-007/REC/BASE/PCT#4</v>
      </c>
      <c r="G37" s="5">
        <v>1630.58</v>
      </c>
      <c r="H37" t="str">
        <f>"ACCT#9725-007/REC/BASE/PCT#4"</f>
        <v>ACCT#9725-007/REC/BASE/PCT#4</v>
      </c>
    </row>
    <row r="38" spans="5:8" x14ac:dyDescent="0.25">
      <c r="E38" t="str">
        <f>"9725-007-114651"</f>
        <v>9725-007-114651</v>
      </c>
      <c r="F38" t="str">
        <f>"ACCT#9725-007/REC/BASE/PCT#4"</f>
        <v>ACCT#9725-007/REC/BASE/PCT#4</v>
      </c>
      <c r="G38" s="5">
        <v>803.86</v>
      </c>
      <c r="H38" t="str">
        <f>"ACCT#9725-007/REC/BASE/PCT#4"</f>
        <v>ACCT#9725-007/REC/BASE/PCT#4</v>
      </c>
    </row>
    <row r="39" spans="5:8" x14ac:dyDescent="0.25">
      <c r="E39" t="str">
        <f>"9725-007-114676"</f>
        <v>9725-007-114676</v>
      </c>
      <c r="F39" t="str">
        <f>"ACCT#9725-007/REC BASE/PCT#4"</f>
        <v>ACCT#9725-007/REC BASE/PCT#4</v>
      </c>
      <c r="G39" s="5">
        <v>2395.42</v>
      </c>
      <c r="H39" t="str">
        <f>"ACCT#9725-007/REC BASE/PCT#4"</f>
        <v>ACCT#9725-007/REC BASE/PCT#4</v>
      </c>
    </row>
    <row r="40" spans="5:8" x14ac:dyDescent="0.25">
      <c r="E40" t="str">
        <f>"9725-007-114676-P2"</f>
        <v>9725-007-114676-P2</v>
      </c>
      <c r="F40" t="str">
        <f>"ACCT#9725-001/REC BASE/PCT#2"</f>
        <v>ACCT#9725-001/REC BASE/PCT#2</v>
      </c>
      <c r="G40" s="5">
        <v>204.4</v>
      </c>
      <c r="H40" t="str">
        <f>"ACCT#9725-001/REC BASE/PCT#2"</f>
        <v>ACCT#9725-001/REC BASE/PCT#2</v>
      </c>
    </row>
    <row r="41" spans="5:8" x14ac:dyDescent="0.25">
      <c r="E41" t="str">
        <f>"9725-007-114697"</f>
        <v>9725-007-114697</v>
      </c>
      <c r="F41" t="str">
        <f>"ACCT#9725-007/REC/BASE/PCT#4"</f>
        <v>ACCT#9725-007/REC/BASE/PCT#4</v>
      </c>
      <c r="G41" s="5">
        <v>2445.8000000000002</v>
      </c>
      <c r="H41" t="str">
        <f>"ACCT#9725-007/REC/BASE/PCT#4"</f>
        <v>ACCT#9725-007/REC/BASE/PCT#4</v>
      </c>
    </row>
    <row r="42" spans="5:8" x14ac:dyDescent="0.25">
      <c r="E42" t="str">
        <f>"9725-007-114713"</f>
        <v>9725-007-114713</v>
      </c>
      <c r="F42" t="str">
        <f>"ACCT#9725-007/REC BASE/PCT#4"</f>
        <v>ACCT#9725-007/REC BASE/PCT#4</v>
      </c>
      <c r="G42" s="5">
        <v>1825.95</v>
      </c>
      <c r="H42" t="str">
        <f>"ACCT#9725-007/REC BASE/PCT#4"</f>
        <v>ACCT#9725-007/REC BASE/PCT#4</v>
      </c>
    </row>
    <row r="43" spans="5:8" x14ac:dyDescent="0.25">
      <c r="E43" t="str">
        <f>"9725-007-114733"</f>
        <v>9725-007-114733</v>
      </c>
      <c r="F43" t="str">
        <f>"ACCT#9725-007/REC/BASE/PCT#4"</f>
        <v>ACCT#9725-007/REC/BASE/PCT#4</v>
      </c>
      <c r="G43" s="5">
        <v>1846.18</v>
      </c>
      <c r="H43" t="str">
        <f>"ACCT#9725-007/REC/BASE/PCT#4"</f>
        <v>ACCT#9725-007/REC/BASE/PCT#4</v>
      </c>
    </row>
    <row r="44" spans="5:8" x14ac:dyDescent="0.25">
      <c r="E44" t="str">
        <f>"9725-007-114766"</f>
        <v>9725-007-114766</v>
      </c>
      <c r="F44" t="str">
        <f t="shared" ref="F44:F49" si="6">"ACCT#9725-007/REC BASE/PCT#4"</f>
        <v>ACCT#9725-007/REC BASE/PCT#4</v>
      </c>
      <c r="G44" s="5">
        <v>1591.65</v>
      </c>
      <c r="H44" t="str">
        <f t="shared" ref="H44:H49" si="7">"ACCT#9725-007/REC BASE/PCT#4"</f>
        <v>ACCT#9725-007/REC BASE/PCT#4</v>
      </c>
    </row>
    <row r="45" spans="5:8" x14ac:dyDescent="0.25">
      <c r="E45" t="str">
        <f>"9725-007-114805"</f>
        <v>9725-007-114805</v>
      </c>
      <c r="F45" t="str">
        <f t="shared" si="6"/>
        <v>ACCT#9725-007/REC BASE/PCT#4</v>
      </c>
      <c r="G45" s="5">
        <v>2268.0100000000002</v>
      </c>
      <c r="H45" t="str">
        <f t="shared" si="7"/>
        <v>ACCT#9725-007/REC BASE/PCT#4</v>
      </c>
    </row>
    <row r="46" spans="5:8" x14ac:dyDescent="0.25">
      <c r="E46" t="str">
        <f>"9725-007-114829"</f>
        <v>9725-007-114829</v>
      </c>
      <c r="F46" t="str">
        <f t="shared" si="6"/>
        <v>ACCT#9725-007/REC BASE/PCT#4</v>
      </c>
      <c r="G46" s="5">
        <v>1211.0999999999999</v>
      </c>
      <c r="H46" t="str">
        <f t="shared" si="7"/>
        <v>ACCT#9725-007/REC BASE/PCT#4</v>
      </c>
    </row>
    <row r="47" spans="5:8" x14ac:dyDescent="0.25">
      <c r="E47" t="str">
        <f>"9725-007-114857"</f>
        <v>9725-007-114857</v>
      </c>
      <c r="F47" t="str">
        <f t="shared" si="6"/>
        <v>ACCT#9725-007/REC BASE/PCT#4</v>
      </c>
      <c r="G47" s="5">
        <v>2244.58</v>
      </c>
      <c r="H47" t="str">
        <f t="shared" si="7"/>
        <v>ACCT#9725-007/REC BASE/PCT#4</v>
      </c>
    </row>
    <row r="48" spans="5:8" x14ac:dyDescent="0.25">
      <c r="E48" t="str">
        <f>"9725-007-114885"</f>
        <v>9725-007-114885</v>
      </c>
      <c r="F48" t="str">
        <f t="shared" si="6"/>
        <v>ACCT#9725-007/REC BASE/PCT#4</v>
      </c>
      <c r="G48" s="5">
        <v>2047.85</v>
      </c>
      <c r="H48" t="str">
        <f t="shared" si="7"/>
        <v>ACCT#9725-007/REC BASE/PCT#4</v>
      </c>
    </row>
    <row r="49" spans="1:8" x14ac:dyDescent="0.25">
      <c r="E49" t="str">
        <f>"9725-007-114927"</f>
        <v>9725-007-114927</v>
      </c>
      <c r="F49" t="str">
        <f t="shared" si="6"/>
        <v>ACCT#9725-007/REC BASE/PCT#4</v>
      </c>
      <c r="G49" s="5">
        <v>2405.31</v>
      </c>
      <c r="H49" t="str">
        <f t="shared" si="7"/>
        <v>ACCT#9725-007/REC BASE/PCT#4</v>
      </c>
    </row>
    <row r="50" spans="1:8" x14ac:dyDescent="0.25">
      <c r="E50" t="str">
        <f>"9725-007-114957"</f>
        <v>9725-007-114957</v>
      </c>
      <c r="F50" t="str">
        <f>"ACCT#9725-007/REC/BASE/PCT#4"</f>
        <v>ACCT#9725-007/REC/BASE/PCT#4</v>
      </c>
      <c r="G50" s="5">
        <v>2442.66</v>
      </c>
      <c r="H50" t="str">
        <f>"ACCT#9725-007/REC/BASE/PCT#4"</f>
        <v>ACCT#9725-007/REC/BASE/PCT#4</v>
      </c>
    </row>
    <row r="51" spans="1:8" x14ac:dyDescent="0.25">
      <c r="E51" t="str">
        <f>"9725-008-114768"</f>
        <v>9725-008-114768</v>
      </c>
      <c r="F51" t="str">
        <f>"ACCT#9725-008/REC BASE/PCT#2"</f>
        <v>ACCT#9725-008/REC BASE/PCT#2</v>
      </c>
      <c r="G51" s="5">
        <v>609.42999999999995</v>
      </c>
      <c r="H51" t="str">
        <f>"ACCT#9725-008/REC BASE/PCT#2"</f>
        <v>ACCT#9725-008/REC BASE/PCT#2</v>
      </c>
    </row>
    <row r="52" spans="1:8" x14ac:dyDescent="0.25">
      <c r="A52" t="s">
        <v>12</v>
      </c>
      <c r="B52">
        <v>131083</v>
      </c>
      <c r="C52" s="5">
        <v>75</v>
      </c>
      <c r="D52" s="1">
        <v>43899</v>
      </c>
      <c r="E52" t="str">
        <f>"202003035670"</f>
        <v>202003035670</v>
      </c>
      <c r="F52" t="str">
        <f>"REIMBURSE BAIL BOND COUPONS"</f>
        <v>REIMBURSE BAIL BOND COUPONS</v>
      </c>
      <c r="G52" s="5">
        <v>75</v>
      </c>
      <c r="H52" t="str">
        <f>"REIMBURSE BAIL BOND COUPONS"</f>
        <v>REIMBURSE BAIL BOND COUPONS</v>
      </c>
    </row>
    <row r="53" spans="1:8" x14ac:dyDescent="0.25">
      <c r="A53" t="s">
        <v>13</v>
      </c>
      <c r="B53">
        <v>131084</v>
      </c>
      <c r="C53" s="5">
        <v>566.26</v>
      </c>
      <c r="D53" s="1">
        <v>43899</v>
      </c>
      <c r="E53" t="str">
        <f>"202003035647"</f>
        <v>202003035647</v>
      </c>
      <c r="F53" t="str">
        <f>"STATEMENT#379102/CUST ID:16500"</f>
        <v>STATEMENT#379102/CUST ID:16500</v>
      </c>
      <c r="G53" s="5">
        <v>566.26</v>
      </c>
      <c r="H53" t="str">
        <f>"STATEMENT#379102/CUST ID:16500"</f>
        <v>STATEMENT#379102/CUST ID:16500</v>
      </c>
    </row>
    <row r="54" spans="1:8" x14ac:dyDescent="0.25">
      <c r="A54" t="s">
        <v>14</v>
      </c>
      <c r="B54">
        <v>131085</v>
      </c>
      <c r="C54" s="5">
        <v>1479.5</v>
      </c>
      <c r="D54" s="1">
        <v>43899</v>
      </c>
      <c r="E54" t="str">
        <f>"322572"</f>
        <v>322572</v>
      </c>
      <c r="F54" t="str">
        <f>"FIRE EXT MAINTENANCCE/PCT#2"</f>
        <v>FIRE EXT MAINTENANCCE/PCT#2</v>
      </c>
      <c r="G54" s="5">
        <v>479.5</v>
      </c>
      <c r="H54" t="str">
        <f>"FIRE EXT MAINTENANCCE/PCT#2"</f>
        <v>FIRE EXT MAINTENANCCE/PCT#2</v>
      </c>
    </row>
    <row r="55" spans="1:8" x14ac:dyDescent="0.25">
      <c r="E55" t="str">
        <f>"323990"</f>
        <v>323990</v>
      </c>
      <c r="F55" t="str">
        <f>"INV323990"</f>
        <v>INV323990</v>
      </c>
      <c r="G55" s="5">
        <v>1000</v>
      </c>
      <c r="H55" t="str">
        <f>"INV323990"</f>
        <v>INV323990</v>
      </c>
    </row>
    <row r="56" spans="1:8" x14ac:dyDescent="0.25">
      <c r="A56" t="s">
        <v>15</v>
      </c>
      <c r="B56">
        <v>131086</v>
      </c>
      <c r="C56" s="5">
        <v>4000</v>
      </c>
      <c r="D56" s="1">
        <v>43899</v>
      </c>
      <c r="E56" t="str">
        <f>"202003065808"</f>
        <v>202003065808</v>
      </c>
      <c r="F56" t="str">
        <f>"REFUND FOR OVERPAYMENT"</f>
        <v>REFUND FOR OVERPAYMENT</v>
      </c>
      <c r="G56" s="5">
        <v>4000</v>
      </c>
      <c r="H56" t="str">
        <f>"REFUND FOR OVERPAYMENT"</f>
        <v>REFUND FOR OVERPAYMENT</v>
      </c>
    </row>
    <row r="57" spans="1:8" x14ac:dyDescent="0.25">
      <c r="A57" t="s">
        <v>16</v>
      </c>
      <c r="B57">
        <v>131298</v>
      </c>
      <c r="C57" s="5">
        <v>1425</v>
      </c>
      <c r="D57" s="1">
        <v>43913</v>
      </c>
      <c r="E57" t="str">
        <f>"202003125896"</f>
        <v>202003125896</v>
      </c>
      <c r="F57" t="str">
        <f>"20-20077"</f>
        <v>20-20077</v>
      </c>
      <c r="G57" s="5">
        <v>565</v>
      </c>
      <c r="H57" t="str">
        <f>"20-20077"</f>
        <v>20-20077</v>
      </c>
    </row>
    <row r="58" spans="1:8" x14ac:dyDescent="0.25">
      <c r="E58" t="str">
        <f>"202003125904"</f>
        <v>202003125904</v>
      </c>
      <c r="F58" t="str">
        <f>"19-19864"</f>
        <v>19-19864</v>
      </c>
      <c r="G58" s="5">
        <v>332.5</v>
      </c>
      <c r="H58" t="str">
        <f>"19-19864"</f>
        <v>19-19864</v>
      </c>
    </row>
    <row r="59" spans="1:8" x14ac:dyDescent="0.25">
      <c r="E59" t="str">
        <f>"202003125905"</f>
        <v>202003125905</v>
      </c>
      <c r="F59" t="str">
        <f>"19-19423"</f>
        <v>19-19423</v>
      </c>
      <c r="G59" s="5">
        <v>100</v>
      </c>
      <c r="H59" t="str">
        <f>"19-19423"</f>
        <v>19-19423</v>
      </c>
    </row>
    <row r="60" spans="1:8" x14ac:dyDescent="0.25">
      <c r="E60" t="str">
        <f>"202003125906"</f>
        <v>202003125906</v>
      </c>
      <c r="F60" t="str">
        <f>"19-19857"</f>
        <v>19-19857</v>
      </c>
      <c r="G60" s="5">
        <v>152.5</v>
      </c>
      <c r="H60" t="str">
        <f>"19-19857"</f>
        <v>19-19857</v>
      </c>
    </row>
    <row r="61" spans="1:8" x14ac:dyDescent="0.25">
      <c r="E61" t="str">
        <f>"202003125907"</f>
        <v>202003125907</v>
      </c>
      <c r="F61" t="str">
        <f>"19-19713"</f>
        <v>19-19713</v>
      </c>
      <c r="G61" s="5">
        <v>52.5</v>
      </c>
      <c r="H61" t="str">
        <f>"19-19713"</f>
        <v>19-19713</v>
      </c>
    </row>
    <row r="62" spans="1:8" x14ac:dyDescent="0.25">
      <c r="E62" t="str">
        <f>"202003125908"</f>
        <v>202003125908</v>
      </c>
      <c r="F62" t="str">
        <f>"19-20002"</f>
        <v>19-20002</v>
      </c>
      <c r="G62" s="5">
        <v>107.5</v>
      </c>
      <c r="H62" t="str">
        <f>"19-20002"</f>
        <v>19-20002</v>
      </c>
    </row>
    <row r="63" spans="1:8" x14ac:dyDescent="0.25">
      <c r="E63" t="str">
        <f>"202003125909"</f>
        <v>202003125909</v>
      </c>
      <c r="F63" t="str">
        <f>"19-19811"</f>
        <v>19-19811</v>
      </c>
      <c r="G63" s="5">
        <v>115</v>
      </c>
      <c r="H63" t="str">
        <f>"19-19811"</f>
        <v>19-19811</v>
      </c>
    </row>
    <row r="64" spans="1:8" x14ac:dyDescent="0.25">
      <c r="A64" t="s">
        <v>17</v>
      </c>
      <c r="B64">
        <v>2270</v>
      </c>
      <c r="C64" s="5">
        <v>249.99</v>
      </c>
      <c r="D64" s="1">
        <v>43900</v>
      </c>
      <c r="E64" t="str">
        <f>"202003025565"</f>
        <v>202003025565</v>
      </c>
      <c r="F64" t="str">
        <f>"MAIL CHIMP REIMBURSEMENT"</f>
        <v>MAIL CHIMP REIMBURSEMENT</v>
      </c>
      <c r="G64" s="5">
        <v>84.99</v>
      </c>
      <c r="H64" t="str">
        <f>"MAIL CHIMP REIMBURSEMENT"</f>
        <v>MAIL CHIMP REIMBURSEMENT</v>
      </c>
    </row>
    <row r="65" spans="1:8" x14ac:dyDescent="0.25">
      <c r="E65" t="str">
        <f>"202003025567"</f>
        <v>202003025567</v>
      </c>
      <c r="F65" t="str">
        <f>"TRAVEL ADVANCE REQ-PER DIEM"</f>
        <v>TRAVEL ADVANCE REQ-PER DIEM</v>
      </c>
      <c r="G65" s="5">
        <v>165</v>
      </c>
      <c r="H65" t="str">
        <f>"TRAVEL ADVANCE REQ-PER DIEM"</f>
        <v>TRAVEL ADVANCE REQ-PER DIEM</v>
      </c>
    </row>
    <row r="66" spans="1:8" x14ac:dyDescent="0.25">
      <c r="A66" t="s">
        <v>17</v>
      </c>
      <c r="B66">
        <v>2331</v>
      </c>
      <c r="C66" s="5">
        <v>0</v>
      </c>
      <c r="D66" s="1">
        <v>43900</v>
      </c>
      <c r="E66" t="str">
        <f>"202003095811"</f>
        <v>202003095811</v>
      </c>
      <c r="F66" t="str">
        <f>"VOID SXSW PER DIEM"</f>
        <v>VOID SXSW PER DIEM</v>
      </c>
      <c r="G66" s="5">
        <v>-120</v>
      </c>
      <c r="H66" t="str">
        <f>"VOID SXSW PER DIEM"</f>
        <v>VOID SXSW PER DIEM</v>
      </c>
    </row>
    <row r="67" spans="1:8" x14ac:dyDescent="0.25">
      <c r="E67" t="str">
        <f>"202003025566"</f>
        <v>202003025566</v>
      </c>
      <c r="F67" t="str">
        <f>"TRAVEL ADVANCE REQUEST"</f>
        <v>TRAVEL ADVANCE REQUEST</v>
      </c>
      <c r="G67" s="5">
        <v>120</v>
      </c>
      <c r="H67" t="str">
        <f>"TRAVEL ADVANCE REQUEST"</f>
        <v>TRAVEL ADVANCE REQUEST</v>
      </c>
    </row>
    <row r="68" spans="1:8" x14ac:dyDescent="0.25">
      <c r="A68" t="s">
        <v>17</v>
      </c>
      <c r="B68">
        <v>2349</v>
      </c>
      <c r="C68" s="5">
        <v>125.18</v>
      </c>
      <c r="D68" s="1">
        <v>43914</v>
      </c>
      <c r="E68" t="str">
        <f>"202003176002"</f>
        <v>202003176002</v>
      </c>
      <c r="F68" t="str">
        <f>"RODEO AUSTIN-CANCELLED"</f>
        <v>RODEO AUSTIN-CANCELLED</v>
      </c>
      <c r="G68" s="5">
        <v>-129.86000000000001</v>
      </c>
      <c r="H68" t="str">
        <f>"RODEO AUSTIN-CANCELLED"</f>
        <v>RODEO AUSTIN-CANCELLED</v>
      </c>
    </row>
    <row r="69" spans="1:8" x14ac:dyDescent="0.25">
      <c r="E69" t="str">
        <f>"202003176003"</f>
        <v>202003176003</v>
      </c>
      <c r="F69" t="str">
        <f>"REIMBURSEMENT-PARKING/HOTEL"</f>
        <v>REIMBURSEMENT-PARKING/HOTEL</v>
      </c>
      <c r="G69" s="5">
        <v>255.04</v>
      </c>
      <c r="H69" t="str">
        <f>"REIMBURSEMENT-PARKING/HOTEL"</f>
        <v>REIMBURSEMENT-PARKING/HOTEL</v>
      </c>
    </row>
    <row r="70" spans="1:8" x14ac:dyDescent="0.25">
      <c r="A70" t="s">
        <v>18</v>
      </c>
      <c r="B70">
        <v>131087</v>
      </c>
      <c r="C70" s="5">
        <v>726.75</v>
      </c>
      <c r="D70" s="1">
        <v>43899</v>
      </c>
      <c r="E70" t="str">
        <f>"6930295"</f>
        <v>6930295</v>
      </c>
      <c r="F70" t="str">
        <f>"CUST#17295/PCT#4"</f>
        <v>CUST#17295/PCT#4</v>
      </c>
      <c r="G70" s="5">
        <v>85.14</v>
      </c>
      <c r="H70" t="str">
        <f>"CUST#17295/PCT#4"</f>
        <v>CUST#17295/PCT#4</v>
      </c>
    </row>
    <row r="71" spans="1:8" x14ac:dyDescent="0.25">
      <c r="E71" t="str">
        <f>"6931345"</f>
        <v>6931345</v>
      </c>
      <c r="F71" t="str">
        <f>"CUST#17295/PCT#4"</f>
        <v>CUST#17295/PCT#4</v>
      </c>
      <c r="G71" s="5">
        <v>73.16</v>
      </c>
      <c r="H71" t="str">
        <f>"CUST#17295/PCT#4"</f>
        <v>CUST#17295/PCT#4</v>
      </c>
    </row>
    <row r="72" spans="1:8" x14ac:dyDescent="0.25">
      <c r="E72" t="str">
        <f>"6932953"</f>
        <v>6932953</v>
      </c>
      <c r="F72" t="str">
        <f>"CUST#17295/PCT#4"</f>
        <v>CUST#17295/PCT#4</v>
      </c>
      <c r="G72" s="5">
        <v>568.45000000000005</v>
      </c>
      <c r="H72" t="str">
        <f>"CUST#17295/PCT#4"</f>
        <v>CUST#17295/PCT#4</v>
      </c>
    </row>
    <row r="73" spans="1:8" x14ac:dyDescent="0.25">
      <c r="A73" t="s">
        <v>19</v>
      </c>
      <c r="B73">
        <v>2307</v>
      </c>
      <c r="C73" s="5">
        <v>600</v>
      </c>
      <c r="D73" s="1">
        <v>43900</v>
      </c>
      <c r="E73" t="str">
        <f>"202002275551"</f>
        <v>202002275551</v>
      </c>
      <c r="F73" t="str">
        <f>"16537"</f>
        <v>16537</v>
      </c>
      <c r="G73" s="5">
        <v>600</v>
      </c>
      <c r="H73" t="str">
        <f>"16537"</f>
        <v>16537</v>
      </c>
    </row>
    <row r="74" spans="1:8" x14ac:dyDescent="0.25">
      <c r="A74" t="s">
        <v>20</v>
      </c>
      <c r="B74">
        <v>2274</v>
      </c>
      <c r="C74" s="5">
        <v>1114.8399999999999</v>
      </c>
      <c r="D74" s="1">
        <v>43900</v>
      </c>
      <c r="E74" t="str">
        <f>"202003035626"</f>
        <v>202003035626</v>
      </c>
      <c r="F74" t="str">
        <f>"57 263  56 664"</f>
        <v>57 263  56 664</v>
      </c>
      <c r="G74" s="5">
        <v>338.28</v>
      </c>
      <c r="H74" t="str">
        <f>"57 263  56 664"</f>
        <v>57 263  56 664</v>
      </c>
    </row>
    <row r="75" spans="1:8" x14ac:dyDescent="0.25">
      <c r="E75" t="str">
        <f>"202003035627"</f>
        <v>202003035627</v>
      </c>
      <c r="F75" t="str">
        <f>"57 264  57 280  57 263"</f>
        <v>57 264  57 280  57 263</v>
      </c>
      <c r="G75" s="5">
        <v>338.28</v>
      </c>
      <c r="H75" t="str">
        <f>"57 264  57 280  57 263"</f>
        <v>57 264  57 280  57 263</v>
      </c>
    </row>
    <row r="76" spans="1:8" x14ac:dyDescent="0.25">
      <c r="E76" t="str">
        <f>"202003035628"</f>
        <v>202003035628</v>
      </c>
      <c r="F76" t="str">
        <f>"07-11716  14-16563"</f>
        <v>07-11716  14-16563</v>
      </c>
      <c r="G76" s="5">
        <v>438.28</v>
      </c>
      <c r="H76" t="str">
        <f>"07-11716  14-16563"</f>
        <v>07-11716  14-16563</v>
      </c>
    </row>
    <row r="77" spans="1:8" x14ac:dyDescent="0.25">
      <c r="A77" t="s">
        <v>20</v>
      </c>
      <c r="B77">
        <v>2355</v>
      </c>
      <c r="C77" s="5">
        <v>638.28</v>
      </c>
      <c r="D77" s="1">
        <v>43914</v>
      </c>
      <c r="E77" t="str">
        <f>"202003125889"</f>
        <v>202003125889</v>
      </c>
      <c r="F77" t="str">
        <f>"02/27/20 CRIMINAL DOCKET"</f>
        <v>02/27/20 CRIMINAL DOCKET</v>
      </c>
      <c r="G77" s="5">
        <v>319.14</v>
      </c>
      <c r="H77" t="str">
        <f>"02/27/20 CRIMINAL DOCKET"</f>
        <v>02/27/20 CRIMINAL DOCKET</v>
      </c>
    </row>
    <row r="78" spans="1:8" x14ac:dyDescent="0.25">
      <c r="E78" t="str">
        <f>"202003135966"</f>
        <v>202003135966</v>
      </c>
      <c r="F78" t="str">
        <f>"423-5378"</f>
        <v>423-5378</v>
      </c>
      <c r="G78" s="5">
        <v>319.14</v>
      </c>
      <c r="H78" t="str">
        <f>"423-5378"</f>
        <v>423-5378</v>
      </c>
    </row>
    <row r="79" spans="1:8" x14ac:dyDescent="0.25">
      <c r="A79" t="s">
        <v>21</v>
      </c>
      <c r="B79">
        <v>131299</v>
      </c>
      <c r="C79" s="5">
        <v>850</v>
      </c>
      <c r="D79" s="1">
        <v>43913</v>
      </c>
      <c r="E79" t="str">
        <f>"202003176019"</f>
        <v>202003176019</v>
      </c>
      <c r="F79" t="str">
        <f>"TRAINING"</f>
        <v>TRAINING</v>
      </c>
      <c r="G79" s="5">
        <v>850</v>
      </c>
      <c r="H79" t="str">
        <f>"TRAINING"</f>
        <v>TRAINING</v>
      </c>
    </row>
    <row r="80" spans="1:8" x14ac:dyDescent="0.25">
      <c r="A80" t="s">
        <v>22</v>
      </c>
      <c r="B80">
        <v>131088</v>
      </c>
      <c r="C80" s="5">
        <v>105</v>
      </c>
      <c r="D80" s="1">
        <v>43899</v>
      </c>
      <c r="E80" t="str">
        <f>"202003035696"</f>
        <v>202003035696</v>
      </c>
      <c r="F80" t="str">
        <f>"PER DIEM"</f>
        <v>PER DIEM</v>
      </c>
      <c r="G80" s="5">
        <v>105</v>
      </c>
      <c r="H80" t="str">
        <f>"PER DIEM"</f>
        <v>PER DIEM</v>
      </c>
    </row>
    <row r="81" spans="1:8" x14ac:dyDescent="0.25">
      <c r="A81" t="s">
        <v>23</v>
      </c>
      <c r="B81">
        <v>2262</v>
      </c>
      <c r="C81" s="5">
        <v>24673.42</v>
      </c>
      <c r="D81" s="1">
        <v>43900</v>
      </c>
      <c r="E81" t="str">
        <f>"202003025558"</f>
        <v>202003025558</v>
      </c>
      <c r="F81" t="str">
        <f>"HAULING EXPS 02/14-02/28/P4"</f>
        <v>HAULING EXPS 02/14-02/28/P4</v>
      </c>
      <c r="G81" s="5">
        <v>11250.2</v>
      </c>
      <c r="H81" t="str">
        <f>"HAULING EXPS 02/14-02/28/P4"</f>
        <v>HAULING EXPS 02/14-02/28/P4</v>
      </c>
    </row>
    <row r="82" spans="1:8" x14ac:dyDescent="0.25">
      <c r="E82" t="str">
        <f>"202003025559"</f>
        <v>202003025559</v>
      </c>
      <c r="F82" t="str">
        <f>"HAULING EXPS 02/24-02/28/P4"</f>
        <v>HAULING EXPS 02/24-02/28/P4</v>
      </c>
      <c r="G82" s="5">
        <v>13423.22</v>
      </c>
      <c r="H82" t="str">
        <f>"HAULING EXPS 02/24-02/28/P4"</f>
        <v>HAULING EXPS 02/24-02/28/P4</v>
      </c>
    </row>
    <row r="83" spans="1:8" x14ac:dyDescent="0.25">
      <c r="A83" t="s">
        <v>23</v>
      </c>
      <c r="B83">
        <v>2345</v>
      </c>
      <c r="C83" s="5">
        <v>23863.07</v>
      </c>
      <c r="D83" s="1">
        <v>43914</v>
      </c>
      <c r="E83" t="str">
        <f>"202003175999"</f>
        <v>202003175999</v>
      </c>
      <c r="F83" t="str">
        <f>"HAULING EXPS 03/02-03/13/PCT#4"</f>
        <v>HAULING EXPS 03/02-03/13/PCT#4</v>
      </c>
      <c r="G83" s="5">
        <v>10255.379999999999</v>
      </c>
      <c r="H83" t="str">
        <f>"HAULING EXPS 03/02-03/13/PCT#4"</f>
        <v>HAULING EXPS 03/02-03/13/PCT#4</v>
      </c>
    </row>
    <row r="84" spans="1:8" x14ac:dyDescent="0.25">
      <c r="E84" t="str">
        <f>"202003176011"</f>
        <v>202003176011</v>
      </c>
      <c r="F84" t="str">
        <f>"HAULING EXPS 03/02-03/13/PCT#4"</f>
        <v>HAULING EXPS 03/02-03/13/PCT#4</v>
      </c>
      <c r="G84" s="5">
        <v>13607.69</v>
      </c>
      <c r="H84" t="str">
        <f>"HAULING EXPS 03/02-03/13/PCT#4"</f>
        <v>HAULING EXPS 03/02-03/13/PCT#4</v>
      </c>
    </row>
    <row r="85" spans="1:8" x14ac:dyDescent="0.25">
      <c r="A85" t="s">
        <v>24</v>
      </c>
      <c r="B85">
        <v>131089</v>
      </c>
      <c r="C85" s="5">
        <v>441.23</v>
      </c>
      <c r="D85" s="1">
        <v>43899</v>
      </c>
      <c r="E85" t="str">
        <f>"202003035649"</f>
        <v>202003035649</v>
      </c>
      <c r="F85" t="str">
        <f>"MILEAGE REIMBURSEMENT"</f>
        <v>MILEAGE REIMBURSEMENT</v>
      </c>
      <c r="G85" s="5">
        <v>45.77</v>
      </c>
      <c r="H85" t="str">
        <f>"MILEAGE REIMBURSEMENT"</f>
        <v>MILEAGE REIMBURSEMENT</v>
      </c>
    </row>
    <row r="86" spans="1:8" x14ac:dyDescent="0.25">
      <c r="E86" t="str">
        <f>"202003035650"</f>
        <v>202003035650</v>
      </c>
      <c r="F86" t="str">
        <f>"REIMBURSE LODGING"</f>
        <v>REIMBURSE LODGING</v>
      </c>
      <c r="G86" s="5">
        <v>395.46</v>
      </c>
      <c r="H86" t="str">
        <f>"REIMBURSE LODGING"</f>
        <v>REIMBURSE LODGING</v>
      </c>
    </row>
    <row r="87" spans="1:8" x14ac:dyDescent="0.25">
      <c r="A87" t="s">
        <v>25</v>
      </c>
      <c r="B87">
        <v>2286</v>
      </c>
      <c r="C87" s="5">
        <v>1663.04</v>
      </c>
      <c r="D87" s="1">
        <v>43900</v>
      </c>
      <c r="E87" t="str">
        <f>"16M9-X3QD-RNMH"</f>
        <v>16M9-X3QD-RNMH</v>
      </c>
      <c r="F87" t="str">
        <f>"Miscellaneous Order"</f>
        <v>Miscellaneous Order</v>
      </c>
      <c r="G87" s="5">
        <v>392.62</v>
      </c>
      <c r="H87" t="str">
        <f>"Purell 2LT"</f>
        <v>Purell 2LT</v>
      </c>
    </row>
    <row r="88" spans="1:8" x14ac:dyDescent="0.25">
      <c r="E88" t="str">
        <f>""</f>
        <v/>
      </c>
      <c r="F88" t="str">
        <f>""</f>
        <v/>
      </c>
      <c r="H88" t="str">
        <f>"Pandaflex- Yellow"</f>
        <v>Pandaflex- Yellow</v>
      </c>
    </row>
    <row r="89" spans="1:8" x14ac:dyDescent="0.25">
      <c r="E89" t="str">
        <f>""</f>
        <v/>
      </c>
      <c r="F89" t="str">
        <f>""</f>
        <v/>
      </c>
      <c r="H89" t="str">
        <f>"Pandaflex- Dk Blue"</f>
        <v>Pandaflex- Dk Blue</v>
      </c>
    </row>
    <row r="90" spans="1:8" x14ac:dyDescent="0.25">
      <c r="E90" t="str">
        <f>""</f>
        <v/>
      </c>
      <c r="F90" t="str">
        <f>""</f>
        <v/>
      </c>
      <c r="H90" t="str">
        <f>"Hanging Key Tags"</f>
        <v>Hanging Key Tags</v>
      </c>
    </row>
    <row r="91" spans="1:8" x14ac:dyDescent="0.25">
      <c r="E91" t="str">
        <f>""</f>
        <v/>
      </c>
      <c r="F91" t="str">
        <f>""</f>
        <v/>
      </c>
      <c r="H91" t="str">
        <f>"Decibel Meter"</f>
        <v>Decibel Meter</v>
      </c>
    </row>
    <row r="92" spans="1:8" x14ac:dyDescent="0.25">
      <c r="E92" t="str">
        <f>"17FP-HCX3-YDHH"</f>
        <v>17FP-HCX3-YDHH</v>
      </c>
      <c r="F92" t="str">
        <f>"Amazon Order"</f>
        <v>Amazon Order</v>
      </c>
      <c r="G92" s="5">
        <v>110.26</v>
      </c>
      <c r="H92" t="str">
        <f>"Officemate Staples"</f>
        <v>Officemate Staples</v>
      </c>
    </row>
    <row r="93" spans="1:8" x14ac:dyDescent="0.25">
      <c r="E93" t="str">
        <f>""</f>
        <v/>
      </c>
      <c r="F93" t="str">
        <f>""</f>
        <v/>
      </c>
      <c r="H93" t="str">
        <f>"AmazonBasics Folders"</f>
        <v>AmazonBasics Folders</v>
      </c>
    </row>
    <row r="94" spans="1:8" x14ac:dyDescent="0.25">
      <c r="E94" t="str">
        <f>""</f>
        <v/>
      </c>
      <c r="F94" t="str">
        <f>""</f>
        <v/>
      </c>
      <c r="H94" t="str">
        <f>"Puffs Facial Tissues"</f>
        <v>Puffs Facial Tissues</v>
      </c>
    </row>
    <row r="95" spans="1:8" x14ac:dyDescent="0.25">
      <c r="E95" t="str">
        <f>""</f>
        <v/>
      </c>
      <c r="F95" t="str">
        <f>""</f>
        <v/>
      </c>
      <c r="H95" t="str">
        <f>"Invisible Tape"</f>
        <v>Invisible Tape</v>
      </c>
    </row>
    <row r="96" spans="1:8" x14ac:dyDescent="0.25">
      <c r="E96" t="str">
        <f>""</f>
        <v/>
      </c>
      <c r="F96" t="str">
        <f>""</f>
        <v/>
      </c>
      <c r="H96" t="str">
        <f>"Printer Paper"</f>
        <v>Printer Paper</v>
      </c>
    </row>
    <row r="97" spans="1:8" x14ac:dyDescent="0.25">
      <c r="E97" t="str">
        <f>""</f>
        <v/>
      </c>
      <c r="F97" t="str">
        <f>""</f>
        <v/>
      </c>
      <c r="H97" t="str">
        <f>"3M Post-It Notes"</f>
        <v>3M Post-It Notes</v>
      </c>
    </row>
    <row r="98" spans="1:8" x14ac:dyDescent="0.25">
      <c r="E98" t="str">
        <f>""</f>
        <v/>
      </c>
      <c r="F98" t="str">
        <f>""</f>
        <v/>
      </c>
      <c r="H98" t="str">
        <f>"Peet's Domingo"</f>
        <v>Peet's Domingo</v>
      </c>
    </row>
    <row r="99" spans="1:8" x14ac:dyDescent="0.25">
      <c r="E99" t="str">
        <f>""</f>
        <v/>
      </c>
      <c r="F99" t="str">
        <f>""</f>
        <v/>
      </c>
      <c r="H99" t="str">
        <f>"Peet's Dark Roast"</f>
        <v>Peet's Dark Roast</v>
      </c>
    </row>
    <row r="100" spans="1:8" x14ac:dyDescent="0.25">
      <c r="E100" t="str">
        <f>"19MQ-RRYT-G94Q"</f>
        <v>19MQ-RRYT-G94Q</v>
      </c>
      <c r="F100" t="str">
        <f>"Amazon Order"</f>
        <v>Amazon Order</v>
      </c>
      <c r="G100" s="5">
        <v>730.07</v>
      </c>
      <c r="H100" t="str">
        <f>"3in Desk Grommet"</f>
        <v>3in Desk Grommet</v>
      </c>
    </row>
    <row r="101" spans="1:8" x14ac:dyDescent="0.25">
      <c r="E101" t="str">
        <f>""</f>
        <v/>
      </c>
      <c r="F101" t="str">
        <f>""</f>
        <v/>
      </c>
      <c r="H101" t="str">
        <f>"35ft. Extension Cord"</f>
        <v>35ft. Extension Cord</v>
      </c>
    </row>
    <row r="102" spans="1:8" x14ac:dyDescent="0.25">
      <c r="E102" t="str">
        <f>""</f>
        <v/>
      </c>
      <c r="F102" t="str">
        <f>""</f>
        <v/>
      </c>
      <c r="H102" t="str">
        <f>"Shipping"</f>
        <v>Shipping</v>
      </c>
    </row>
    <row r="103" spans="1:8" x14ac:dyDescent="0.25">
      <c r="E103" t="str">
        <f>"1CVQ-9X7L-W1L9"</f>
        <v>1CVQ-9X7L-W1L9</v>
      </c>
      <c r="F103" t="str">
        <f>"Ink Cartridge"</f>
        <v>Ink Cartridge</v>
      </c>
      <c r="G103" s="5">
        <v>180.49</v>
      </c>
      <c r="H103" t="str">
        <f>"Ink Cartridge"</f>
        <v>Ink Cartridge</v>
      </c>
    </row>
    <row r="104" spans="1:8" x14ac:dyDescent="0.25">
      <c r="E104" t="str">
        <f>"1F3C-L9YC-9JH4"</f>
        <v>1F3C-L9YC-9JH4</v>
      </c>
      <c r="F104" t="str">
        <f>"Trench Coat Safety Jacket"</f>
        <v>Trench Coat Safety Jacket</v>
      </c>
      <c r="G104" s="5">
        <v>99.98</v>
      </c>
      <c r="H104" t="str">
        <f>"XL"</f>
        <v>XL</v>
      </c>
    </row>
    <row r="105" spans="1:8" x14ac:dyDescent="0.25">
      <c r="E105" t="str">
        <f>""</f>
        <v/>
      </c>
      <c r="F105" t="str">
        <f>""</f>
        <v/>
      </c>
      <c r="H105" t="str">
        <f>"XXL"</f>
        <v>XXL</v>
      </c>
    </row>
    <row r="106" spans="1:8" x14ac:dyDescent="0.25">
      <c r="E106" t="str">
        <f>"1KGF-KR7R-PYK7"</f>
        <v>1KGF-KR7R-PYK7</v>
      </c>
      <c r="F106" t="str">
        <f>" Keypad Controller Unit"</f>
        <v xml:space="preserve"> Keypad Controller Unit</v>
      </c>
      <c r="G106" s="5">
        <v>53.5</v>
      </c>
      <c r="H106" t="str">
        <f>" Keypad Controller Unit"</f>
        <v xml:space="preserve"> Keypad Controller Unit</v>
      </c>
    </row>
    <row r="107" spans="1:8" x14ac:dyDescent="0.25">
      <c r="E107" t="str">
        <f>""</f>
        <v/>
      </c>
      <c r="F107" t="str">
        <f>""</f>
        <v/>
      </c>
      <c r="H107" t="str">
        <f>"Shipping"</f>
        <v>Shipping</v>
      </c>
    </row>
    <row r="108" spans="1:8" x14ac:dyDescent="0.25">
      <c r="E108" t="str">
        <f>"1XXL-1PH9-3KLC"</f>
        <v>1XXL-1PH9-3KLC</v>
      </c>
      <c r="F108" t="str">
        <f>"Releasable Pressure Sensi"</f>
        <v>Releasable Pressure Sensi</v>
      </c>
      <c r="G108" s="5">
        <v>96.12</v>
      </c>
      <c r="H108" t="str">
        <f>"Releasable Pressure Sensi"</f>
        <v>Releasable Pressure Sensi</v>
      </c>
    </row>
    <row r="109" spans="1:8" x14ac:dyDescent="0.25">
      <c r="A109" t="s">
        <v>25</v>
      </c>
      <c r="B109">
        <v>2366</v>
      </c>
      <c r="C109" s="5">
        <v>1446.48</v>
      </c>
      <c r="D109" s="1">
        <v>43914</v>
      </c>
      <c r="E109" t="str">
        <f>"13CV-PKRM-17DW"</f>
        <v>13CV-PKRM-17DW</v>
      </c>
      <c r="F109" t="str">
        <f>"Misc Screw"</f>
        <v>Misc Screw</v>
      </c>
      <c r="G109" s="5">
        <v>50.03</v>
      </c>
      <c r="H109" t="str">
        <f>"Bolt Assortment Ki"</f>
        <v>Bolt Assortment Ki</v>
      </c>
    </row>
    <row r="110" spans="1:8" x14ac:dyDescent="0.25">
      <c r="E110" t="str">
        <f>""</f>
        <v/>
      </c>
      <c r="F110" t="str">
        <f>""</f>
        <v/>
      </c>
      <c r="H110" t="str">
        <f>"Multitool Screwdrive"</f>
        <v>Multitool Screwdrive</v>
      </c>
    </row>
    <row r="111" spans="1:8" x14ac:dyDescent="0.25">
      <c r="E111" t="str">
        <f>""</f>
        <v/>
      </c>
      <c r="F111" t="str">
        <f>""</f>
        <v/>
      </c>
      <c r="H111" t="str">
        <f>"Tamper-Resistant Fla"</f>
        <v>Tamper-Resistant Fla</v>
      </c>
    </row>
    <row r="112" spans="1:8" x14ac:dyDescent="0.25">
      <c r="E112" t="str">
        <f>"13FL-H4L7-6JT9"</f>
        <v>13FL-H4L7-6JT9</v>
      </c>
      <c r="F112" t="str">
        <f>"Amazon Order"</f>
        <v>Amazon Order</v>
      </c>
      <c r="G112" s="5">
        <v>89.8</v>
      </c>
      <c r="H112" t="str">
        <f>"Power Grommet"</f>
        <v>Power Grommet</v>
      </c>
    </row>
    <row r="113" spans="1:8" x14ac:dyDescent="0.25">
      <c r="E113" t="str">
        <f>"1KL6-H6Q6-9Y64"</f>
        <v>1KL6-H6Q6-9Y64</v>
      </c>
      <c r="F113" t="str">
        <f>"MOP HANDLES"</f>
        <v>MOP HANDLES</v>
      </c>
      <c r="G113" s="5">
        <v>110.04</v>
      </c>
      <c r="H113" t="str">
        <f>"Impact 81 1  Diamete"</f>
        <v>Impact 81 1  Diamete</v>
      </c>
    </row>
    <row r="114" spans="1:8" x14ac:dyDescent="0.25">
      <c r="E114" t="str">
        <f>"1LG3-1VF9-6VPK"</f>
        <v>1LG3-1VF9-6VPK</v>
      </c>
      <c r="F114" t="str">
        <f>"Items for Toad Loggers"</f>
        <v>Items for Toad Loggers</v>
      </c>
      <c r="G114" s="5">
        <v>549.39</v>
      </c>
      <c r="H114" t="str">
        <f>"3.0 Reader"</f>
        <v>3.0 Reader</v>
      </c>
    </row>
    <row r="115" spans="1:8" x14ac:dyDescent="0.25">
      <c r="E115" t="str">
        <f>""</f>
        <v/>
      </c>
      <c r="F115" t="str">
        <f>""</f>
        <v/>
      </c>
      <c r="H115" t="str">
        <f>"SD Cards"</f>
        <v>SD Cards</v>
      </c>
    </row>
    <row r="116" spans="1:8" x14ac:dyDescent="0.25">
      <c r="E116" t="str">
        <f>""</f>
        <v/>
      </c>
      <c r="F116" t="str">
        <f>""</f>
        <v/>
      </c>
      <c r="H116" t="str">
        <f>"batteries"</f>
        <v>batteries</v>
      </c>
    </row>
    <row r="117" spans="1:8" x14ac:dyDescent="0.25">
      <c r="E117" t="str">
        <f>"1LV4-YGWG-6QNX"</f>
        <v>1LV4-YGWG-6QNX</v>
      </c>
      <c r="F117" t="str">
        <f>"Fans for Jail"</f>
        <v>Fans for Jail</v>
      </c>
      <c r="G117" s="5">
        <v>44.82</v>
      </c>
      <c r="H117" t="str">
        <f>"Fan HT-900"</f>
        <v>Fan HT-900</v>
      </c>
    </row>
    <row r="118" spans="1:8" x14ac:dyDescent="0.25">
      <c r="E118" t="str">
        <f>"1LWC-7YQF-6NKH"</f>
        <v>1LWC-7YQF-6NKH</v>
      </c>
      <c r="F118" t="str">
        <f>"Amazon Order"</f>
        <v>Amazon Order</v>
      </c>
      <c r="G118" s="5">
        <v>563.70000000000005</v>
      </c>
      <c r="H118" t="str">
        <f>"BUNN 3200.0015"</f>
        <v>BUNN 3200.0015</v>
      </c>
    </row>
    <row r="119" spans="1:8" x14ac:dyDescent="0.25">
      <c r="E119" t="str">
        <f>""</f>
        <v/>
      </c>
      <c r="F119" t="str">
        <f>""</f>
        <v/>
      </c>
      <c r="H119" t="str">
        <f>"Covidien/Kendall Sha"</f>
        <v>Covidien/Kendall Sha</v>
      </c>
    </row>
    <row r="120" spans="1:8" x14ac:dyDescent="0.25">
      <c r="E120" t="str">
        <f>""</f>
        <v/>
      </c>
      <c r="F120" t="str">
        <f>""</f>
        <v/>
      </c>
      <c r="H120" t="str">
        <f>"8507SA- Container Sh"</f>
        <v>8507SA- Container Sh</v>
      </c>
    </row>
    <row r="121" spans="1:8" x14ac:dyDescent="0.25">
      <c r="E121" t="str">
        <f>"1WGM-NWKW-4R1T"</f>
        <v>1WGM-NWKW-4R1T</v>
      </c>
      <c r="F121" t="str">
        <f>"Replacement Mirror"</f>
        <v>Replacement Mirror</v>
      </c>
      <c r="G121" s="5">
        <v>38.700000000000003</v>
      </c>
      <c r="H121" t="str">
        <f>"Replacement Mirror"</f>
        <v>Replacement Mirror</v>
      </c>
    </row>
    <row r="122" spans="1:8" x14ac:dyDescent="0.25">
      <c r="E122" t="str">
        <f>""</f>
        <v/>
      </c>
      <c r="F122" t="str">
        <f>""</f>
        <v/>
      </c>
      <c r="H122" t="str">
        <f>"screwdriver"</f>
        <v>screwdriver</v>
      </c>
    </row>
    <row r="123" spans="1:8" x14ac:dyDescent="0.25">
      <c r="A123" t="s">
        <v>26</v>
      </c>
      <c r="B123">
        <v>131090</v>
      </c>
      <c r="C123" s="5">
        <v>68.72</v>
      </c>
      <c r="D123" s="1">
        <v>43899</v>
      </c>
      <c r="E123" t="str">
        <f>"01-201254249"</f>
        <v>01-201254249</v>
      </c>
      <c r="F123" t="str">
        <f>"INV 01-201254249"</f>
        <v>INV 01-201254249</v>
      </c>
      <c r="G123" s="5">
        <v>31.82</v>
      </c>
      <c r="H123" t="str">
        <f>"INV 01-201254249"</f>
        <v>INV 01-201254249</v>
      </c>
    </row>
    <row r="124" spans="1:8" x14ac:dyDescent="0.25">
      <c r="E124" t="str">
        <f>"01-201265346"</f>
        <v>01-201265346</v>
      </c>
      <c r="F124" t="str">
        <f>"INV 01-201265346"</f>
        <v>INV 01-201265346</v>
      </c>
      <c r="G124" s="5">
        <v>36.9</v>
      </c>
      <c r="H124" t="str">
        <f>"INV 01-201265346"</f>
        <v>INV 01-201265346</v>
      </c>
    </row>
    <row r="125" spans="1:8" x14ac:dyDescent="0.25">
      <c r="A125" t="s">
        <v>26</v>
      </c>
      <c r="B125">
        <v>131300</v>
      </c>
      <c r="C125" s="5">
        <v>170.7</v>
      </c>
      <c r="D125" s="1">
        <v>43913</v>
      </c>
      <c r="E125" t="str">
        <f>"01-201252865"</f>
        <v>01-201252865</v>
      </c>
      <c r="F125" t="str">
        <f>"INV 01-201252865"</f>
        <v>INV 01-201252865</v>
      </c>
      <c r="G125" s="5">
        <v>36.9</v>
      </c>
      <c r="H125" t="str">
        <f>"INV 01-201252865"</f>
        <v>INV 01-201252865</v>
      </c>
    </row>
    <row r="126" spans="1:8" x14ac:dyDescent="0.25">
      <c r="E126" t="str">
        <f>"01-201268564"</f>
        <v>01-201268564</v>
      </c>
      <c r="F126" t="str">
        <f>"INV 01-201268564"</f>
        <v>INV 01-201268564</v>
      </c>
      <c r="G126" s="5">
        <v>36.9</v>
      </c>
      <c r="H126" t="str">
        <f>"INV 01-201268564"</f>
        <v>INV 01-201268564</v>
      </c>
    </row>
    <row r="127" spans="1:8" x14ac:dyDescent="0.25">
      <c r="E127" t="str">
        <f>"202003125940"</f>
        <v>202003125940</v>
      </c>
      <c r="F127" t="str">
        <f>"NOTARY APPLICATION-KALEE JONSE"</f>
        <v>NOTARY APPLICATION-KALEE JONSE</v>
      </c>
      <c r="G127" s="5">
        <v>96.9</v>
      </c>
      <c r="H127" t="str">
        <f>"NOTARY APPLICATION-KALEE JONSE"</f>
        <v>NOTARY APPLICATION-KALEE JONSE</v>
      </c>
    </row>
    <row r="128" spans="1:8" x14ac:dyDescent="0.25">
      <c r="A128" t="s">
        <v>27</v>
      </c>
      <c r="B128">
        <v>131301</v>
      </c>
      <c r="C128" s="5">
        <v>51.68</v>
      </c>
      <c r="D128" s="1">
        <v>43913</v>
      </c>
      <c r="E128" t="str">
        <f>"5373601"</f>
        <v>5373601</v>
      </c>
      <c r="F128" t="str">
        <f>"CUST ID:1000074/PCT#3"</f>
        <v>CUST ID:1000074/PCT#3</v>
      </c>
      <c r="G128" s="5">
        <v>51.68</v>
      </c>
      <c r="H128" t="str">
        <f>"CUST ID:1000074/PCT#3"</f>
        <v>CUST ID:1000074/PCT#3</v>
      </c>
    </row>
    <row r="129" spans="1:8" x14ac:dyDescent="0.25">
      <c r="A129" t="s">
        <v>28</v>
      </c>
      <c r="B129">
        <v>2271</v>
      </c>
      <c r="C129" s="5">
        <v>525.04999999999995</v>
      </c>
      <c r="D129" s="1">
        <v>43900</v>
      </c>
      <c r="E129" t="str">
        <f>"S133507325"</f>
        <v>S133507325</v>
      </c>
      <c r="F129" t="str">
        <f>"ACCT#379865/PCT#2"</f>
        <v>ACCT#379865/PCT#2</v>
      </c>
      <c r="G129" s="5">
        <v>525.04999999999995</v>
      </c>
      <c r="H129" t="str">
        <f>"ACCT#379865/PCT#2"</f>
        <v>ACCT#379865/PCT#2</v>
      </c>
    </row>
    <row r="130" spans="1:8" x14ac:dyDescent="0.25">
      <c r="A130" t="s">
        <v>29</v>
      </c>
      <c r="B130">
        <v>131091</v>
      </c>
      <c r="C130" s="5">
        <v>525.76</v>
      </c>
      <c r="D130" s="1">
        <v>43899</v>
      </c>
      <c r="E130" t="str">
        <f>"967676345"</f>
        <v>967676345</v>
      </c>
      <c r="F130" t="str">
        <f>"INV 967676345"</f>
        <v>INV 967676345</v>
      </c>
      <c r="G130" s="5">
        <v>525.76</v>
      </c>
      <c r="H130" t="str">
        <f>"INV 967676345"</f>
        <v>INV 967676345</v>
      </c>
    </row>
    <row r="131" spans="1:8" x14ac:dyDescent="0.25">
      <c r="A131" t="s">
        <v>29</v>
      </c>
      <c r="B131">
        <v>131302</v>
      </c>
      <c r="C131" s="5">
        <v>43.84</v>
      </c>
      <c r="D131" s="1">
        <v>43913</v>
      </c>
      <c r="E131" t="str">
        <f>"968552827"</f>
        <v>968552827</v>
      </c>
      <c r="F131" t="str">
        <f>"INV 968552827"</f>
        <v>INV 968552827</v>
      </c>
      <c r="G131" s="5">
        <v>43.84</v>
      </c>
      <c r="H131" t="str">
        <f>"INV 968552827"</f>
        <v>INV 968552827</v>
      </c>
    </row>
    <row r="132" spans="1:8" x14ac:dyDescent="0.25">
      <c r="A132" t="s">
        <v>30</v>
      </c>
      <c r="B132">
        <v>131092</v>
      </c>
      <c r="C132" s="5">
        <v>3006</v>
      </c>
      <c r="D132" s="1">
        <v>43899</v>
      </c>
      <c r="E132" t="str">
        <f>"111973"</f>
        <v>111973</v>
      </c>
      <c r="F132" t="str">
        <f>"COMBINATION FORMS/ELECTIONS"</f>
        <v>COMBINATION FORMS/ELECTIONS</v>
      </c>
      <c r="G132" s="5">
        <v>3006</v>
      </c>
      <c r="H132" t="str">
        <f>"COMBINATION FORMS/ELECTIONS"</f>
        <v>COMBINATION FORMS/ELECTIONS</v>
      </c>
    </row>
    <row r="133" spans="1:8" x14ac:dyDescent="0.25">
      <c r="A133" t="s">
        <v>31</v>
      </c>
      <c r="B133">
        <v>131295</v>
      </c>
      <c r="C133" s="5">
        <v>51</v>
      </c>
      <c r="D133" s="1">
        <v>43903</v>
      </c>
      <c r="E133" t="str">
        <f>"202003135954"</f>
        <v>202003135954</v>
      </c>
      <c r="F133" t="str">
        <f>"REFUND - CIVIL FILING FEE"</f>
        <v>REFUND - CIVIL FILING FEE</v>
      </c>
      <c r="G133" s="5">
        <v>51</v>
      </c>
      <c r="H133" t="str">
        <f>"REFUND - CIVIL FILING FEE"</f>
        <v>REFUND - CIVIL FILING FEE</v>
      </c>
    </row>
    <row r="134" spans="1:8" x14ac:dyDescent="0.25">
      <c r="A134" t="s">
        <v>32</v>
      </c>
      <c r="B134">
        <v>2323</v>
      </c>
      <c r="C134" s="5">
        <v>2845</v>
      </c>
      <c r="D134" s="1">
        <v>43900</v>
      </c>
      <c r="E134" t="str">
        <f>"202003035593"</f>
        <v>202003035593</v>
      </c>
      <c r="F134" t="str">
        <f>"19-19597"</f>
        <v>19-19597</v>
      </c>
      <c r="G134" s="5">
        <v>362.5</v>
      </c>
      <c r="H134" t="str">
        <f>"19-19597"</f>
        <v>19-19597</v>
      </c>
    </row>
    <row r="135" spans="1:8" x14ac:dyDescent="0.25">
      <c r="E135" t="str">
        <f>"202003035594"</f>
        <v>202003035594</v>
      </c>
      <c r="F135" t="str">
        <f>"20-20098"</f>
        <v>20-20098</v>
      </c>
      <c r="G135" s="5">
        <v>130</v>
      </c>
      <c r="H135" t="str">
        <f>"20-20098"</f>
        <v>20-20098</v>
      </c>
    </row>
    <row r="136" spans="1:8" x14ac:dyDescent="0.25">
      <c r="E136" t="str">
        <f>"202003035595"</f>
        <v>202003035595</v>
      </c>
      <c r="F136" t="str">
        <f>"19-19526"</f>
        <v>19-19526</v>
      </c>
      <c r="G136" s="5">
        <v>100</v>
      </c>
      <c r="H136" t="str">
        <f>"19-19526"</f>
        <v>19-19526</v>
      </c>
    </row>
    <row r="137" spans="1:8" x14ac:dyDescent="0.25">
      <c r="E137" t="str">
        <f>"202003035596"</f>
        <v>202003035596</v>
      </c>
      <c r="F137" t="str">
        <f>"20-20087"</f>
        <v>20-20087</v>
      </c>
      <c r="G137" s="5">
        <v>377.5</v>
      </c>
      <c r="H137" t="str">
        <f>"20-20087"</f>
        <v>20-20087</v>
      </c>
    </row>
    <row r="138" spans="1:8" x14ac:dyDescent="0.25">
      <c r="E138" t="str">
        <f>"202003035597"</f>
        <v>202003035597</v>
      </c>
      <c r="F138" t="str">
        <f>"20-20098"</f>
        <v>20-20098</v>
      </c>
      <c r="G138" s="5">
        <v>295</v>
      </c>
      <c r="H138" t="str">
        <f>"20-20098"</f>
        <v>20-20098</v>
      </c>
    </row>
    <row r="139" spans="1:8" x14ac:dyDescent="0.25">
      <c r="E139" t="str">
        <f>"202003035598"</f>
        <v>202003035598</v>
      </c>
      <c r="F139" t="str">
        <f>"18-19190"</f>
        <v>18-19190</v>
      </c>
      <c r="G139" s="5">
        <v>167.5</v>
      </c>
      <c r="H139" t="str">
        <f>"18-19190"</f>
        <v>18-19190</v>
      </c>
    </row>
    <row r="140" spans="1:8" x14ac:dyDescent="0.25">
      <c r="E140" t="str">
        <f>"202003035599"</f>
        <v>202003035599</v>
      </c>
      <c r="F140" t="str">
        <f>"19-19857"</f>
        <v>19-19857</v>
      </c>
      <c r="G140" s="5">
        <v>400</v>
      </c>
      <c r="H140" t="str">
        <f>"19-19857"</f>
        <v>19-19857</v>
      </c>
    </row>
    <row r="141" spans="1:8" x14ac:dyDescent="0.25">
      <c r="E141" t="str">
        <f>"202003035600"</f>
        <v>202003035600</v>
      </c>
      <c r="F141" t="str">
        <f>"20-20056"</f>
        <v>20-20056</v>
      </c>
      <c r="G141" s="5">
        <v>445</v>
      </c>
      <c r="H141" t="str">
        <f>"20-20056"</f>
        <v>20-20056</v>
      </c>
    </row>
    <row r="142" spans="1:8" x14ac:dyDescent="0.25">
      <c r="E142" t="str">
        <f>"202003035601"</f>
        <v>202003035601</v>
      </c>
      <c r="F142" t="str">
        <f>"19-19597"</f>
        <v>19-19597</v>
      </c>
      <c r="G142" s="5">
        <v>317.5</v>
      </c>
      <c r="H142" t="str">
        <f>"19-19597"</f>
        <v>19-19597</v>
      </c>
    </row>
    <row r="143" spans="1:8" x14ac:dyDescent="0.25">
      <c r="E143" t="str">
        <f>"202003035602"</f>
        <v>202003035602</v>
      </c>
      <c r="F143" t="str">
        <f>"1JP8918A"</f>
        <v>1JP8918A</v>
      </c>
      <c r="G143" s="5">
        <v>250</v>
      </c>
      <c r="H143" t="str">
        <f>"1JP8918A"</f>
        <v>1JP8918A</v>
      </c>
    </row>
    <row r="144" spans="1:8" x14ac:dyDescent="0.25">
      <c r="A144" t="s">
        <v>32</v>
      </c>
      <c r="B144">
        <v>2395</v>
      </c>
      <c r="C144" s="5">
        <v>3145</v>
      </c>
      <c r="D144" s="1">
        <v>43914</v>
      </c>
      <c r="E144" t="str">
        <f>"202003125883"</f>
        <v>202003125883</v>
      </c>
      <c r="F144" t="str">
        <f>"16 822"</f>
        <v>16 822</v>
      </c>
      <c r="G144" s="5">
        <v>400</v>
      </c>
      <c r="H144" t="str">
        <f>"16 822"</f>
        <v>16 822</v>
      </c>
    </row>
    <row r="145" spans="1:8" x14ac:dyDescent="0.25">
      <c r="E145" t="str">
        <f>"202003125884"</f>
        <v>202003125884</v>
      </c>
      <c r="F145" t="str">
        <f>"17 055"</f>
        <v>17 055</v>
      </c>
      <c r="G145" s="5">
        <v>400</v>
      </c>
      <c r="H145" t="str">
        <f>"17 055"</f>
        <v>17 055</v>
      </c>
    </row>
    <row r="146" spans="1:8" x14ac:dyDescent="0.25">
      <c r="E146" t="str">
        <f>"202003125885"</f>
        <v>202003125885</v>
      </c>
      <c r="F146" t="str">
        <f>"20160434"</f>
        <v>20160434</v>
      </c>
      <c r="G146" s="5">
        <v>400</v>
      </c>
      <c r="H146" t="str">
        <f>"20160434"</f>
        <v>20160434</v>
      </c>
    </row>
    <row r="147" spans="1:8" x14ac:dyDescent="0.25">
      <c r="E147" t="str">
        <f>"202003125886"</f>
        <v>202003125886</v>
      </c>
      <c r="F147" t="str">
        <f>"20160367"</f>
        <v>20160367</v>
      </c>
      <c r="G147" s="5">
        <v>400</v>
      </c>
      <c r="H147" t="str">
        <f>"20160367"</f>
        <v>20160367</v>
      </c>
    </row>
    <row r="148" spans="1:8" x14ac:dyDescent="0.25">
      <c r="E148" t="str">
        <f>"202003125911"</f>
        <v>202003125911</v>
      </c>
      <c r="F148" t="str">
        <f>"57 006"</f>
        <v>57 006</v>
      </c>
      <c r="G148" s="5">
        <v>250</v>
      </c>
      <c r="H148" t="str">
        <f>"57 006"</f>
        <v>57 006</v>
      </c>
    </row>
    <row r="149" spans="1:8" x14ac:dyDescent="0.25">
      <c r="E149" t="str">
        <f>"202003135981"</f>
        <v>202003135981</v>
      </c>
      <c r="F149" t="str">
        <f>"20-20056"</f>
        <v>20-20056</v>
      </c>
      <c r="G149" s="5">
        <v>340</v>
      </c>
      <c r="H149" t="str">
        <f>"20-20056"</f>
        <v>20-20056</v>
      </c>
    </row>
    <row r="150" spans="1:8" x14ac:dyDescent="0.25">
      <c r="E150" t="str">
        <f>"202003135982"</f>
        <v>202003135982</v>
      </c>
      <c r="F150" t="str">
        <f>"19-19768  10/17/19 - 01/28/20"</f>
        <v>19-19768  10/17/19 - 01/28/20</v>
      </c>
      <c r="G150" s="5">
        <v>655</v>
      </c>
      <c r="H150" t="str">
        <f>"19-19768  10/17/19 - 01/28/20"</f>
        <v>19-19768  10/17/19 - 01/28/20</v>
      </c>
    </row>
    <row r="151" spans="1:8" x14ac:dyDescent="0.25">
      <c r="E151" t="str">
        <f>"202003135983"</f>
        <v>202003135983</v>
      </c>
      <c r="F151" t="str">
        <f>"18-18864  08/16/19 - 09/17/19"</f>
        <v>18-18864  08/16/19 - 09/17/19</v>
      </c>
      <c r="G151" s="5">
        <v>300</v>
      </c>
      <c r="H151" t="str">
        <f>"18-18864  08/16/19 - 09/17/19"</f>
        <v>18-18864  08/16/19 - 09/17/19</v>
      </c>
    </row>
    <row r="152" spans="1:8" x14ac:dyDescent="0.25">
      <c r="A152" t="s">
        <v>33</v>
      </c>
      <c r="B152">
        <v>131093</v>
      </c>
      <c r="C152" s="5">
        <v>32.46</v>
      </c>
      <c r="D152" s="1">
        <v>43899</v>
      </c>
      <c r="E152" t="str">
        <f>"2002-481918"</f>
        <v>2002-481918</v>
      </c>
      <c r="F152" t="str">
        <f>"ACCT#3-3053/PCT#2"</f>
        <v>ACCT#3-3053/PCT#2</v>
      </c>
      <c r="G152" s="5">
        <v>32.46</v>
      </c>
      <c r="H152" t="str">
        <f>"ACCT#3-3053/PCT#2"</f>
        <v>ACCT#3-3053/PCT#2</v>
      </c>
    </row>
    <row r="153" spans="1:8" x14ac:dyDescent="0.25">
      <c r="A153" t="s">
        <v>34</v>
      </c>
      <c r="B153">
        <v>131094</v>
      </c>
      <c r="C153" s="5">
        <v>4654.72</v>
      </c>
      <c r="D153" s="1">
        <v>43899</v>
      </c>
      <c r="E153" t="str">
        <f>"INV69182"</f>
        <v>INV69182</v>
      </c>
      <c r="F153" t="str">
        <f>"VINE QUARTERLY FEE"</f>
        <v>VINE QUARTERLY FEE</v>
      </c>
      <c r="G153" s="5">
        <v>4654.72</v>
      </c>
      <c r="H153" t="str">
        <f>"VINE QUARTERLY FEE"</f>
        <v>VINE QUARTERLY FEE</v>
      </c>
    </row>
    <row r="154" spans="1:8" x14ac:dyDescent="0.25">
      <c r="A154" t="s">
        <v>34</v>
      </c>
      <c r="B154">
        <v>131303</v>
      </c>
      <c r="C154" s="5">
        <v>4654.72</v>
      </c>
      <c r="D154" s="1">
        <v>43913</v>
      </c>
      <c r="E154" t="str">
        <f>"INV73255"</f>
        <v>INV73255</v>
      </c>
      <c r="F154" t="str">
        <f>"VINE QUARTERLY STATEMENT"</f>
        <v>VINE QUARTERLY STATEMENT</v>
      </c>
      <c r="G154" s="5">
        <v>4654.72</v>
      </c>
      <c r="H154" t="str">
        <f>"VINE QUARTERLY STATEMENT"</f>
        <v>VINE QUARTERLY STATEMENT</v>
      </c>
    </row>
    <row r="155" spans="1:8" x14ac:dyDescent="0.25">
      <c r="A155" t="s">
        <v>35</v>
      </c>
      <c r="B155">
        <v>131095</v>
      </c>
      <c r="C155" s="5">
        <v>759.44</v>
      </c>
      <c r="D155" s="1">
        <v>43899</v>
      </c>
      <c r="E155" t="str">
        <f>"202003025557"</f>
        <v>202003025557</v>
      </c>
      <c r="F155" t="str">
        <f>"ACCT#012571/TREASURER"</f>
        <v>ACCT#012571/TREASURER</v>
      </c>
      <c r="G155" s="5">
        <v>9</v>
      </c>
      <c r="H155" t="str">
        <f>"ACCT#012571/TREASURER"</f>
        <v>ACCT#012571/TREASURER</v>
      </c>
    </row>
    <row r="156" spans="1:8" x14ac:dyDescent="0.25">
      <c r="E156" t="str">
        <f>"202003025577"</f>
        <v>202003025577</v>
      </c>
      <c r="F156" t="str">
        <f>"ACCT#011280/COUNTY CLERK"</f>
        <v>ACCT#011280/COUNTY CLERK</v>
      </c>
      <c r="G156" s="5">
        <v>54</v>
      </c>
      <c r="H156" t="str">
        <f>"ACCT#011280/COUNTY CLERK"</f>
        <v>ACCT#011280/COUNTY CLERK</v>
      </c>
    </row>
    <row r="157" spans="1:8" x14ac:dyDescent="0.25">
      <c r="E157" t="str">
        <f>"202003025578"</f>
        <v>202003025578</v>
      </c>
      <c r="F157" t="str">
        <f>"ACCT#010057/AUDITOR"</f>
        <v>ACCT#010057/AUDITOR</v>
      </c>
      <c r="G157" s="5">
        <v>54</v>
      </c>
      <c r="H157" t="str">
        <f>"ACCT#010057/AUDITOR"</f>
        <v>ACCT#010057/AUDITOR</v>
      </c>
    </row>
    <row r="158" spans="1:8" x14ac:dyDescent="0.25">
      <c r="E158" t="str">
        <f>"202003025579"</f>
        <v>202003025579</v>
      </c>
      <c r="F158" t="str">
        <f>"ACCT#010311/COUNTY CRT AT LAW"</f>
        <v>ACCT#010311/COUNTY CRT AT LAW</v>
      </c>
      <c r="G158" s="5">
        <v>12</v>
      </c>
      <c r="H158" t="str">
        <f>"ACCT#010311/COUNTY CRT AT LAW"</f>
        <v>ACCT#010311/COUNTY CRT AT LAW</v>
      </c>
    </row>
    <row r="159" spans="1:8" x14ac:dyDescent="0.25">
      <c r="E159" t="str">
        <f>"202003025580"</f>
        <v>202003025580</v>
      </c>
      <c r="F159" t="str">
        <f>"ACCT#010602/COMMISSIONER OFFIC"</f>
        <v>ACCT#010602/COMMISSIONER OFFIC</v>
      </c>
      <c r="G159" s="5">
        <v>31.5</v>
      </c>
      <c r="H159" t="str">
        <f>"ACCT#010602/COMMISSIONER OFFIC"</f>
        <v>ACCT#010602/COMMISSIONER OFFIC</v>
      </c>
    </row>
    <row r="160" spans="1:8" x14ac:dyDescent="0.25">
      <c r="E160" t="str">
        <f>"202003025581"</f>
        <v>202003025581</v>
      </c>
      <c r="F160" t="str">
        <f>"ACCT#015199/BASTROP CO. JP #1"</f>
        <v>ACCT#015199/BASTROP CO. JP #1</v>
      </c>
      <c r="G160" s="5">
        <v>19.489999999999998</v>
      </c>
      <c r="H160" t="str">
        <f>"ACCT#015199/BASTROP CO. JP #1"</f>
        <v>ACCT#015199/BASTROP CO. JP #1</v>
      </c>
    </row>
    <row r="161" spans="1:8" x14ac:dyDescent="0.25">
      <c r="E161" t="str">
        <f>"202003025590"</f>
        <v>202003025590</v>
      </c>
      <c r="F161" t="str">
        <f>"ACCT#012231/DIST JUDGE OFFICE"</f>
        <v>ACCT#012231/DIST JUDGE OFFICE</v>
      </c>
      <c r="G161" s="5">
        <v>10</v>
      </c>
      <c r="H161" t="str">
        <f>"ACCT#012231/DIST JUDGE OFFICE"</f>
        <v>ACCT#012231/DIST JUDGE OFFICE</v>
      </c>
    </row>
    <row r="162" spans="1:8" x14ac:dyDescent="0.25">
      <c r="E162" t="str">
        <f>"202003025591"</f>
        <v>202003025591</v>
      </c>
      <c r="F162" t="str">
        <f>"ACCT#011955/DISTRICT JUDGE"</f>
        <v>ACCT#011955/DISTRICT JUDGE</v>
      </c>
      <c r="G162" s="5">
        <v>40.5</v>
      </c>
      <c r="H162" t="str">
        <f>"ACCT#011955/DISTRICT JUDGE"</f>
        <v>ACCT#011955/DISTRICT JUDGE</v>
      </c>
    </row>
    <row r="163" spans="1:8" x14ac:dyDescent="0.25">
      <c r="E163" t="str">
        <f>"202003035636"</f>
        <v>202003035636</v>
      </c>
      <c r="F163" t="str">
        <f>"ACCT#011033/IT DEPT"</f>
        <v>ACCT#011033/IT DEPT</v>
      </c>
      <c r="G163" s="5">
        <v>90</v>
      </c>
      <c r="H163" t="str">
        <f>"ACCT#011033/IT DEPT"</f>
        <v>ACCT#011033/IT DEPT</v>
      </c>
    </row>
    <row r="164" spans="1:8" x14ac:dyDescent="0.25">
      <c r="E164" t="str">
        <f>"202003035638"</f>
        <v>202003035638</v>
      </c>
      <c r="F164" t="str">
        <f>"ACCT#012259/DIST CLERK'S OFFIC"</f>
        <v>ACCT#012259/DIST CLERK'S OFFIC</v>
      </c>
      <c r="G164" s="5">
        <v>117</v>
      </c>
      <c r="H164" t="str">
        <f>"ACCT#012259/DIST CLERK'S OFFIC"</f>
        <v>ACCT#012259/DIST CLERK'S OFFIC</v>
      </c>
    </row>
    <row r="165" spans="1:8" x14ac:dyDescent="0.25">
      <c r="E165" t="str">
        <f>"202003035651"</f>
        <v>202003035651</v>
      </c>
      <c r="F165" t="str">
        <f>"ACCT#010835/COMMISSIONER PCT#1"</f>
        <v>ACCT#010835/COMMISSIONER PCT#1</v>
      </c>
      <c r="G165" s="5">
        <v>26.99</v>
      </c>
      <c r="H165" t="str">
        <f>"ACCT#010835/COMMISSIONER PCT#1"</f>
        <v>ACCT#010835/COMMISSIONER PCT#1</v>
      </c>
    </row>
    <row r="166" spans="1:8" x14ac:dyDescent="0.25">
      <c r="E166" t="str">
        <f>"202003035658"</f>
        <v>202003035658</v>
      </c>
      <c r="F166" t="str">
        <f>"ACCT#010149/AGRI LIFE EXTENSIO"</f>
        <v>ACCT#010149/AGRI LIFE EXTENSIO</v>
      </c>
      <c r="G166" s="5">
        <v>52.99</v>
      </c>
      <c r="H166" t="str">
        <f>"ACCT#010149/AGRI LIFE EXTENSIO"</f>
        <v>ACCT#010149/AGRI LIFE EXTENSIO</v>
      </c>
    </row>
    <row r="167" spans="1:8" x14ac:dyDescent="0.25">
      <c r="E167" t="str">
        <f>"202003035660"</f>
        <v>202003035660</v>
      </c>
      <c r="F167" t="str">
        <f>"ACCT#010238/GENERAL SERVICES"</f>
        <v>ACCT#010238/GENERAL SERVICES</v>
      </c>
      <c r="G167" s="5">
        <v>104.49</v>
      </c>
      <c r="H167" t="str">
        <f>"ACCT#010238/GENERAL SERVICES"</f>
        <v>ACCT#010238/GENERAL SERVICES</v>
      </c>
    </row>
    <row r="168" spans="1:8" x14ac:dyDescent="0.25">
      <c r="E168" t="str">
        <f>"202003035667"</f>
        <v>202003035667</v>
      </c>
      <c r="F168" t="str">
        <f>"ACCT#012803/BASTROP CO JUDGE"</f>
        <v>ACCT#012803/BASTROP CO JUDGE</v>
      </c>
      <c r="G168" s="5">
        <v>16.5</v>
      </c>
      <c r="H168" t="str">
        <f>"ACCT#012803/BASTROP CO JUDGE"</f>
        <v>ACCT#012803/BASTROP CO JUDGE</v>
      </c>
    </row>
    <row r="169" spans="1:8" x14ac:dyDescent="0.25">
      <c r="E169" t="str">
        <f>"202003045721"</f>
        <v>202003045721</v>
      </c>
      <c r="F169" t="str">
        <f>"ACCT#012260/DIST ATTNY"</f>
        <v>ACCT#012260/DIST ATTNY</v>
      </c>
      <c r="G169" s="5">
        <v>46.5</v>
      </c>
      <c r="H169" t="str">
        <f>"ACCT#012260/DIST ATTNY"</f>
        <v>ACCT#012260/DIST ATTNY</v>
      </c>
    </row>
    <row r="170" spans="1:8" x14ac:dyDescent="0.25">
      <c r="E170" t="str">
        <f>"202003045722"</f>
        <v>202003045722</v>
      </c>
      <c r="F170" t="str">
        <f>"ACCT#014877/INDIGENT HEALTH"</f>
        <v>ACCT#014877/INDIGENT HEALTH</v>
      </c>
      <c r="G170" s="5">
        <v>34.49</v>
      </c>
      <c r="H170" t="str">
        <f>"ACCT#014877/INDIGENT HEALTH"</f>
        <v>ACCT#014877/INDIGENT HEALTH</v>
      </c>
    </row>
    <row r="171" spans="1:8" x14ac:dyDescent="0.25">
      <c r="E171" t="str">
        <f>"202003045725"</f>
        <v>202003045725</v>
      </c>
      <c r="F171" t="str">
        <f>"ACCT#015476/PURCHASING DEPT"</f>
        <v>ACCT#015476/PURCHASING DEPT</v>
      </c>
      <c r="G171" s="5">
        <v>10.49</v>
      </c>
      <c r="H171" t="str">
        <f>"ACCT#015476/PURCHASING DEPT"</f>
        <v>ACCT#015476/PURCHASING DEPT</v>
      </c>
    </row>
    <row r="172" spans="1:8" x14ac:dyDescent="0.25">
      <c r="E172" t="str">
        <f>"202003045726"</f>
        <v>202003045726</v>
      </c>
      <c r="F172" t="str">
        <f>"ACCT#013393/HUMAN RESOURCES"</f>
        <v>ACCT#013393/HUMAN RESOURCES</v>
      </c>
      <c r="G172" s="5">
        <v>17.5</v>
      </c>
      <c r="H172" t="str">
        <f>"ACCT#013393/HUMAN RESOURCES"</f>
        <v>ACCT#013393/HUMAN RESOURCES</v>
      </c>
    </row>
    <row r="173" spans="1:8" x14ac:dyDescent="0.25">
      <c r="E173" t="str">
        <f>"202003045727"</f>
        <v>202003045727</v>
      </c>
      <c r="F173" t="str">
        <f>"ACCT#014737/ANIMAL SERVICE"</f>
        <v>ACCT#014737/ANIMAL SERVICE</v>
      </c>
      <c r="G173" s="5">
        <v>12</v>
      </c>
      <c r="H173" t="str">
        <f>"ACCT#014737/ANIMAL SERVICE"</f>
        <v>ACCT#014737/ANIMAL SERVICE</v>
      </c>
    </row>
    <row r="174" spans="1:8" x14ac:dyDescent="0.25">
      <c r="A174" t="s">
        <v>36</v>
      </c>
      <c r="B174">
        <v>131077</v>
      </c>
      <c r="C174" s="5">
        <v>57.91</v>
      </c>
      <c r="D174" s="1">
        <v>43895</v>
      </c>
      <c r="E174" t="str">
        <f>"202003055739"</f>
        <v>202003055739</v>
      </c>
      <c r="F174" t="str">
        <f>"ACCT#0201855301/03052020"</f>
        <v>ACCT#0201855301/03052020</v>
      </c>
      <c r="G174" s="5">
        <v>32.630000000000003</v>
      </c>
      <c r="H174" t="str">
        <f>"ACCT#0201855301/03052020"</f>
        <v>ACCT#0201855301/03052020</v>
      </c>
    </row>
    <row r="175" spans="1:8" x14ac:dyDescent="0.25">
      <c r="E175" t="str">
        <f>"202003055740"</f>
        <v>202003055740</v>
      </c>
      <c r="F175" t="str">
        <f>"ACCT#0201891401/03052020"</f>
        <v>ACCT#0201891401/03052020</v>
      </c>
      <c r="G175" s="5">
        <v>25.28</v>
      </c>
      <c r="H175" t="str">
        <f>"AQUA WATER SUPPLY CORPORATION"</f>
        <v>AQUA WATER SUPPLY CORPORATION</v>
      </c>
    </row>
    <row r="176" spans="1:8" x14ac:dyDescent="0.25">
      <c r="A176" t="s">
        <v>36</v>
      </c>
      <c r="B176">
        <v>131096</v>
      </c>
      <c r="C176" s="5">
        <v>199.36</v>
      </c>
      <c r="D176" s="1">
        <v>43899</v>
      </c>
      <c r="E176" t="str">
        <f>"202002275510"</f>
        <v>202002275510</v>
      </c>
      <c r="F176" t="str">
        <f>"ACCT#7700010019/METER#83799902"</f>
        <v>ACCT#7700010019/METER#83799902</v>
      </c>
      <c r="G176" s="5">
        <v>199.36</v>
      </c>
      <c r="H176" t="str">
        <f>"ACCT#7700010019/METER#83799902"</f>
        <v>ACCT#7700010019/METER#83799902</v>
      </c>
    </row>
    <row r="177" spans="1:8" x14ac:dyDescent="0.25">
      <c r="A177" t="s">
        <v>36</v>
      </c>
      <c r="B177">
        <v>131297</v>
      </c>
      <c r="C177" s="5">
        <v>928.59</v>
      </c>
      <c r="D177" s="1">
        <v>43908</v>
      </c>
      <c r="E177" t="str">
        <f>"202003186051"</f>
        <v>202003186051</v>
      </c>
      <c r="F177" t="str">
        <f>"ACCT#0102120801 / 03202020"</f>
        <v>ACCT#0102120801 / 03202020</v>
      </c>
      <c r="G177" s="5">
        <v>187.68</v>
      </c>
      <c r="H177" t="str">
        <f>"ACCT#0102120801 / 03202020"</f>
        <v>ACCT#0102120801 / 03202020</v>
      </c>
    </row>
    <row r="178" spans="1:8" x14ac:dyDescent="0.25">
      <c r="E178" t="str">
        <f>"202003186052"</f>
        <v>202003186052</v>
      </c>
      <c r="F178" t="str">
        <f>"ACCT#0400785803 / 03202020"</f>
        <v>ACCT#0400785803 / 03202020</v>
      </c>
      <c r="G178" s="5">
        <v>189.86</v>
      </c>
      <c r="H178" t="str">
        <f>"ACCT#0400785803 / 03202020"</f>
        <v>ACCT#0400785803 / 03202020</v>
      </c>
    </row>
    <row r="179" spans="1:8" x14ac:dyDescent="0.25">
      <c r="E179" t="str">
        <f>"202003186053"</f>
        <v>202003186053</v>
      </c>
      <c r="F179" t="str">
        <f>"ACCT#0401408501 / 03202020"</f>
        <v>ACCT#0401408501 / 03202020</v>
      </c>
      <c r="G179" s="5">
        <v>485.78</v>
      </c>
      <c r="H179" t="str">
        <f>"ACCT#0401408501 / 03202020"</f>
        <v>ACCT#0401408501 / 03202020</v>
      </c>
    </row>
    <row r="180" spans="1:8" x14ac:dyDescent="0.25">
      <c r="E180" t="str">
        <f>"202003186054"</f>
        <v>202003186054</v>
      </c>
      <c r="F180" t="str">
        <f>"ACCT#0800042801 / 03202020"</f>
        <v>ACCT#0800042801 / 03202020</v>
      </c>
      <c r="G180" s="5">
        <v>39.6</v>
      </c>
      <c r="H180" t="str">
        <f>"ACCT#0800042801 / 03202020"</f>
        <v>ACCT#0800042801 / 03202020</v>
      </c>
    </row>
    <row r="181" spans="1:8" x14ac:dyDescent="0.25">
      <c r="E181" t="str">
        <f>"202003186055"</f>
        <v>202003186055</v>
      </c>
      <c r="F181" t="str">
        <f>"ACCT#0802361501 / 03202020"</f>
        <v>ACCT#0802361501 / 03202020</v>
      </c>
      <c r="G181" s="5">
        <v>25.67</v>
      </c>
      <c r="H181" t="str">
        <f>"ACCT#0802361501 / 03202020"</f>
        <v>ACCT#0802361501 / 03202020</v>
      </c>
    </row>
    <row r="182" spans="1:8" x14ac:dyDescent="0.25">
      <c r="A182" t="s">
        <v>36</v>
      </c>
      <c r="B182">
        <v>131304</v>
      </c>
      <c r="C182" s="5">
        <v>438.18</v>
      </c>
      <c r="D182" s="1">
        <v>43913</v>
      </c>
      <c r="E182" t="str">
        <f>"202003135952"</f>
        <v>202003135952</v>
      </c>
      <c r="F182" t="str">
        <f>"ACCT#7700010027/20 LDS WTR/P4"</f>
        <v>ACCT#7700010027/20 LDS WTR/P4</v>
      </c>
      <c r="G182" s="5">
        <v>205</v>
      </c>
      <c r="H182" t="str">
        <f>"ACCT#7700010027/20 LDS WTR/P4"</f>
        <v>ACCT#7700010027/20 LDS WTR/P4</v>
      </c>
    </row>
    <row r="183" spans="1:8" x14ac:dyDescent="0.25">
      <c r="E183" t="str">
        <f>"202003135953"</f>
        <v>202003135953</v>
      </c>
      <c r="F183" t="str">
        <f>"ACCT#7700010026/19 LDS WTR/P3"</f>
        <v>ACCT#7700010026/19 LDS WTR/P3</v>
      </c>
      <c r="G183" s="5">
        <v>194.75</v>
      </c>
      <c r="H183" t="str">
        <f>"ACCT#7700010026/19 LDS WTR/P3"</f>
        <v>ACCT#7700010026/19 LDS WTR/P3</v>
      </c>
    </row>
    <row r="184" spans="1:8" x14ac:dyDescent="0.25">
      <c r="E184" t="str">
        <f>"202003135957"</f>
        <v>202003135957</v>
      </c>
      <c r="F184" t="str">
        <f>"ACCT#7700010024/PCT#1"</f>
        <v>ACCT#7700010024/PCT#1</v>
      </c>
      <c r="G184" s="5">
        <v>38.43</v>
      </c>
      <c r="H184" t="str">
        <f>"ACCT#7700010024/PCT#1"</f>
        <v>ACCT#7700010024/PCT#1</v>
      </c>
    </row>
    <row r="185" spans="1:8" x14ac:dyDescent="0.25">
      <c r="A185" t="s">
        <v>37</v>
      </c>
      <c r="B185">
        <v>131305</v>
      </c>
      <c r="C185" s="5">
        <v>152.36000000000001</v>
      </c>
      <c r="D185" s="1">
        <v>43913</v>
      </c>
      <c r="E185" t="str">
        <f>"202003176022"</f>
        <v>202003176022</v>
      </c>
      <c r="F185" t="str">
        <f>"INDIGENT HEALTH"</f>
        <v>INDIGENT HEALTH</v>
      </c>
      <c r="G185" s="5">
        <v>152.36000000000001</v>
      </c>
      <c r="H185" t="str">
        <f>"INDIGENT HEALTH"</f>
        <v>INDIGENT HEALTH</v>
      </c>
    </row>
    <row r="186" spans="1:8" x14ac:dyDescent="0.25">
      <c r="A186" t="s">
        <v>38</v>
      </c>
      <c r="B186">
        <v>2353</v>
      </c>
      <c r="C186" s="5">
        <v>21792.53</v>
      </c>
      <c r="D186" s="1">
        <v>43914</v>
      </c>
      <c r="E186" t="str">
        <f>"15008"</f>
        <v>15008</v>
      </c>
      <c r="F186" t="str">
        <f>"PROJ NAME:BC JAN/FEB ADV"</f>
        <v>PROJ NAME:BC JAN/FEB ADV</v>
      </c>
      <c r="G186" s="5">
        <v>20592.53</v>
      </c>
      <c r="H186" t="str">
        <f>"PROJ NAME:BC JAN/FEB ADV"</f>
        <v>PROJ NAME:BC JAN/FEB ADV</v>
      </c>
    </row>
    <row r="187" spans="1:8" x14ac:dyDescent="0.25">
      <c r="E187" t="str">
        <f>"15009"</f>
        <v>15009</v>
      </c>
      <c r="F187" t="str">
        <f>"PROJ NAME:BC PROSERV JAN/FEB A"</f>
        <v>PROJ NAME:BC PROSERV JAN/FEB A</v>
      </c>
      <c r="G187" s="5">
        <v>1200</v>
      </c>
      <c r="H187" t="str">
        <f>"PROJ NAME:BC PROSERV JAN/FEB A"</f>
        <v>PROJ NAME:BC PROSERV JAN/FEB A</v>
      </c>
    </row>
    <row r="188" spans="1:8" x14ac:dyDescent="0.25">
      <c r="A188" t="s">
        <v>39</v>
      </c>
      <c r="B188">
        <v>131097</v>
      </c>
      <c r="C188" s="5">
        <v>5743.47</v>
      </c>
      <c r="D188" s="1">
        <v>43899</v>
      </c>
      <c r="E188" t="str">
        <f>"202003025556"</f>
        <v>202003025556</v>
      </c>
      <c r="F188" t="str">
        <f>"ACCT#512A490048 193 3"</f>
        <v>ACCT#512A490048 193 3</v>
      </c>
      <c r="G188" s="5">
        <v>5743.47</v>
      </c>
      <c r="H188" t="str">
        <f>"ACCT#512A490048 193 3"</f>
        <v>ACCT#512A490048 193 3</v>
      </c>
    </row>
    <row r="189" spans="1:8" x14ac:dyDescent="0.25">
      <c r="E189" t="str">
        <f>""</f>
        <v/>
      </c>
      <c r="F189" t="str">
        <f>""</f>
        <v/>
      </c>
      <c r="H189" t="str">
        <f>"ACCT#512A490048 193 3"</f>
        <v>ACCT#512A490048 193 3</v>
      </c>
    </row>
    <row r="190" spans="1:8" x14ac:dyDescent="0.25">
      <c r="E190" t="str">
        <f>""</f>
        <v/>
      </c>
      <c r="F190" t="str">
        <f>""</f>
        <v/>
      </c>
      <c r="H190" t="str">
        <f>"ACCT#512A490048 193 3"</f>
        <v>ACCT#512A490048 193 3</v>
      </c>
    </row>
    <row r="191" spans="1:8" x14ac:dyDescent="0.25">
      <c r="E191" t="str">
        <f>""</f>
        <v/>
      </c>
      <c r="F191" t="str">
        <f>""</f>
        <v/>
      </c>
      <c r="H191" t="str">
        <f>"ACCT#512A490048 193 3"</f>
        <v>ACCT#512A490048 193 3</v>
      </c>
    </row>
    <row r="192" spans="1:8" x14ac:dyDescent="0.25">
      <c r="A192" t="s">
        <v>39</v>
      </c>
      <c r="B192">
        <v>131098</v>
      </c>
      <c r="C192" s="5">
        <v>575</v>
      </c>
      <c r="D192" s="1">
        <v>43899</v>
      </c>
      <c r="E192" t="str">
        <f>"337822"</f>
        <v>337822</v>
      </c>
      <c r="F192" t="str">
        <f>"INV 337822"</f>
        <v>INV 337822</v>
      </c>
      <c r="G192" s="5">
        <v>575</v>
      </c>
      <c r="H192" t="str">
        <f>"INV 337822"</f>
        <v>INV 337822</v>
      </c>
    </row>
    <row r="193" spans="1:8" x14ac:dyDescent="0.25">
      <c r="A193" t="s">
        <v>39</v>
      </c>
      <c r="B193">
        <v>131099</v>
      </c>
      <c r="C193" s="5">
        <v>4559.32</v>
      </c>
      <c r="D193" s="1">
        <v>43899</v>
      </c>
      <c r="E193" t="str">
        <f>"2004962509"</f>
        <v>2004962509</v>
      </c>
      <c r="F193" t="str">
        <f>"ACCT#831-000-7218 923"</f>
        <v>ACCT#831-000-7218 923</v>
      </c>
      <c r="G193" s="5">
        <v>874.25</v>
      </c>
      <c r="H193" t="str">
        <f>"ACCT#831-000-7218 923"</f>
        <v>ACCT#831-000-7218 923</v>
      </c>
    </row>
    <row r="194" spans="1:8" x14ac:dyDescent="0.25">
      <c r="E194" t="str">
        <f>"3462433504"</f>
        <v>3462433504</v>
      </c>
      <c r="F194" t="str">
        <f>"ACCT#831-000-7919 623"</f>
        <v>ACCT#831-000-7919 623</v>
      </c>
      <c r="G194" s="5">
        <v>2000.38</v>
      </c>
      <c r="H194" t="str">
        <f>"ACCT#831-000-7919 623"</f>
        <v>ACCT#831-000-7919 623</v>
      </c>
    </row>
    <row r="195" spans="1:8" x14ac:dyDescent="0.25">
      <c r="E195" t="str">
        <f>"3648262503"</f>
        <v>3648262503</v>
      </c>
      <c r="F195" t="str">
        <f>"ACCT#831-000-6084 095"</f>
        <v>ACCT#831-000-6084 095</v>
      </c>
      <c r="G195" s="5">
        <v>1684.69</v>
      </c>
      <c r="H195" t="str">
        <f>"ACCT#831-000-6084 095"</f>
        <v>ACCT#831-000-6084 095</v>
      </c>
    </row>
    <row r="196" spans="1:8" x14ac:dyDescent="0.25">
      <c r="A196" t="s">
        <v>39</v>
      </c>
      <c r="B196">
        <v>131100</v>
      </c>
      <c r="C196" s="5">
        <v>592.6</v>
      </c>
      <c r="D196" s="1">
        <v>43899</v>
      </c>
      <c r="E196" t="str">
        <f>"202003035635"</f>
        <v>202003035635</v>
      </c>
      <c r="F196" t="str">
        <f>"ACCT#512 308-9870 530 7"</f>
        <v>ACCT#512 308-9870 530 7</v>
      </c>
      <c r="G196" s="5">
        <v>592.6</v>
      </c>
      <c r="H196" t="str">
        <f>"ACCT#512 308-9870 530 7"</f>
        <v>ACCT#512 308-9870 530 7</v>
      </c>
    </row>
    <row r="197" spans="1:8" x14ac:dyDescent="0.25">
      <c r="A197" t="s">
        <v>39</v>
      </c>
      <c r="B197">
        <v>131306</v>
      </c>
      <c r="C197" s="5">
        <v>125</v>
      </c>
      <c r="D197" s="1">
        <v>43913</v>
      </c>
      <c r="E197" t="str">
        <f>"343574"</f>
        <v>343574</v>
      </c>
      <c r="F197" t="str">
        <f>"INV 343574"</f>
        <v>INV 343574</v>
      </c>
      <c r="G197" s="5">
        <v>125</v>
      </c>
      <c r="H197" t="str">
        <f>"INV 343574"</f>
        <v>INV 343574</v>
      </c>
    </row>
    <row r="198" spans="1:8" x14ac:dyDescent="0.25">
      <c r="A198" t="s">
        <v>39</v>
      </c>
      <c r="B198">
        <v>131307</v>
      </c>
      <c r="C198" s="5">
        <v>175.5</v>
      </c>
      <c r="D198" s="1">
        <v>43913</v>
      </c>
      <c r="E198" t="str">
        <f>"8567013508"</f>
        <v>8567013508</v>
      </c>
      <c r="F198" t="str">
        <f>"ACCT#831-000-9850 451"</f>
        <v>ACCT#831-000-9850 451</v>
      </c>
      <c r="G198" s="5">
        <v>175.5</v>
      </c>
      <c r="H198" t="str">
        <f>"ACCT#831-000-9850 451"</f>
        <v>ACCT#831-000-9850 451</v>
      </c>
    </row>
    <row r="199" spans="1:8" x14ac:dyDescent="0.25">
      <c r="A199" t="s">
        <v>39</v>
      </c>
      <c r="B199">
        <v>131308</v>
      </c>
      <c r="C199" s="5">
        <v>1807.17</v>
      </c>
      <c r="D199" s="1">
        <v>43913</v>
      </c>
      <c r="E199" t="str">
        <f>"202003176018"</f>
        <v>202003176018</v>
      </c>
      <c r="F199" t="str">
        <f>"512 303-1080 238 5"</f>
        <v>512 303-1080 238 5</v>
      </c>
      <c r="G199" s="5">
        <v>1807.17</v>
      </c>
      <c r="H199" t="str">
        <f>"512 303-1080  LE"</f>
        <v>512 303-1080  LE</v>
      </c>
    </row>
    <row r="200" spans="1:8" x14ac:dyDescent="0.25">
      <c r="E200" t="str">
        <f>""</f>
        <v/>
      </c>
      <c r="F200" t="str">
        <f>""</f>
        <v/>
      </c>
      <c r="H200" t="str">
        <f>"512 303-1080  JAIL"</f>
        <v>512 303-1080  JAIL</v>
      </c>
    </row>
    <row r="201" spans="1:8" x14ac:dyDescent="0.25">
      <c r="A201" t="s">
        <v>40</v>
      </c>
      <c r="B201">
        <v>131101</v>
      </c>
      <c r="C201" s="5">
        <v>3240.79</v>
      </c>
      <c r="D201" s="1">
        <v>43899</v>
      </c>
      <c r="E201" t="str">
        <f>"287290524359X02272"</f>
        <v>287290524359X02272</v>
      </c>
      <c r="F201" t="str">
        <f>"ACCT#287290524359/OEM"</f>
        <v>ACCT#287290524359/OEM</v>
      </c>
      <c r="G201" s="5">
        <v>3240.79</v>
      </c>
      <c r="H201" t="str">
        <f t="shared" ref="H201:H207" si="8">"ACCT#287290524359/OEM"</f>
        <v>ACCT#287290524359/OEM</v>
      </c>
    </row>
    <row r="202" spans="1:8" x14ac:dyDescent="0.25">
      <c r="E202" t="str">
        <f>""</f>
        <v/>
      </c>
      <c r="F202" t="str">
        <f>""</f>
        <v/>
      </c>
      <c r="H202" t="str">
        <f t="shared" si="8"/>
        <v>ACCT#287290524359/OEM</v>
      </c>
    </row>
    <row r="203" spans="1:8" x14ac:dyDescent="0.25">
      <c r="E203" t="str">
        <f>""</f>
        <v/>
      </c>
      <c r="F203" t="str">
        <f>""</f>
        <v/>
      </c>
      <c r="H203" t="str">
        <f t="shared" si="8"/>
        <v>ACCT#287290524359/OEM</v>
      </c>
    </row>
    <row r="204" spans="1:8" x14ac:dyDescent="0.25">
      <c r="E204" t="str">
        <f>""</f>
        <v/>
      </c>
      <c r="F204" t="str">
        <f>""</f>
        <v/>
      </c>
      <c r="H204" t="str">
        <f t="shared" si="8"/>
        <v>ACCT#287290524359/OEM</v>
      </c>
    </row>
    <row r="205" spans="1:8" x14ac:dyDescent="0.25">
      <c r="E205" t="str">
        <f>""</f>
        <v/>
      </c>
      <c r="F205" t="str">
        <f>""</f>
        <v/>
      </c>
      <c r="H205" t="str">
        <f t="shared" si="8"/>
        <v>ACCT#287290524359/OEM</v>
      </c>
    </row>
    <row r="206" spans="1:8" x14ac:dyDescent="0.25">
      <c r="E206" t="str">
        <f>""</f>
        <v/>
      </c>
      <c r="F206" t="str">
        <f>""</f>
        <v/>
      </c>
      <c r="H206" t="str">
        <f t="shared" si="8"/>
        <v>ACCT#287290524359/OEM</v>
      </c>
    </row>
    <row r="207" spans="1:8" x14ac:dyDescent="0.25">
      <c r="E207" t="str">
        <f>""</f>
        <v/>
      </c>
      <c r="F207" t="str">
        <f>""</f>
        <v/>
      </c>
      <c r="H207" t="str">
        <f t="shared" si="8"/>
        <v>ACCT#287290524359/OEM</v>
      </c>
    </row>
    <row r="208" spans="1:8" x14ac:dyDescent="0.25">
      <c r="A208" t="s">
        <v>41</v>
      </c>
      <c r="B208">
        <v>131309</v>
      </c>
      <c r="C208" s="5">
        <v>181.79</v>
      </c>
      <c r="D208" s="1">
        <v>43913</v>
      </c>
      <c r="E208" t="str">
        <f>"202003176023"</f>
        <v>202003176023</v>
      </c>
      <c r="F208" t="str">
        <f>"INDIGENT HEALTH"</f>
        <v>INDIGENT HEALTH</v>
      </c>
      <c r="G208" s="5">
        <v>181.79</v>
      </c>
      <c r="H208" t="str">
        <f>"INDIGENT HEALTH"</f>
        <v>INDIGENT HEALTH</v>
      </c>
    </row>
    <row r="209" spans="1:8" x14ac:dyDescent="0.25">
      <c r="A209" t="s">
        <v>42</v>
      </c>
      <c r="B209">
        <v>131102</v>
      </c>
      <c r="C209" s="5">
        <v>158.65</v>
      </c>
      <c r="D209" s="1">
        <v>43899</v>
      </c>
      <c r="E209" t="str">
        <f>"294790"</f>
        <v>294790</v>
      </c>
      <c r="F209" t="str">
        <f>"CUST#7627/REF#330770/PCT#4"</f>
        <v>CUST#7627/REF#330770/PCT#4</v>
      </c>
      <c r="G209" s="5">
        <v>158.65</v>
      </c>
      <c r="H209" t="str">
        <f>"CUST#7627/REF#330770/PCT#4"</f>
        <v>CUST#7627/REF#330770/PCT#4</v>
      </c>
    </row>
    <row r="210" spans="1:8" x14ac:dyDescent="0.25">
      <c r="A210" t="s">
        <v>43</v>
      </c>
      <c r="B210">
        <v>131310</v>
      </c>
      <c r="C210" s="5">
        <v>263.56</v>
      </c>
      <c r="D210" s="1">
        <v>43913</v>
      </c>
      <c r="E210" t="str">
        <f>"202003176024"</f>
        <v>202003176024</v>
      </c>
      <c r="F210" t="str">
        <f>"INDIGENT HEALTH"</f>
        <v>INDIGENT HEALTH</v>
      </c>
      <c r="G210" s="5">
        <v>263.56</v>
      </c>
      <c r="H210" t="str">
        <f>"INDIGENT HEALTH"</f>
        <v>INDIGENT HEALTH</v>
      </c>
    </row>
    <row r="211" spans="1:8" x14ac:dyDescent="0.25">
      <c r="A211" t="s">
        <v>44</v>
      </c>
      <c r="B211">
        <v>2267</v>
      </c>
      <c r="C211" s="5">
        <v>250</v>
      </c>
      <c r="D211" s="1">
        <v>43900</v>
      </c>
      <c r="E211" t="str">
        <f>"2170"</f>
        <v>2170</v>
      </c>
      <c r="F211" t="str">
        <f>"CANCELLATION FEE"</f>
        <v>CANCELLATION FEE</v>
      </c>
      <c r="G211" s="5">
        <v>250</v>
      </c>
      <c r="H211" t="str">
        <f>"CANCELLATION FEE"</f>
        <v>CANCELLATION FEE</v>
      </c>
    </row>
    <row r="212" spans="1:8" x14ac:dyDescent="0.25">
      <c r="A212" t="s">
        <v>45</v>
      </c>
      <c r="B212">
        <v>2298</v>
      </c>
      <c r="C212" s="5">
        <v>680.99</v>
      </c>
      <c r="D212" s="1">
        <v>43900</v>
      </c>
      <c r="E212" t="str">
        <f>"202003035642"</f>
        <v>202003035642</v>
      </c>
      <c r="F212" t="str">
        <f>"CUST ID:0010/PCT#2"</f>
        <v>CUST ID:0010/PCT#2</v>
      </c>
      <c r="G212" s="5">
        <v>152</v>
      </c>
      <c r="H212" t="str">
        <f>"CUST ID:0010/PCT#2"</f>
        <v>CUST ID:0010/PCT#2</v>
      </c>
    </row>
    <row r="213" spans="1:8" x14ac:dyDescent="0.25">
      <c r="E213" t="str">
        <f>"202003045723"</f>
        <v>202003045723</v>
      </c>
      <c r="F213" t="str">
        <f>"CUST ID:0009/TRANSFER STATION"</f>
        <v>CUST ID:0009/TRANSFER STATION</v>
      </c>
      <c r="G213" s="5">
        <v>437.99</v>
      </c>
      <c r="H213" t="str">
        <f>"CUST ID:0009/TRANSFER STATION"</f>
        <v>CUST ID:0009/TRANSFER STATION</v>
      </c>
    </row>
    <row r="214" spans="1:8" x14ac:dyDescent="0.25">
      <c r="E214" t="str">
        <f>"369176 &amp; 369306"</f>
        <v>369176 &amp; 369306</v>
      </c>
      <c r="F214" t="str">
        <f>"CUST#0011/PCT#3"</f>
        <v>CUST#0011/PCT#3</v>
      </c>
      <c r="G214" s="5">
        <v>61</v>
      </c>
      <c r="H214" t="str">
        <f>"CUST#0011/PCT#3"</f>
        <v>CUST#0011/PCT#3</v>
      </c>
    </row>
    <row r="215" spans="1:8" x14ac:dyDescent="0.25">
      <c r="E215" t="str">
        <f>"369455"</f>
        <v>369455</v>
      </c>
      <c r="F215" t="str">
        <f>"CUST ID:0017/ANIMAL SHELTER"</f>
        <v>CUST ID:0017/ANIMAL SHELTER</v>
      </c>
      <c r="G215" s="5">
        <v>30</v>
      </c>
      <c r="H215" t="str">
        <f>"CUST ID:0017/ANIMAL SHELTER"</f>
        <v>CUST ID:0017/ANIMAL SHELTER</v>
      </c>
    </row>
    <row r="216" spans="1:8" x14ac:dyDescent="0.25">
      <c r="A216" t="s">
        <v>46</v>
      </c>
      <c r="B216">
        <v>2343</v>
      </c>
      <c r="C216" s="5">
        <v>825</v>
      </c>
      <c r="D216" s="1">
        <v>43914</v>
      </c>
      <c r="E216" t="str">
        <f>"1556"</f>
        <v>1556</v>
      </c>
      <c r="F216" t="str">
        <f>"TREE REMOVAL/PCT#1"</f>
        <v>TREE REMOVAL/PCT#1</v>
      </c>
      <c r="G216" s="5">
        <v>825</v>
      </c>
      <c r="H216" t="str">
        <f>"TREE REMOVAL/PCT#1"</f>
        <v>TREE REMOVAL/PCT#1</v>
      </c>
    </row>
    <row r="217" spans="1:8" x14ac:dyDescent="0.25">
      <c r="A217" t="s">
        <v>47</v>
      </c>
      <c r="B217">
        <v>131103</v>
      </c>
      <c r="C217" s="5">
        <v>153985</v>
      </c>
      <c r="D217" s="1">
        <v>43899</v>
      </c>
      <c r="E217" t="str">
        <f>"202002275511"</f>
        <v>202002275511</v>
      </c>
      <c r="F217" t="str">
        <f>"BCAD LOCAL SUPPORT-2ND QTR '20"</f>
        <v>BCAD LOCAL SUPPORT-2ND QTR '20</v>
      </c>
      <c r="G217" s="5">
        <v>153985</v>
      </c>
      <c r="H217" t="str">
        <f>"BCAD LOCAL SUPPORT-2ND QTR '20"</f>
        <v>BCAD LOCAL SUPPORT-2ND QTR '20</v>
      </c>
    </row>
    <row r="218" spans="1:8" x14ac:dyDescent="0.25">
      <c r="A218" t="s">
        <v>48</v>
      </c>
      <c r="B218">
        <v>131104</v>
      </c>
      <c r="C218" s="5">
        <v>107531</v>
      </c>
      <c r="D218" s="1">
        <v>43899</v>
      </c>
      <c r="E218" t="str">
        <f>"MK22420"</f>
        <v>MK22420</v>
      </c>
      <c r="F218" t="str">
        <f>"BASTROP COUNTY BOOT CAMP"</f>
        <v>BASTROP COUNTY BOOT CAMP</v>
      </c>
      <c r="G218" s="5">
        <v>107531</v>
      </c>
      <c r="H218" t="str">
        <f>"BASTROP COUNTY BOOT CAMP"</f>
        <v>BASTROP COUNTY BOOT CAMP</v>
      </c>
    </row>
    <row r="219" spans="1:8" x14ac:dyDescent="0.25">
      <c r="A219" t="s">
        <v>49</v>
      </c>
      <c r="B219">
        <v>131105</v>
      </c>
      <c r="C219" s="5">
        <v>1364.68</v>
      </c>
      <c r="D219" s="1">
        <v>43899</v>
      </c>
      <c r="E219" t="str">
        <f>"11328"</f>
        <v>11328</v>
      </c>
      <c r="F219" t="str">
        <f t="shared" ref="F219:F226" si="9">"SERVICE"</f>
        <v>SERVICE</v>
      </c>
      <c r="G219" s="5">
        <v>40</v>
      </c>
      <c r="H219" t="str">
        <f t="shared" ref="H219:H226" si="10">"SERVICE"</f>
        <v>SERVICE</v>
      </c>
    </row>
    <row r="220" spans="1:8" x14ac:dyDescent="0.25">
      <c r="E220" t="str">
        <f>"11896"</f>
        <v>11896</v>
      </c>
      <c r="F220" t="str">
        <f t="shared" si="9"/>
        <v>SERVICE</v>
      </c>
      <c r="G220" s="5">
        <v>100</v>
      </c>
      <c r="H220" t="str">
        <f t="shared" si="10"/>
        <v>SERVICE</v>
      </c>
    </row>
    <row r="221" spans="1:8" x14ac:dyDescent="0.25">
      <c r="E221" t="str">
        <f>"12810"</f>
        <v>12810</v>
      </c>
      <c r="F221" t="str">
        <f t="shared" si="9"/>
        <v>SERVICE</v>
      </c>
      <c r="G221" s="5">
        <v>300</v>
      </c>
      <c r="H221" t="str">
        <f t="shared" si="10"/>
        <v>SERVICE</v>
      </c>
    </row>
    <row r="222" spans="1:8" x14ac:dyDescent="0.25">
      <c r="E222" t="str">
        <f>"12970  12/19/19"</f>
        <v>12970  12/19/19</v>
      </c>
      <c r="F222" t="str">
        <f t="shared" si="9"/>
        <v>SERVICE</v>
      </c>
      <c r="G222" s="5">
        <v>250</v>
      </c>
      <c r="H222" t="str">
        <f t="shared" si="10"/>
        <v>SERVICE</v>
      </c>
    </row>
    <row r="223" spans="1:8" x14ac:dyDescent="0.25">
      <c r="E223" t="str">
        <f>"13060"</f>
        <v>13060</v>
      </c>
      <c r="F223" t="str">
        <f t="shared" si="9"/>
        <v>SERVICE</v>
      </c>
      <c r="G223" s="5">
        <v>299.68</v>
      </c>
      <c r="H223" t="str">
        <f t="shared" si="10"/>
        <v>SERVICE</v>
      </c>
    </row>
    <row r="224" spans="1:8" x14ac:dyDescent="0.25">
      <c r="E224" t="str">
        <f>"13122"</f>
        <v>13122</v>
      </c>
      <c r="F224" t="str">
        <f t="shared" si="9"/>
        <v>SERVICE</v>
      </c>
      <c r="G224" s="5">
        <v>75</v>
      </c>
      <c r="H224" t="str">
        <f t="shared" si="10"/>
        <v>SERVICE</v>
      </c>
    </row>
    <row r="225" spans="1:8" x14ac:dyDescent="0.25">
      <c r="E225" t="str">
        <f>"13193"</f>
        <v>13193</v>
      </c>
      <c r="F225" t="str">
        <f t="shared" si="9"/>
        <v>SERVICE</v>
      </c>
      <c r="G225" s="5">
        <v>150</v>
      </c>
      <c r="H225" t="str">
        <f t="shared" si="10"/>
        <v>SERVICE</v>
      </c>
    </row>
    <row r="226" spans="1:8" x14ac:dyDescent="0.25">
      <c r="E226" t="str">
        <f>"13365"</f>
        <v>13365</v>
      </c>
      <c r="F226" t="str">
        <f t="shared" si="9"/>
        <v>SERVICE</v>
      </c>
      <c r="G226" s="5">
        <v>150</v>
      </c>
      <c r="H226" t="str">
        <f t="shared" si="10"/>
        <v>SERVICE</v>
      </c>
    </row>
    <row r="227" spans="1:8" x14ac:dyDescent="0.25">
      <c r="A227" t="s">
        <v>49</v>
      </c>
      <c r="B227">
        <v>131311</v>
      </c>
      <c r="C227" s="5">
        <v>3188</v>
      </c>
      <c r="D227" s="1">
        <v>43913</v>
      </c>
      <c r="E227" t="str">
        <f>"12136"</f>
        <v>12136</v>
      </c>
      <c r="F227" t="str">
        <f>"SERVICE  12/19/19"</f>
        <v>SERVICE  12/19/19</v>
      </c>
      <c r="G227" s="5">
        <v>400</v>
      </c>
      <c r="H227" t="str">
        <f>"SERVICE  12/19/19"</f>
        <v>SERVICE  12/19/19</v>
      </c>
    </row>
    <row r="228" spans="1:8" x14ac:dyDescent="0.25">
      <c r="E228" t="str">
        <f>"12875"</f>
        <v>12875</v>
      </c>
      <c r="F228" t="str">
        <f>"SERVICE"</f>
        <v>SERVICE</v>
      </c>
      <c r="G228" s="5">
        <v>45</v>
      </c>
      <c r="H228" t="str">
        <f>"SERVICE"</f>
        <v>SERVICE</v>
      </c>
    </row>
    <row r="229" spans="1:8" x14ac:dyDescent="0.25">
      <c r="E229" t="str">
        <f>"12900  02/14/2020"</f>
        <v>12900  02/14/2020</v>
      </c>
      <c r="F229" t="str">
        <f>"SERVICE"</f>
        <v>SERVICE</v>
      </c>
      <c r="G229" s="5">
        <v>8</v>
      </c>
      <c r="H229" t="str">
        <f>"SERVICE"</f>
        <v>SERVICE</v>
      </c>
    </row>
    <row r="230" spans="1:8" x14ac:dyDescent="0.25">
      <c r="E230" t="str">
        <f>"12903"</f>
        <v>12903</v>
      </c>
      <c r="F230" t="str">
        <f>"SERVICE 12/19/19"</f>
        <v>SERVICE 12/19/19</v>
      </c>
      <c r="G230" s="5">
        <v>460</v>
      </c>
      <c r="H230" t="str">
        <f>"SERVICE 12/19/19"</f>
        <v>SERVICE 12/19/19</v>
      </c>
    </row>
    <row r="231" spans="1:8" x14ac:dyDescent="0.25">
      <c r="E231" t="str">
        <f>"13037"</f>
        <v>13037</v>
      </c>
      <c r="F231" t="str">
        <f>"SERVICE  12/19/19"</f>
        <v>SERVICE  12/19/19</v>
      </c>
      <c r="G231" s="5">
        <v>325</v>
      </c>
      <c r="H231" t="str">
        <f>"SERVICE  12/19/19"</f>
        <v>SERVICE  12/19/19</v>
      </c>
    </row>
    <row r="232" spans="1:8" x14ac:dyDescent="0.25">
      <c r="E232" t="str">
        <f>"13038"</f>
        <v>13038</v>
      </c>
      <c r="F232" t="str">
        <f>"SERVICE  12/19/19"</f>
        <v>SERVICE  12/19/19</v>
      </c>
      <c r="G232" s="5">
        <v>325</v>
      </c>
      <c r="H232" t="str">
        <f>"SERVICE  12/19/19"</f>
        <v>SERVICE  12/19/19</v>
      </c>
    </row>
    <row r="233" spans="1:8" x14ac:dyDescent="0.25">
      <c r="E233" t="str">
        <f>"13062"</f>
        <v>13062</v>
      </c>
      <c r="F233" t="str">
        <f>"SERVICE 12/19/19"</f>
        <v>SERVICE 12/19/19</v>
      </c>
      <c r="G233" s="5">
        <v>325</v>
      </c>
      <c r="H233" t="str">
        <f>"SERVICE 12/19/19"</f>
        <v>SERVICE 12/19/19</v>
      </c>
    </row>
    <row r="234" spans="1:8" x14ac:dyDescent="0.25">
      <c r="E234" t="str">
        <f>"13063"</f>
        <v>13063</v>
      </c>
      <c r="F234" t="str">
        <f>"SERVICE  12/19/19"</f>
        <v>SERVICE  12/19/19</v>
      </c>
      <c r="G234" s="5">
        <v>325</v>
      </c>
      <c r="H234" t="str">
        <f>"SERVICE  12/19/19"</f>
        <v>SERVICE  12/19/19</v>
      </c>
    </row>
    <row r="235" spans="1:8" x14ac:dyDescent="0.25">
      <c r="E235" t="str">
        <f>"13064"</f>
        <v>13064</v>
      </c>
      <c r="F235" t="str">
        <f>"SERVICE  12/19/19"</f>
        <v>SERVICE  12/19/19</v>
      </c>
      <c r="G235" s="5">
        <v>250</v>
      </c>
      <c r="H235" t="str">
        <f>"SERVICE  12/19/19"</f>
        <v>SERVICE  12/19/19</v>
      </c>
    </row>
    <row r="236" spans="1:8" x14ac:dyDescent="0.25">
      <c r="E236" t="str">
        <f>"13109"</f>
        <v>13109</v>
      </c>
      <c r="F236" t="str">
        <f>"13109  12/19/19"</f>
        <v>13109  12/19/19</v>
      </c>
      <c r="G236" s="5">
        <v>250</v>
      </c>
      <c r="H236" t="str">
        <f>"13109  12/19/19"</f>
        <v>13109  12/19/19</v>
      </c>
    </row>
    <row r="237" spans="1:8" x14ac:dyDescent="0.25">
      <c r="E237" t="str">
        <f>"13156"</f>
        <v>13156</v>
      </c>
      <c r="F237" t="str">
        <f>"SERVICE  12/19/19"</f>
        <v>SERVICE  12/19/19</v>
      </c>
      <c r="G237" s="5">
        <v>250</v>
      </c>
      <c r="H237" t="str">
        <f>"SERVICE  12/19/19"</f>
        <v>SERVICE  12/19/19</v>
      </c>
    </row>
    <row r="238" spans="1:8" x14ac:dyDescent="0.25">
      <c r="E238" t="str">
        <f>"13370"</f>
        <v>13370</v>
      </c>
      <c r="F238" t="str">
        <f>"ABST FEE"</f>
        <v>ABST FEE</v>
      </c>
      <c r="G238" s="5">
        <v>225</v>
      </c>
      <c r="H238" t="str">
        <f>"ABST FEE"</f>
        <v>ABST FEE</v>
      </c>
    </row>
    <row r="239" spans="1:8" x14ac:dyDescent="0.25">
      <c r="A239" t="s">
        <v>50</v>
      </c>
      <c r="B239">
        <v>2369</v>
      </c>
      <c r="C239" s="5">
        <v>5128.49</v>
      </c>
      <c r="D239" s="1">
        <v>43914</v>
      </c>
      <c r="E239" t="str">
        <f>"202003125935"</f>
        <v>202003125935</v>
      </c>
      <c r="F239" t="str">
        <f>"GRANT REIMBURSEMENT"</f>
        <v>GRANT REIMBURSEMENT</v>
      </c>
      <c r="G239" s="5">
        <v>5128.49</v>
      </c>
      <c r="H239" t="str">
        <f>"GRANT REIMBURSEMENT"</f>
        <v>GRANT REIMBURSEMENT</v>
      </c>
    </row>
    <row r="240" spans="1:8" x14ac:dyDescent="0.25">
      <c r="A240" t="s">
        <v>51</v>
      </c>
      <c r="B240">
        <v>131106</v>
      </c>
      <c r="C240" s="5">
        <v>600</v>
      </c>
      <c r="D240" s="1">
        <v>43899</v>
      </c>
      <c r="E240" t="str">
        <f>"202003035693"</f>
        <v>202003035693</v>
      </c>
      <c r="F240" t="str">
        <f>"TRAINING"</f>
        <v>TRAINING</v>
      </c>
      <c r="G240" s="5">
        <v>600</v>
      </c>
      <c r="H240" t="str">
        <f>"TRAINING"</f>
        <v>TRAINING</v>
      </c>
    </row>
    <row r="241" spans="1:8" x14ac:dyDescent="0.25">
      <c r="A241" t="s">
        <v>52</v>
      </c>
      <c r="B241">
        <v>131312</v>
      </c>
      <c r="C241" s="5">
        <v>82017</v>
      </c>
      <c r="D241" s="1">
        <v>43913</v>
      </c>
      <c r="E241" t="str">
        <f>"2ND QURT FY 2020"</f>
        <v>2ND QURT FY 2020</v>
      </c>
      <c r="F241" t="str">
        <f>"CUST ID:BASTROP/REVENUE BASTRO"</f>
        <v>CUST ID:BASTROP/REVENUE BASTRO</v>
      </c>
      <c r="G241" s="5">
        <v>82017</v>
      </c>
      <c r="H241" t="str">
        <f>"CUST ID:BASTROP/REVENUE BASTRO"</f>
        <v>CUST ID:BASTROP/REVENUE BASTRO</v>
      </c>
    </row>
    <row r="242" spans="1:8" x14ac:dyDescent="0.25">
      <c r="A242" t="s">
        <v>53</v>
      </c>
      <c r="B242">
        <v>2390</v>
      </c>
      <c r="C242" s="5">
        <v>193.32</v>
      </c>
      <c r="D242" s="1">
        <v>43914</v>
      </c>
      <c r="E242" t="str">
        <f>"202003176025"</f>
        <v>202003176025</v>
      </c>
      <c r="F242" t="str">
        <f>"INDIGENT HEALTH"</f>
        <v>INDIGENT HEALTH</v>
      </c>
      <c r="G242" s="5">
        <v>193.32</v>
      </c>
      <c r="H242" t="str">
        <f>"INDIGENT HEALTH"</f>
        <v>INDIGENT HEALTH</v>
      </c>
    </row>
    <row r="243" spans="1:8" x14ac:dyDescent="0.25">
      <c r="A243" t="s">
        <v>54</v>
      </c>
      <c r="B243">
        <v>2341</v>
      </c>
      <c r="C243" s="5">
        <v>3265</v>
      </c>
      <c r="D243" s="1">
        <v>43914</v>
      </c>
      <c r="E243" t="str">
        <f>"2020-018"</f>
        <v>2020-018</v>
      </c>
      <c r="F243" t="str">
        <f>"TRANSPORT - W. WILSON"</f>
        <v>TRANSPORT - W. WILSON</v>
      </c>
      <c r="G243" s="5">
        <v>695</v>
      </c>
      <c r="H243" t="str">
        <f>"TRANSPORT - W. WILSON"</f>
        <v>TRANSPORT - W. WILSON</v>
      </c>
    </row>
    <row r="244" spans="1:8" x14ac:dyDescent="0.25">
      <c r="E244" t="str">
        <f>"2020020"</f>
        <v>2020020</v>
      </c>
      <c r="F244" t="str">
        <f>"TRANSPORT - J.A. FOYTIK"</f>
        <v>TRANSPORT - J.A. FOYTIK</v>
      </c>
      <c r="G244" s="5">
        <v>295</v>
      </c>
      <c r="H244" t="str">
        <f>"TRANSPORT - J.A. FOYTIK"</f>
        <v>TRANSPORT - J.A. FOYTIK</v>
      </c>
    </row>
    <row r="245" spans="1:8" x14ac:dyDescent="0.25">
      <c r="E245" t="str">
        <f>"2020021"</f>
        <v>2020021</v>
      </c>
      <c r="F245" t="str">
        <f>"TRANSPORT - F.J. MEUTH"</f>
        <v>TRANSPORT - F.J. MEUTH</v>
      </c>
      <c r="G245" s="5">
        <v>495</v>
      </c>
      <c r="H245" t="str">
        <f>"TRANSPORT - F.J. MEUTH"</f>
        <v>TRANSPORT - F.J. MEUTH</v>
      </c>
    </row>
    <row r="246" spans="1:8" x14ac:dyDescent="0.25">
      <c r="E246" t="str">
        <f>"2020022"</f>
        <v>2020022</v>
      </c>
      <c r="F246" t="str">
        <f>"TRANSPORT - M.H. RAMIREZ"</f>
        <v>TRANSPORT - M.H. RAMIREZ</v>
      </c>
      <c r="G246" s="5">
        <v>495</v>
      </c>
      <c r="H246" t="str">
        <f>"TRANSPORT - M.H. RAMIREZ"</f>
        <v>TRANSPORT - M.H. RAMIREZ</v>
      </c>
    </row>
    <row r="247" spans="1:8" x14ac:dyDescent="0.25">
      <c r="E247" t="str">
        <f>"2020023"</f>
        <v>2020023</v>
      </c>
      <c r="F247" t="str">
        <f>"TRANSPORT - R. SILVESTRE"</f>
        <v>TRANSPORT - R. SILVESTRE</v>
      </c>
      <c r="G247" s="5">
        <v>495</v>
      </c>
      <c r="H247" t="str">
        <f>"TRANSPORT - R. SILVESTRE"</f>
        <v>TRANSPORT - R. SILVESTRE</v>
      </c>
    </row>
    <row r="248" spans="1:8" x14ac:dyDescent="0.25">
      <c r="E248" t="str">
        <f>"2020031"</f>
        <v>2020031</v>
      </c>
      <c r="F248" t="str">
        <f>"TRANSPORT - M. RAY"</f>
        <v>TRANSPORT - M. RAY</v>
      </c>
      <c r="G248" s="5">
        <v>295</v>
      </c>
      <c r="H248" t="str">
        <f>"TRANSPORT - M. RAY"</f>
        <v>TRANSPORT - M. RAY</v>
      </c>
    </row>
    <row r="249" spans="1:8" x14ac:dyDescent="0.25">
      <c r="E249" t="str">
        <f>"2020033"</f>
        <v>2020033</v>
      </c>
      <c r="F249" t="str">
        <f>"TRANSPORT - S.J. MAYO"</f>
        <v>TRANSPORT - S.J. MAYO</v>
      </c>
      <c r="G249" s="5">
        <v>495</v>
      </c>
      <c r="H249" t="str">
        <f>"TRANSPORT - S.J. MAYO"</f>
        <v>TRANSPORT - S.J. MAYO</v>
      </c>
    </row>
    <row r="250" spans="1:8" x14ac:dyDescent="0.25">
      <c r="A250" t="s">
        <v>55</v>
      </c>
      <c r="B250">
        <v>131313</v>
      </c>
      <c r="C250" s="5">
        <v>137.65</v>
      </c>
      <c r="D250" s="1">
        <v>43913</v>
      </c>
      <c r="E250" t="str">
        <f>"1148312"</f>
        <v>1148312</v>
      </c>
      <c r="F250" t="str">
        <f>"INV 1148312"</f>
        <v>INV 1148312</v>
      </c>
      <c r="G250" s="5">
        <v>66.150000000000006</v>
      </c>
      <c r="H250" t="str">
        <f>"INV 1148312"</f>
        <v>INV 1148312</v>
      </c>
    </row>
    <row r="251" spans="1:8" x14ac:dyDescent="0.25">
      <c r="E251" t="str">
        <f>"1152565"</f>
        <v>1152565</v>
      </c>
      <c r="F251" t="str">
        <f>"CLIENT ID:5495160A/ANIMAL SVCS"</f>
        <v>CLIENT ID:5495160A/ANIMAL SVCS</v>
      </c>
      <c r="G251" s="5">
        <v>71.5</v>
      </c>
      <c r="H251" t="str">
        <f>"CLIENT ID:5495160A/ANIMAL SVCS"</f>
        <v>CLIENT ID:5495160A/ANIMAL SVCS</v>
      </c>
    </row>
    <row r="252" spans="1:8" x14ac:dyDescent="0.25">
      <c r="A252" t="s">
        <v>56</v>
      </c>
      <c r="B252">
        <v>2291</v>
      </c>
      <c r="C252" s="5">
        <v>672.79</v>
      </c>
      <c r="D252" s="1">
        <v>43900</v>
      </c>
      <c r="E252" t="str">
        <f>"6008300246"</f>
        <v>6008300246</v>
      </c>
      <c r="F252" t="str">
        <f>"ACCT#3422853/ANIMAL CONTROL"</f>
        <v>ACCT#3422853/ANIMAL CONTROL</v>
      </c>
      <c r="G252" s="5">
        <v>324.89999999999998</v>
      </c>
      <c r="H252" t="str">
        <f>"ACCT#3422853/ANIMAL CONTROL"</f>
        <v>ACCT#3422853/ANIMAL CONTROL</v>
      </c>
    </row>
    <row r="253" spans="1:8" x14ac:dyDescent="0.25">
      <c r="E253" t="str">
        <f>"6008324107"</f>
        <v>6008324107</v>
      </c>
      <c r="F253" t="str">
        <f>"ACCT#3422853/ANIMAL CONTROL"</f>
        <v>ACCT#3422853/ANIMAL CONTROL</v>
      </c>
      <c r="G253" s="5">
        <v>347.89</v>
      </c>
      <c r="H253" t="str">
        <f>"ACCT#3422853/ANIMAL CONTROL"</f>
        <v>ACCT#3422853/ANIMAL CONTROL</v>
      </c>
    </row>
    <row r="254" spans="1:8" x14ac:dyDescent="0.25">
      <c r="A254" t="s">
        <v>57</v>
      </c>
      <c r="B254">
        <v>2255</v>
      </c>
      <c r="C254" s="5">
        <v>2084.5</v>
      </c>
      <c r="D254" s="1">
        <v>43900</v>
      </c>
      <c r="E254" t="str">
        <f>"202003035639"</f>
        <v>202003035639</v>
      </c>
      <c r="F254" t="str">
        <f>"INVESTIGATIVE SVCS-FEB 2020"</f>
        <v>INVESTIGATIVE SVCS-FEB 2020</v>
      </c>
      <c r="G254" s="5">
        <v>691.25</v>
      </c>
      <c r="H254" t="str">
        <f>"INVESTIGATIVE SVCS-FEB 2020"</f>
        <v>INVESTIGATIVE SVCS-FEB 2020</v>
      </c>
    </row>
    <row r="255" spans="1:8" x14ac:dyDescent="0.25">
      <c r="E255" t="str">
        <f>"202003035690"</f>
        <v>202003035690</v>
      </c>
      <c r="F255" t="str">
        <f>"SERVICES FOR FEBRUARU"</f>
        <v>SERVICES FOR FEBRUARU</v>
      </c>
      <c r="G255" s="5">
        <v>1393.25</v>
      </c>
      <c r="H255" t="str">
        <f>"SERVICES FOR FEBRUARU"</f>
        <v>SERVICES FOR FEBRUARU</v>
      </c>
    </row>
    <row r="256" spans="1:8" x14ac:dyDescent="0.25">
      <c r="A256" t="s">
        <v>58</v>
      </c>
      <c r="B256">
        <v>131107</v>
      </c>
      <c r="C256" s="5">
        <v>1855.3</v>
      </c>
      <c r="D256" s="1">
        <v>43899</v>
      </c>
      <c r="E256" t="str">
        <f>"75424464  75433136"</f>
        <v>75424464  75433136</v>
      </c>
      <c r="F256" t="str">
        <f>"INV 75424464"</f>
        <v>INV 75424464</v>
      </c>
      <c r="G256" s="5">
        <v>1855.3</v>
      </c>
      <c r="H256" t="str">
        <f>"INV 75424464"</f>
        <v>INV 75424464</v>
      </c>
    </row>
    <row r="257" spans="1:8" x14ac:dyDescent="0.25">
      <c r="E257" t="str">
        <f>""</f>
        <v/>
      </c>
      <c r="F257" t="str">
        <f>""</f>
        <v/>
      </c>
      <c r="H257" t="str">
        <f>"INV 75433136"</f>
        <v>INV 75433136</v>
      </c>
    </row>
    <row r="258" spans="1:8" x14ac:dyDescent="0.25">
      <c r="A258" t="s">
        <v>58</v>
      </c>
      <c r="B258">
        <v>131314</v>
      </c>
      <c r="C258" s="5">
        <v>1788.24</v>
      </c>
      <c r="D258" s="1">
        <v>43913</v>
      </c>
      <c r="E258" t="str">
        <f>"75442168  75451299"</f>
        <v>75442168  75451299</v>
      </c>
      <c r="F258" t="str">
        <f>"INV 75442168"</f>
        <v>INV 75442168</v>
      </c>
      <c r="G258" s="5">
        <v>1788.24</v>
      </c>
      <c r="H258" t="str">
        <f>"INV 75442168"</f>
        <v>INV 75442168</v>
      </c>
    </row>
    <row r="259" spans="1:8" x14ac:dyDescent="0.25">
      <c r="E259" t="str">
        <f>""</f>
        <v/>
      </c>
      <c r="F259" t="str">
        <f>""</f>
        <v/>
      </c>
      <c r="H259" t="str">
        <f>"INV 75451299"</f>
        <v>INV 75451299</v>
      </c>
    </row>
    <row r="260" spans="1:8" x14ac:dyDescent="0.25">
      <c r="A260" t="s">
        <v>59</v>
      </c>
      <c r="B260">
        <v>131108</v>
      </c>
      <c r="C260" s="5">
        <v>122.99</v>
      </c>
      <c r="D260" s="1">
        <v>43899</v>
      </c>
      <c r="E260" t="str">
        <f>"4413666"</f>
        <v>4413666</v>
      </c>
      <c r="F260" t="str">
        <f>"inv# 4413666"</f>
        <v>inv# 4413666</v>
      </c>
      <c r="G260" s="5">
        <v>122.99</v>
      </c>
      <c r="H260" t="str">
        <f>"inv# 4413666"</f>
        <v>inv# 4413666</v>
      </c>
    </row>
    <row r="261" spans="1:8" x14ac:dyDescent="0.25">
      <c r="A261" t="s">
        <v>60</v>
      </c>
      <c r="B261">
        <v>2311</v>
      </c>
      <c r="C261" s="5">
        <v>4314.97</v>
      </c>
      <c r="D261" s="1">
        <v>43900</v>
      </c>
      <c r="E261" t="str">
        <f>"24610"</f>
        <v>24610</v>
      </c>
      <c r="F261" t="str">
        <f>"INV 24610"</f>
        <v>INV 24610</v>
      </c>
      <c r="G261" s="5">
        <v>4314.97</v>
      </c>
      <c r="H261" t="str">
        <f>"INV 24610"</f>
        <v>INV 24610</v>
      </c>
    </row>
    <row r="262" spans="1:8" x14ac:dyDescent="0.25">
      <c r="A262" t="s">
        <v>60</v>
      </c>
      <c r="B262">
        <v>2386</v>
      </c>
      <c r="C262" s="5">
        <v>3068.56</v>
      </c>
      <c r="D262" s="1">
        <v>43914</v>
      </c>
      <c r="E262" t="str">
        <f>"24637"</f>
        <v>24637</v>
      </c>
      <c r="F262" t="str">
        <f>"INV 24637"</f>
        <v>INV 24637</v>
      </c>
      <c r="G262" s="5">
        <v>3068.56</v>
      </c>
      <c r="H262" t="str">
        <f>"INV 24637"</f>
        <v>INV 24637</v>
      </c>
    </row>
    <row r="263" spans="1:8" x14ac:dyDescent="0.25">
      <c r="A263" t="s">
        <v>61</v>
      </c>
      <c r="B263">
        <v>2278</v>
      </c>
      <c r="C263" s="5">
        <v>312.5</v>
      </c>
      <c r="D263" s="1">
        <v>43900</v>
      </c>
      <c r="E263" t="str">
        <f>"5044"</f>
        <v>5044</v>
      </c>
      <c r="F263" t="str">
        <f>"SVC CALL FEE/LABOR/PCT#4"</f>
        <v>SVC CALL FEE/LABOR/PCT#4</v>
      </c>
      <c r="G263" s="5">
        <v>312.5</v>
      </c>
      <c r="H263" t="str">
        <f>"SVC CALL FEE/LABOR/PCT#4"</f>
        <v>SVC CALL FEE/LABOR/PCT#4</v>
      </c>
    </row>
    <row r="264" spans="1:8" x14ac:dyDescent="0.25">
      <c r="A264" t="s">
        <v>61</v>
      </c>
      <c r="B264">
        <v>2360</v>
      </c>
      <c r="C264" s="5">
        <v>2545.34</v>
      </c>
      <c r="D264" s="1">
        <v>43914</v>
      </c>
      <c r="E264" t="str">
        <f>"5013"</f>
        <v>5013</v>
      </c>
      <c r="F264" t="str">
        <f>"ARM BRUSH MOWER/PCT#4"</f>
        <v>ARM BRUSH MOWER/PCT#4</v>
      </c>
      <c r="G264" s="5">
        <v>1336.42</v>
      </c>
      <c r="H264" t="str">
        <f>"ARM BRUSH MOWER/PCT#4"</f>
        <v>ARM BRUSH MOWER/PCT#4</v>
      </c>
    </row>
    <row r="265" spans="1:8" x14ac:dyDescent="0.25">
      <c r="E265" t="str">
        <f>"5064"</f>
        <v>5064</v>
      </c>
      <c r="F265" t="str">
        <f>"2004 FORD WATER TRUCK/PCT#4"</f>
        <v>2004 FORD WATER TRUCK/PCT#4</v>
      </c>
      <c r="G265" s="5">
        <v>296.13</v>
      </c>
      <c r="H265" t="str">
        <f>"2004 FORD WATER TRUCK/PCT#4"</f>
        <v>2004 FORD WATER TRUCK/PCT#4</v>
      </c>
    </row>
    <row r="266" spans="1:8" x14ac:dyDescent="0.25">
      <c r="E266" t="str">
        <f>"5067"</f>
        <v>5067</v>
      </c>
      <c r="F266" t="str">
        <f>"CAT ROLLER/PCT#4"</f>
        <v>CAT ROLLER/PCT#4</v>
      </c>
      <c r="G266" s="5">
        <v>912.79</v>
      </c>
      <c r="H266" t="str">
        <f>"CAT ROLLER/PCT#4"</f>
        <v>CAT ROLLER/PCT#4</v>
      </c>
    </row>
    <row r="267" spans="1:8" x14ac:dyDescent="0.25">
      <c r="A267" t="s">
        <v>62</v>
      </c>
      <c r="B267">
        <v>2256</v>
      </c>
      <c r="C267" s="5">
        <v>566.12</v>
      </c>
      <c r="D267" s="1">
        <v>43900</v>
      </c>
      <c r="E267" t="str">
        <f>"202003035624"</f>
        <v>202003035624</v>
      </c>
      <c r="F267" t="str">
        <f>"MORNING CRIMINAL DOCKET"</f>
        <v>MORNING CRIMINAL DOCKET</v>
      </c>
      <c r="G267" s="5">
        <v>333.06</v>
      </c>
      <c r="H267" t="str">
        <f>"MORNING CRIMINAL DOCKET"</f>
        <v>MORNING CRIMINAL DOCKET</v>
      </c>
    </row>
    <row r="268" spans="1:8" x14ac:dyDescent="0.25">
      <c r="E268" t="str">
        <f>"202003035625"</f>
        <v>202003035625</v>
      </c>
      <c r="F268" t="str">
        <f>"MORNING CRIMINAL DOCKET"</f>
        <v>MORNING CRIMINAL DOCKET</v>
      </c>
      <c r="G268" s="5">
        <v>233.06</v>
      </c>
      <c r="H268" t="str">
        <f>"MORNING CRIMINAL DOCKET"</f>
        <v>MORNING CRIMINAL DOCKET</v>
      </c>
    </row>
    <row r="269" spans="1:8" x14ac:dyDescent="0.25">
      <c r="A269" t="s">
        <v>62</v>
      </c>
      <c r="B269">
        <v>2335</v>
      </c>
      <c r="C269" s="5">
        <v>332.78</v>
      </c>
      <c r="D269" s="1">
        <v>43914</v>
      </c>
      <c r="E269" t="str">
        <f>"202003125890"</f>
        <v>202003125890</v>
      </c>
      <c r="F269" t="str">
        <f>"MORNING CRIMINAL DOCKET"</f>
        <v>MORNING CRIMINAL DOCKET</v>
      </c>
      <c r="G269" s="5">
        <v>332.78</v>
      </c>
      <c r="H269" t="str">
        <f>"MORNING CRIMINAL DOCKET"</f>
        <v>MORNING CRIMINAL DOCKET</v>
      </c>
    </row>
    <row r="270" spans="1:8" x14ac:dyDescent="0.25">
      <c r="A270" t="s">
        <v>63</v>
      </c>
      <c r="B270">
        <v>131109</v>
      </c>
      <c r="C270" s="5">
        <v>653.24</v>
      </c>
      <c r="D270" s="1">
        <v>43899</v>
      </c>
      <c r="E270" t="str">
        <f>"84078904227/228"</f>
        <v>84078904227/228</v>
      </c>
      <c r="F270" t="str">
        <f>"INV 84078904227"</f>
        <v>INV 84078904227</v>
      </c>
      <c r="G270" s="5">
        <v>653.24</v>
      </c>
      <c r="H270" t="str">
        <f>"INV 84078904227"</f>
        <v>INV 84078904227</v>
      </c>
    </row>
    <row r="271" spans="1:8" x14ac:dyDescent="0.25">
      <c r="E271" t="str">
        <f>""</f>
        <v/>
      </c>
      <c r="F271" t="str">
        <f>""</f>
        <v/>
      </c>
      <c r="H271" t="str">
        <f>"INV 84078904288"</f>
        <v>INV 84078904288</v>
      </c>
    </row>
    <row r="272" spans="1:8" x14ac:dyDescent="0.25">
      <c r="A272" t="s">
        <v>63</v>
      </c>
      <c r="B272">
        <v>131315</v>
      </c>
      <c r="C272" s="5">
        <v>526</v>
      </c>
      <c r="D272" s="1">
        <v>43913</v>
      </c>
      <c r="E272" t="str">
        <f>"840789043714078904"</f>
        <v>840789043714078904</v>
      </c>
      <c r="F272" t="str">
        <f>"INV 84078904371"</f>
        <v>INV 84078904371</v>
      </c>
      <c r="G272" s="5">
        <v>526</v>
      </c>
      <c r="H272" t="str">
        <f>"INV 84078904371"</f>
        <v>INV 84078904371</v>
      </c>
    </row>
    <row r="273" spans="1:8" x14ac:dyDescent="0.25">
      <c r="E273" t="str">
        <f>""</f>
        <v/>
      </c>
      <c r="F273" t="str">
        <f>""</f>
        <v/>
      </c>
      <c r="H273" t="str">
        <f>"INV 84078904454"</f>
        <v>INV 84078904454</v>
      </c>
    </row>
    <row r="274" spans="1:8" x14ac:dyDescent="0.25">
      <c r="A274" t="s">
        <v>64</v>
      </c>
      <c r="B274">
        <v>131316</v>
      </c>
      <c r="C274" s="5">
        <v>980</v>
      </c>
      <c r="D274" s="1">
        <v>43913</v>
      </c>
      <c r="E274" t="str">
        <f>"I019052742"</f>
        <v>I019052742</v>
      </c>
      <c r="F274" t="str">
        <f>"INV I019052742"</f>
        <v>INV I019052742</v>
      </c>
      <c r="G274" s="5">
        <v>980</v>
      </c>
      <c r="H274" t="str">
        <f>"INV I019052742"</f>
        <v>INV I019052742</v>
      </c>
    </row>
    <row r="275" spans="1:8" x14ac:dyDescent="0.25">
      <c r="A275" t="s">
        <v>65</v>
      </c>
      <c r="B275">
        <v>2354</v>
      </c>
      <c r="C275" s="5">
        <v>350</v>
      </c>
      <c r="D275" s="1">
        <v>43914</v>
      </c>
      <c r="E275" t="str">
        <f>"202003125895"</f>
        <v>202003125895</v>
      </c>
      <c r="F275" t="str">
        <f>"18-19166"</f>
        <v>18-19166</v>
      </c>
      <c r="G275" s="5">
        <v>100</v>
      </c>
      <c r="H275" t="str">
        <f>"18-19166"</f>
        <v>18-19166</v>
      </c>
    </row>
    <row r="276" spans="1:8" x14ac:dyDescent="0.25">
      <c r="E276" t="str">
        <f>"202003125919"</f>
        <v>202003125919</v>
      </c>
      <c r="F276" t="str">
        <f>"57 364"</f>
        <v>57 364</v>
      </c>
      <c r="G276" s="5">
        <v>250</v>
      </c>
      <c r="H276" t="str">
        <f>"57 364"</f>
        <v>57 364</v>
      </c>
    </row>
    <row r="277" spans="1:8" x14ac:dyDescent="0.25">
      <c r="A277" t="s">
        <v>66</v>
      </c>
      <c r="B277">
        <v>131110</v>
      </c>
      <c r="C277" s="5">
        <v>1313.78</v>
      </c>
      <c r="D277" s="1">
        <v>43899</v>
      </c>
      <c r="E277" t="str">
        <f>"20012205876 200205"</f>
        <v>20012205876 200205</v>
      </c>
      <c r="F277" t="str">
        <f>"20012205876/20020506999"</f>
        <v>20012205876/20020506999</v>
      </c>
      <c r="G277" s="5">
        <v>1097.2</v>
      </c>
      <c r="H277" t="str">
        <f>"INV 20012205876"</f>
        <v>INV 20012205876</v>
      </c>
    </row>
    <row r="278" spans="1:8" x14ac:dyDescent="0.25">
      <c r="E278" t="str">
        <f>""</f>
        <v/>
      </c>
      <c r="F278" t="str">
        <f>""</f>
        <v/>
      </c>
      <c r="H278" t="str">
        <f>"INV 20020506999"</f>
        <v>INV 20020506999</v>
      </c>
    </row>
    <row r="279" spans="1:8" x14ac:dyDescent="0.25">
      <c r="E279" t="str">
        <f>"20012205877"</f>
        <v>20012205877</v>
      </c>
      <c r="F279" t="str">
        <f>"INV 20012205877"</f>
        <v>INV 20012205877</v>
      </c>
      <c r="G279" s="5">
        <v>216.58</v>
      </c>
      <c r="H279" t="str">
        <f>"INV 20012205877"</f>
        <v>INV 20012205877</v>
      </c>
    </row>
    <row r="280" spans="1:8" x14ac:dyDescent="0.25">
      <c r="A280" t="s">
        <v>67</v>
      </c>
      <c r="B280">
        <v>131317</v>
      </c>
      <c r="C280" s="5">
        <v>191.79</v>
      </c>
      <c r="D280" s="1">
        <v>43913</v>
      </c>
      <c r="E280" t="str">
        <f>"202003135972"</f>
        <v>202003135972</v>
      </c>
      <c r="F280" t="str">
        <f>"CRIME STOPPERS FEES-FEB 2020"</f>
        <v>CRIME STOPPERS FEES-FEB 2020</v>
      </c>
      <c r="G280" s="5">
        <v>191.79</v>
      </c>
      <c r="H280" t="str">
        <f>"CRIME STOPPERS FEES-FEB 2020"</f>
        <v>CRIME STOPPERS FEES-FEB 2020</v>
      </c>
    </row>
    <row r="281" spans="1:8" x14ac:dyDescent="0.25">
      <c r="A281" t="s">
        <v>68</v>
      </c>
      <c r="B281">
        <v>131292</v>
      </c>
      <c r="C281" s="5">
        <v>4209.05</v>
      </c>
      <c r="D281" s="1">
        <v>43900</v>
      </c>
      <c r="E281" t="str">
        <f>"202003105875"</f>
        <v>202003105875</v>
      </c>
      <c r="F281" t="str">
        <f>"ACCT#5000057374 / 03042020"</f>
        <v>ACCT#5000057374 / 03042020</v>
      </c>
      <c r="G281" s="5">
        <v>4209.05</v>
      </c>
      <c r="H281" t="str">
        <f>"ACCT#5000057374 / 03042020"</f>
        <v>ACCT#5000057374 / 03042020</v>
      </c>
    </row>
    <row r="282" spans="1:8" x14ac:dyDescent="0.25">
      <c r="E282" t="str">
        <f>""</f>
        <v/>
      </c>
      <c r="F282" t="str">
        <f>""</f>
        <v/>
      </c>
      <c r="H282" t="str">
        <f>"ACCT#5000057374 / 03042020"</f>
        <v>ACCT#5000057374 / 03042020</v>
      </c>
    </row>
    <row r="283" spans="1:8" x14ac:dyDescent="0.25">
      <c r="E283" t="str">
        <f>""</f>
        <v/>
      </c>
      <c r="F283" t="str">
        <f>""</f>
        <v/>
      </c>
      <c r="H283" t="str">
        <f>"ACCT#5000057374 / 03042020"</f>
        <v>ACCT#5000057374 / 03042020</v>
      </c>
    </row>
    <row r="284" spans="1:8" x14ac:dyDescent="0.25">
      <c r="E284" t="str">
        <f>""</f>
        <v/>
      </c>
      <c r="F284" t="str">
        <f>""</f>
        <v/>
      </c>
      <c r="H284" t="str">
        <f>"ACCT#5000057374 / 03042020"</f>
        <v>ACCT#5000057374 / 03042020</v>
      </c>
    </row>
    <row r="285" spans="1:8" x14ac:dyDescent="0.25">
      <c r="A285" t="s">
        <v>69</v>
      </c>
      <c r="B285">
        <v>2321</v>
      </c>
      <c r="C285" s="5">
        <v>825</v>
      </c>
      <c r="D285" s="1">
        <v>43900</v>
      </c>
      <c r="E285" t="str">
        <f>"25-02-2020"</f>
        <v>25-02-2020</v>
      </c>
      <c r="F285" t="str">
        <f>"INV 25-02-2020"</f>
        <v>INV 25-02-2020</v>
      </c>
      <c r="G285" s="5">
        <v>825</v>
      </c>
      <c r="H285" t="str">
        <f>"INV 25-02-2020"</f>
        <v>INV 25-02-2020</v>
      </c>
    </row>
    <row r="286" spans="1:8" x14ac:dyDescent="0.25">
      <c r="A286" t="s">
        <v>69</v>
      </c>
      <c r="B286">
        <v>2393</v>
      </c>
      <c r="C286" s="5">
        <v>19815.04</v>
      </c>
      <c r="D286" s="1">
        <v>43914</v>
      </c>
      <c r="E286" t="str">
        <f>"202003125934"</f>
        <v>202003125934</v>
      </c>
      <c r="F286" t="str">
        <f>"GRANT REIMBURSEMENT"</f>
        <v>GRANT REIMBURSEMENT</v>
      </c>
      <c r="G286" s="5">
        <v>19815.04</v>
      </c>
      <c r="H286" t="str">
        <f>"GRANT REIMBURSEMENT"</f>
        <v>GRANT REIMBURSEMENT</v>
      </c>
    </row>
    <row r="287" spans="1:8" x14ac:dyDescent="0.25">
      <c r="A287" t="s">
        <v>70</v>
      </c>
      <c r="B287">
        <v>131318</v>
      </c>
      <c r="C287" s="5">
        <v>76.75</v>
      </c>
      <c r="D287" s="1">
        <v>43913</v>
      </c>
      <c r="E287" t="str">
        <f>"13058  13042"</f>
        <v>13058  13042</v>
      </c>
      <c r="F287" t="str">
        <f>"IN 13058/13042  UNIT 5511"</f>
        <v>IN 13058/13042  UNIT 5511</v>
      </c>
      <c r="G287" s="5">
        <v>76.75</v>
      </c>
      <c r="H287" t="str">
        <f>"IN 13058  UNIT 5511"</f>
        <v>IN 13058  UNIT 5511</v>
      </c>
    </row>
    <row r="288" spans="1:8" x14ac:dyDescent="0.25">
      <c r="E288" t="str">
        <f>""</f>
        <v/>
      </c>
      <c r="F288" t="str">
        <f>""</f>
        <v/>
      </c>
      <c r="H288" t="str">
        <f>"IN 13042  UNIT 5511"</f>
        <v>IN 13042  UNIT 5511</v>
      </c>
    </row>
    <row r="289" spans="1:8" x14ac:dyDescent="0.25">
      <c r="A289" t="s">
        <v>71</v>
      </c>
      <c r="B289">
        <v>131111</v>
      </c>
      <c r="C289" s="5">
        <v>39.64</v>
      </c>
      <c r="D289" s="1">
        <v>43899</v>
      </c>
      <c r="E289" t="str">
        <f>"CT183077"</f>
        <v>CT183077</v>
      </c>
      <c r="F289" t="str">
        <f>"ACCT#B02137/PCT#3"</f>
        <v>ACCT#B02137/PCT#3</v>
      </c>
      <c r="G289" s="5">
        <v>39.64</v>
      </c>
      <c r="H289" t="str">
        <f>"ACCT#B02137/PCT#3"</f>
        <v>ACCT#B02137/PCT#3</v>
      </c>
    </row>
    <row r="290" spans="1:8" x14ac:dyDescent="0.25">
      <c r="A290" t="s">
        <v>72</v>
      </c>
      <c r="B290">
        <v>131319</v>
      </c>
      <c r="C290" s="5">
        <v>70</v>
      </c>
      <c r="D290" s="1">
        <v>43913</v>
      </c>
      <c r="E290" t="str">
        <f>"12903"</f>
        <v>12903</v>
      </c>
      <c r="F290" t="str">
        <f>"SERVICE 12/19/19"</f>
        <v>SERVICE 12/19/19</v>
      </c>
      <c r="G290" s="5">
        <v>70</v>
      </c>
      <c r="H290" t="str">
        <f>"SERVICE 12/19/19"</f>
        <v>SERVICE 12/19/19</v>
      </c>
    </row>
    <row r="291" spans="1:8" x14ac:dyDescent="0.25">
      <c r="A291" t="s">
        <v>73</v>
      </c>
      <c r="B291">
        <v>131112</v>
      </c>
      <c r="C291" s="5">
        <v>9290.23</v>
      </c>
      <c r="D291" s="1">
        <v>43899</v>
      </c>
      <c r="E291" t="str">
        <f>"107618"</f>
        <v>107618</v>
      </c>
      <c r="F291" t="str">
        <f>"ACCT#1267/PCT#2"</f>
        <v>ACCT#1267/PCT#2</v>
      </c>
      <c r="G291" s="5">
        <v>7290.26</v>
      </c>
      <c r="H291" t="str">
        <f>"ACCT#1267/PCT#2"</f>
        <v>ACCT#1267/PCT#2</v>
      </c>
    </row>
    <row r="292" spans="1:8" x14ac:dyDescent="0.25">
      <c r="E292" t="str">
        <f>"107787"</f>
        <v>107787</v>
      </c>
      <c r="F292" t="str">
        <f>"ACCT#1267/PCT#2"</f>
        <v>ACCT#1267/PCT#2</v>
      </c>
      <c r="G292" s="5">
        <v>1516.73</v>
      </c>
      <c r="H292" t="str">
        <f>"ACCT#1267/PCT#2"</f>
        <v>ACCT#1267/PCT#2</v>
      </c>
    </row>
    <row r="293" spans="1:8" x14ac:dyDescent="0.25">
      <c r="E293" t="str">
        <f>"107788"</f>
        <v>107788</v>
      </c>
      <c r="F293" t="str">
        <f>"ACCT#1268/PCT#3"</f>
        <v>ACCT#1268/PCT#3</v>
      </c>
      <c r="G293" s="5">
        <v>483.24</v>
      </c>
      <c r="H293" t="str">
        <f>"ACCT#1268/PCT#3"</f>
        <v>ACCT#1268/PCT#3</v>
      </c>
    </row>
    <row r="294" spans="1:8" x14ac:dyDescent="0.25">
      <c r="A294" t="s">
        <v>73</v>
      </c>
      <c r="B294">
        <v>131320</v>
      </c>
      <c r="C294" s="5">
        <v>3168.81</v>
      </c>
      <c r="D294" s="1">
        <v>43913</v>
      </c>
      <c r="E294" t="str">
        <f>"107953"</f>
        <v>107953</v>
      </c>
      <c r="F294" t="str">
        <f>"ACCT#1268/PCT#3"</f>
        <v>ACCT#1268/PCT#3</v>
      </c>
      <c r="G294" s="5">
        <v>689.15</v>
      </c>
      <c r="H294" t="str">
        <f>"ACCT#1268/PCT#3"</f>
        <v>ACCT#1268/PCT#3</v>
      </c>
    </row>
    <row r="295" spans="1:8" x14ac:dyDescent="0.25">
      <c r="E295" t="str">
        <f>"108142"</f>
        <v>108142</v>
      </c>
      <c r="F295" t="str">
        <f>"ACCT#1268/PCT#3"</f>
        <v>ACCT#1268/PCT#3</v>
      </c>
      <c r="G295" s="5">
        <v>1511.16</v>
      </c>
      <c r="H295" t="str">
        <f>"ACCT#1268/PCT#3"</f>
        <v>ACCT#1268/PCT#3</v>
      </c>
    </row>
    <row r="296" spans="1:8" x14ac:dyDescent="0.25">
      <c r="E296" t="str">
        <f>"108304"</f>
        <v>108304</v>
      </c>
      <c r="F296" t="str">
        <f>"ACCT#1268/COMM BASE/PCT#3"</f>
        <v>ACCT#1268/COMM BASE/PCT#3</v>
      </c>
      <c r="G296" s="5">
        <v>968.5</v>
      </c>
      <c r="H296" t="str">
        <f>"ACCT#1268/COMM BASE/PCT#3"</f>
        <v>ACCT#1268/COMM BASE/PCT#3</v>
      </c>
    </row>
    <row r="297" spans="1:8" x14ac:dyDescent="0.25">
      <c r="A297" t="s">
        <v>74</v>
      </c>
      <c r="B297">
        <v>131321</v>
      </c>
      <c r="C297" s="5">
        <v>75</v>
      </c>
      <c r="D297" s="1">
        <v>43913</v>
      </c>
      <c r="E297" t="str">
        <f>"12903"</f>
        <v>12903</v>
      </c>
      <c r="F297" t="str">
        <f>"SERVICE 12/19/19"</f>
        <v>SERVICE 12/19/19</v>
      </c>
      <c r="G297" s="5">
        <v>75</v>
      </c>
      <c r="H297" t="str">
        <f>"SERVICE 12/19/19"</f>
        <v>SERVICE 12/19/19</v>
      </c>
    </row>
    <row r="298" spans="1:8" x14ac:dyDescent="0.25">
      <c r="A298" t="s">
        <v>75</v>
      </c>
      <c r="B298">
        <v>2326</v>
      </c>
      <c r="C298" s="5">
        <v>250</v>
      </c>
      <c r="D298" s="1">
        <v>43900</v>
      </c>
      <c r="E298" t="str">
        <f>"202003035631"</f>
        <v>202003035631</v>
      </c>
      <c r="F298" t="str">
        <f>"57 287"</f>
        <v>57 287</v>
      </c>
      <c r="G298" s="5">
        <v>250</v>
      </c>
      <c r="H298" t="str">
        <f>"57 287"</f>
        <v>57 287</v>
      </c>
    </row>
    <row r="299" spans="1:8" x14ac:dyDescent="0.25">
      <c r="A299" t="s">
        <v>76</v>
      </c>
      <c r="B299">
        <v>131322</v>
      </c>
      <c r="C299" s="5">
        <v>15</v>
      </c>
      <c r="D299" s="1">
        <v>43913</v>
      </c>
      <c r="E299" t="str">
        <f>"20-20142"</f>
        <v>20-20142</v>
      </c>
      <c r="F299" t="str">
        <f>"CENTRAL ADOPTION REGISTRY FUND"</f>
        <v>CENTRAL ADOPTION REGISTRY FUND</v>
      </c>
      <c r="G299" s="5">
        <v>15</v>
      </c>
      <c r="H299" t="str">
        <f>"CENTRAL ADOPTION REGISTRY FUND"</f>
        <v>CENTRAL ADOPTION REGISTRY FUND</v>
      </c>
    </row>
    <row r="300" spans="1:8" x14ac:dyDescent="0.25">
      <c r="A300" t="s">
        <v>77</v>
      </c>
      <c r="B300">
        <v>131113</v>
      </c>
      <c r="C300" s="5">
        <v>15</v>
      </c>
      <c r="D300" s="1">
        <v>43899</v>
      </c>
      <c r="E300" t="str">
        <f>"202003035701"</f>
        <v>202003035701</v>
      </c>
      <c r="F300" t="str">
        <f>"CAITLIN BICKERSTAFF"</f>
        <v>CAITLIN BICKERSTAFF</v>
      </c>
      <c r="G300" s="5">
        <v>15</v>
      </c>
      <c r="H300" t="str">
        <f>""</f>
        <v/>
      </c>
    </row>
    <row r="301" spans="1:8" x14ac:dyDescent="0.25">
      <c r="A301" t="s">
        <v>78</v>
      </c>
      <c r="B301">
        <v>131324</v>
      </c>
      <c r="C301" s="5">
        <v>470</v>
      </c>
      <c r="D301" s="1">
        <v>43913</v>
      </c>
      <c r="E301" t="s">
        <v>79</v>
      </c>
      <c r="F301" t="str">
        <f>"RESTITUTION - MARK CHAPMAN"</f>
        <v>RESTITUTION - MARK CHAPMAN</v>
      </c>
      <c r="G301" s="5">
        <v>470</v>
      </c>
      <c r="H301" t="str">
        <f>"RESTITUTION - MARK CHAPMAN"</f>
        <v>RESTITUTION - MARK CHAPMAN</v>
      </c>
    </row>
    <row r="302" spans="1:8" x14ac:dyDescent="0.25">
      <c r="A302" t="s">
        <v>80</v>
      </c>
      <c r="B302">
        <v>440</v>
      </c>
      <c r="C302" s="5">
        <v>5828.24</v>
      </c>
      <c r="D302" s="1">
        <v>43899</v>
      </c>
      <c r="E302" t="str">
        <f>"202003045738"</f>
        <v>202003045738</v>
      </c>
      <c r="F302" t="str">
        <f>"ACCT# 0058"</f>
        <v>ACCT# 0058</v>
      </c>
      <c r="G302" s="5">
        <v>5828.24</v>
      </c>
      <c r="H302" t="str">
        <f>"ACTIVE911"</f>
        <v>ACTIVE911</v>
      </c>
    </row>
    <row r="303" spans="1:8" x14ac:dyDescent="0.25">
      <c r="E303" t="str">
        <f>""</f>
        <v/>
      </c>
      <c r="F303" t="str">
        <f>""</f>
        <v/>
      </c>
      <c r="H303" t="str">
        <f>"APCO"</f>
        <v>APCO</v>
      </c>
    </row>
    <row r="304" spans="1:8" x14ac:dyDescent="0.25">
      <c r="E304" t="str">
        <f>""</f>
        <v/>
      </c>
      <c r="F304" t="str">
        <f>""</f>
        <v/>
      </c>
      <c r="H304" t="str">
        <f>"SKILLPATH"</f>
        <v>SKILLPATH</v>
      </c>
    </row>
    <row r="305" spans="5:8" x14ac:dyDescent="0.25">
      <c r="E305" t="str">
        <f>""</f>
        <v/>
      </c>
      <c r="F305" t="str">
        <f>""</f>
        <v/>
      </c>
      <c r="H305" t="str">
        <f>"ACADEMY"</f>
        <v>ACADEMY</v>
      </c>
    </row>
    <row r="306" spans="5:8" x14ac:dyDescent="0.25">
      <c r="E306" t="str">
        <f>""</f>
        <v/>
      </c>
      <c r="F306" t="str">
        <f>""</f>
        <v/>
      </c>
      <c r="H306" t="str">
        <f>"ACADEMY"</f>
        <v>ACADEMY</v>
      </c>
    </row>
    <row r="307" spans="5:8" x14ac:dyDescent="0.25">
      <c r="E307" t="str">
        <f>""</f>
        <v/>
      </c>
      <c r="F307" t="str">
        <f>""</f>
        <v/>
      </c>
      <c r="H307" t="str">
        <f>"ACADEMY"</f>
        <v>ACADEMY</v>
      </c>
    </row>
    <row r="308" spans="5:8" x14ac:dyDescent="0.25">
      <c r="E308" t="str">
        <f>""</f>
        <v/>
      </c>
      <c r="F308" t="str">
        <f>""</f>
        <v/>
      </c>
      <c r="H308" t="str">
        <f>"ACADEMY"</f>
        <v>ACADEMY</v>
      </c>
    </row>
    <row r="309" spans="5:8" x14ac:dyDescent="0.25">
      <c r="E309" t="str">
        <f>""</f>
        <v/>
      </c>
      <c r="F309" t="str">
        <f>""</f>
        <v/>
      </c>
      <c r="H309" t="str">
        <f>"PGA"</f>
        <v>PGA</v>
      </c>
    </row>
    <row r="310" spans="5:8" x14ac:dyDescent="0.25">
      <c r="E310" t="str">
        <f>""</f>
        <v/>
      </c>
      <c r="F310" t="str">
        <f>""</f>
        <v/>
      </c>
      <c r="H310" t="str">
        <f>"HOTSUITE"</f>
        <v>HOTSUITE</v>
      </c>
    </row>
    <row r="311" spans="5:8" x14ac:dyDescent="0.25">
      <c r="E311" t="str">
        <f>""</f>
        <v/>
      </c>
      <c r="F311" t="str">
        <f>""</f>
        <v/>
      </c>
      <c r="H311" t="str">
        <f>"GOOGLE"</f>
        <v>GOOGLE</v>
      </c>
    </row>
    <row r="312" spans="5:8" x14ac:dyDescent="0.25">
      <c r="E312" t="str">
        <f>""</f>
        <v/>
      </c>
      <c r="F312" t="str">
        <f>""</f>
        <v/>
      </c>
      <c r="H312" t="str">
        <f>"RINGS"</f>
        <v>RINGS</v>
      </c>
    </row>
    <row r="313" spans="5:8" x14ac:dyDescent="0.25">
      <c r="E313" t="str">
        <f>""</f>
        <v/>
      </c>
      <c r="F313" t="str">
        <f>""</f>
        <v/>
      </c>
      <c r="H313" t="str">
        <f>"WEBEX"</f>
        <v>WEBEX</v>
      </c>
    </row>
    <row r="314" spans="5:8" x14ac:dyDescent="0.25">
      <c r="E314" t="str">
        <f>""</f>
        <v/>
      </c>
      <c r="F314" t="str">
        <f>""</f>
        <v/>
      </c>
      <c r="H314" t="str">
        <f>"HOME DEPOT"</f>
        <v>HOME DEPOT</v>
      </c>
    </row>
    <row r="315" spans="5:8" x14ac:dyDescent="0.25">
      <c r="E315" t="str">
        <f>""</f>
        <v/>
      </c>
      <c r="F315" t="str">
        <f>""</f>
        <v/>
      </c>
      <c r="H315" t="str">
        <f>"PAYPAL"</f>
        <v>PAYPAL</v>
      </c>
    </row>
    <row r="316" spans="5:8" x14ac:dyDescent="0.25">
      <c r="E316" t="str">
        <f>""</f>
        <v/>
      </c>
      <c r="F316" t="str">
        <f>""</f>
        <v/>
      </c>
      <c r="H316" t="str">
        <f>"PAYPAL"</f>
        <v>PAYPAL</v>
      </c>
    </row>
    <row r="317" spans="5:8" x14ac:dyDescent="0.25">
      <c r="E317" t="str">
        <f>""</f>
        <v/>
      </c>
      <c r="F317" t="str">
        <f>""</f>
        <v/>
      </c>
      <c r="H317" t="str">
        <f>"PATRIOT"</f>
        <v>PATRIOT</v>
      </c>
    </row>
    <row r="318" spans="5:8" x14ac:dyDescent="0.25">
      <c r="E318" t="str">
        <f>""</f>
        <v/>
      </c>
      <c r="F318" t="str">
        <f>""</f>
        <v/>
      </c>
      <c r="H318" t="str">
        <f>"ERIKA DEJESUS"</f>
        <v>ERIKA DEJESUS</v>
      </c>
    </row>
    <row r="319" spans="5:8" x14ac:dyDescent="0.25">
      <c r="E319" t="str">
        <f>""</f>
        <v/>
      </c>
      <c r="F319" t="str">
        <f>""</f>
        <v/>
      </c>
      <c r="H319" t="str">
        <f>"ROBERT BENNETT"</f>
        <v>ROBERT BENNETT</v>
      </c>
    </row>
    <row r="320" spans="5:8" x14ac:dyDescent="0.25">
      <c r="E320" t="str">
        <f>""</f>
        <v/>
      </c>
      <c r="F320" t="str">
        <f>""</f>
        <v/>
      </c>
      <c r="H320" t="str">
        <f>"ANNETTEMURLEY"</f>
        <v>ANNETTEMURLEY</v>
      </c>
    </row>
    <row r="321" spans="1:8" x14ac:dyDescent="0.25">
      <c r="E321" t="str">
        <f>""</f>
        <v/>
      </c>
      <c r="F321" t="str">
        <f>""</f>
        <v/>
      </c>
      <c r="H321" t="str">
        <f>"hoME dEPOT"</f>
        <v>hoME dEPOT</v>
      </c>
    </row>
    <row r="322" spans="1:8" x14ac:dyDescent="0.25">
      <c r="E322" t="str">
        <f>""</f>
        <v/>
      </c>
      <c r="F322" t="str">
        <f>""</f>
        <v/>
      </c>
      <c r="H322" t="str">
        <f>"WALMART"</f>
        <v>WALMART</v>
      </c>
    </row>
    <row r="323" spans="1:8" x14ac:dyDescent="0.25">
      <c r="E323" t="str">
        <f>""</f>
        <v/>
      </c>
      <c r="F323" t="str">
        <f>""</f>
        <v/>
      </c>
      <c r="H323" t="str">
        <f>"WILDLIFE"</f>
        <v>WILDLIFE</v>
      </c>
    </row>
    <row r="324" spans="1:8" x14ac:dyDescent="0.25">
      <c r="E324" t="str">
        <f>""</f>
        <v/>
      </c>
      <c r="F324" t="str">
        <f>""</f>
        <v/>
      </c>
      <c r="H324" t="str">
        <f>"STAPLES"</f>
        <v>STAPLES</v>
      </c>
    </row>
    <row r="325" spans="1:8" x14ac:dyDescent="0.25">
      <c r="E325" t="str">
        <f>""</f>
        <v/>
      </c>
      <c r="F325" t="str">
        <f>""</f>
        <v/>
      </c>
      <c r="H325" t="str">
        <f>"HE GOVNERMENT"</f>
        <v>HE GOVNERMENT</v>
      </c>
    </row>
    <row r="326" spans="1:8" x14ac:dyDescent="0.25">
      <c r="E326" t="str">
        <f>""</f>
        <v/>
      </c>
      <c r="F326" t="str">
        <f>""</f>
        <v/>
      </c>
      <c r="H326" t="str">
        <f>"WALMART"</f>
        <v>WALMART</v>
      </c>
    </row>
    <row r="327" spans="1:8" x14ac:dyDescent="0.25">
      <c r="E327" t="str">
        <f>""</f>
        <v/>
      </c>
      <c r="F327" t="str">
        <f>""</f>
        <v/>
      </c>
      <c r="H327" t="str">
        <f>"HARBOR FREIGHT"</f>
        <v>HARBOR FREIGHT</v>
      </c>
    </row>
    <row r="328" spans="1:8" x14ac:dyDescent="0.25">
      <c r="E328" t="str">
        <f>""</f>
        <v/>
      </c>
      <c r="F328" t="str">
        <f>""</f>
        <v/>
      </c>
      <c r="H328" t="str">
        <f>"PIPE"</f>
        <v>PIPE</v>
      </c>
    </row>
    <row r="329" spans="1:8" x14ac:dyDescent="0.25">
      <c r="E329" t="str">
        <f>""</f>
        <v/>
      </c>
      <c r="F329" t="str">
        <f>""</f>
        <v/>
      </c>
      <c r="H329" t="str">
        <f>"ASERO"</f>
        <v>ASERO</v>
      </c>
    </row>
    <row r="330" spans="1:8" x14ac:dyDescent="0.25">
      <c r="E330" t="str">
        <f>""</f>
        <v/>
      </c>
      <c r="F330" t="str">
        <f>""</f>
        <v/>
      </c>
      <c r="H330" t="str">
        <f>"AESRO"</f>
        <v>AESRO</v>
      </c>
    </row>
    <row r="331" spans="1:8" x14ac:dyDescent="0.25">
      <c r="E331" t="str">
        <f>""</f>
        <v/>
      </c>
      <c r="F331" t="str">
        <f>""</f>
        <v/>
      </c>
      <c r="H331" t="str">
        <f>"SEARS"</f>
        <v>SEARS</v>
      </c>
    </row>
    <row r="332" spans="1:8" x14ac:dyDescent="0.25">
      <c r="E332" t="str">
        <f>""</f>
        <v/>
      </c>
      <c r="F332" t="str">
        <f>""</f>
        <v/>
      </c>
      <c r="H332" t="str">
        <f>"SPRINGHILL"</f>
        <v>SPRINGHILL</v>
      </c>
    </row>
    <row r="333" spans="1:8" x14ac:dyDescent="0.25">
      <c r="E333" t="str">
        <f>""</f>
        <v/>
      </c>
      <c r="F333" t="str">
        <f>""</f>
        <v/>
      </c>
      <c r="H333" t="str">
        <f>"SPRINGHILL"</f>
        <v>SPRINGHILL</v>
      </c>
    </row>
    <row r="334" spans="1:8" x14ac:dyDescent="0.25">
      <c r="A334" t="s">
        <v>81</v>
      </c>
      <c r="B334">
        <v>2371</v>
      </c>
      <c r="C334" s="5">
        <v>2961.7</v>
      </c>
      <c r="D334" s="1">
        <v>43914</v>
      </c>
      <c r="E334" t="str">
        <f>"202003125888"</f>
        <v>202003125888</v>
      </c>
      <c r="F334" t="str">
        <f>"423-5844"</f>
        <v>423-5844</v>
      </c>
      <c r="G334" s="5">
        <v>2961.7</v>
      </c>
      <c r="H334" t="str">
        <f>"423-5844"</f>
        <v>423-5844</v>
      </c>
    </row>
    <row r="335" spans="1:8" x14ac:dyDescent="0.25">
      <c r="A335" t="s">
        <v>81</v>
      </c>
      <c r="B335">
        <v>131114</v>
      </c>
      <c r="C335" s="5">
        <v>6225</v>
      </c>
      <c r="D335" s="1">
        <v>43899</v>
      </c>
      <c r="E335" t="str">
        <f>"202003035657"</f>
        <v>202003035657</v>
      </c>
      <c r="F335" t="str">
        <f>"423-2327"</f>
        <v>423-2327</v>
      </c>
      <c r="G335" s="5">
        <v>6225</v>
      </c>
      <c r="H335" t="str">
        <f>"423-2327"</f>
        <v>423-2327</v>
      </c>
    </row>
    <row r="336" spans="1:8" x14ac:dyDescent="0.25">
      <c r="A336" t="s">
        <v>82</v>
      </c>
      <c r="B336">
        <v>131325</v>
      </c>
      <c r="C336" s="5">
        <v>500</v>
      </c>
      <c r="D336" s="1">
        <v>43913</v>
      </c>
      <c r="E336" t="str">
        <f>"202003176044"</f>
        <v>202003176044</v>
      </c>
      <c r="F336" t="str">
        <f>"VET SURGICAL SVCS 03/16/2020"</f>
        <v>VET SURGICAL SVCS 03/16/2020</v>
      </c>
      <c r="G336" s="5">
        <v>500</v>
      </c>
      <c r="H336" t="str">
        <f>"VET SURGICAL SVCS 03/16/2020"</f>
        <v>VET SURGICAL SVCS 03/16/2020</v>
      </c>
    </row>
    <row r="337" spans="1:8" x14ac:dyDescent="0.25">
      <c r="A337" t="s">
        <v>83</v>
      </c>
      <c r="B337">
        <v>2319</v>
      </c>
      <c r="C337" s="5">
        <v>59</v>
      </c>
      <c r="D337" s="1">
        <v>43900</v>
      </c>
      <c r="E337" t="str">
        <f>"WWK2812"</f>
        <v>WWK2812</v>
      </c>
      <c r="F337" t="str">
        <f>"Power Cords"</f>
        <v>Power Cords</v>
      </c>
      <c r="G337" s="5">
        <v>59</v>
      </c>
      <c r="H337" t="str">
        <f>"Power Cords"</f>
        <v>Power Cords</v>
      </c>
    </row>
    <row r="338" spans="1:8" x14ac:dyDescent="0.25">
      <c r="A338" t="s">
        <v>84</v>
      </c>
      <c r="B338">
        <v>131464</v>
      </c>
      <c r="C338" s="5">
        <v>2562.1999999999998</v>
      </c>
      <c r="D338" s="1">
        <v>43914</v>
      </c>
      <c r="E338" t="str">
        <f>"202003246072"</f>
        <v>202003246072</v>
      </c>
      <c r="F338" t="str">
        <f>"ACCT#8000081165-5 / 03192020"</f>
        <v>ACCT#8000081165-5 / 03192020</v>
      </c>
      <c r="G338" s="5">
        <v>2562.1999999999998</v>
      </c>
      <c r="H338" t="str">
        <f>"ACCT#8000081165-5 / 03192020"</f>
        <v>ACCT#8000081165-5 / 03192020</v>
      </c>
    </row>
    <row r="339" spans="1:8" x14ac:dyDescent="0.25">
      <c r="E339" t="str">
        <f>""</f>
        <v/>
      </c>
      <c r="F339" t="str">
        <f>""</f>
        <v/>
      </c>
      <c r="H339" t="str">
        <f>"ACCT#8000081165-5 / 03192020"</f>
        <v>ACCT#8000081165-5 / 03192020</v>
      </c>
    </row>
    <row r="340" spans="1:8" x14ac:dyDescent="0.25">
      <c r="A340" t="s">
        <v>85</v>
      </c>
      <c r="B340">
        <v>131115</v>
      </c>
      <c r="C340" s="5">
        <v>312.5</v>
      </c>
      <c r="D340" s="1">
        <v>43899</v>
      </c>
      <c r="E340" t="str">
        <f>"202002275530"</f>
        <v>202002275530</v>
      </c>
      <c r="F340" t="str">
        <f>"19-19940"</f>
        <v>19-19940</v>
      </c>
      <c r="G340" s="5">
        <v>112.5</v>
      </c>
      <c r="H340" t="str">
        <f>"19-19940"</f>
        <v>19-19940</v>
      </c>
    </row>
    <row r="341" spans="1:8" x14ac:dyDescent="0.25">
      <c r="E341" t="str">
        <f>"202002275531"</f>
        <v>202002275531</v>
      </c>
      <c r="F341" t="str">
        <f>"19-19423"</f>
        <v>19-19423</v>
      </c>
      <c r="G341" s="5">
        <v>100</v>
      </c>
      <c r="H341" t="str">
        <f>"19-19423"</f>
        <v>19-19423</v>
      </c>
    </row>
    <row r="342" spans="1:8" x14ac:dyDescent="0.25">
      <c r="E342" t="str">
        <f>"202002275532"</f>
        <v>202002275532</v>
      </c>
      <c r="F342" t="str">
        <f>"19-19844"</f>
        <v>19-19844</v>
      </c>
      <c r="G342" s="5">
        <v>100</v>
      </c>
      <c r="H342" t="str">
        <f>"19-19844"</f>
        <v>19-19844</v>
      </c>
    </row>
    <row r="343" spans="1:8" x14ac:dyDescent="0.25">
      <c r="A343" t="s">
        <v>86</v>
      </c>
      <c r="B343">
        <v>2325</v>
      </c>
      <c r="C343" s="5">
        <v>3100</v>
      </c>
      <c r="D343" s="1">
        <v>43900</v>
      </c>
      <c r="E343" t="str">
        <f>"202002265481"</f>
        <v>202002265481</v>
      </c>
      <c r="F343" t="str">
        <f>"14 168  14 169"</f>
        <v>14 168  14 169</v>
      </c>
      <c r="G343" s="5">
        <v>600</v>
      </c>
      <c r="H343" t="str">
        <f>"14 168  14 169"</f>
        <v>14 168  14 169</v>
      </c>
    </row>
    <row r="344" spans="1:8" x14ac:dyDescent="0.25">
      <c r="E344" t="str">
        <f>"202002275527"</f>
        <v>202002275527</v>
      </c>
      <c r="F344" t="str">
        <f>"J-"</f>
        <v>J-</v>
      </c>
      <c r="G344" s="5">
        <v>100</v>
      </c>
      <c r="H344" t="str">
        <f>"J-"</f>
        <v>J-</v>
      </c>
    </row>
    <row r="345" spans="1:8" x14ac:dyDescent="0.25">
      <c r="E345" t="str">
        <f>"202002275550"</f>
        <v>202002275550</v>
      </c>
      <c r="F345" t="str">
        <f>"DCPC-19-038"</f>
        <v>DCPC-19-038</v>
      </c>
      <c r="G345" s="5">
        <v>400</v>
      </c>
      <c r="H345" t="str">
        <f>"DCPC-19-038"</f>
        <v>DCPC-19-038</v>
      </c>
    </row>
    <row r="346" spans="1:8" x14ac:dyDescent="0.25">
      <c r="E346" t="str">
        <f>"202003035615"</f>
        <v>202003035615</v>
      </c>
      <c r="F346" t="str">
        <f>"17-18617  03-20-00069-60"</f>
        <v>17-18617  03-20-00069-60</v>
      </c>
      <c r="G346" s="5">
        <v>1500</v>
      </c>
      <c r="H346" t="str">
        <f>"17-18617  03-20-00069-60"</f>
        <v>17-18617  03-20-00069-60</v>
      </c>
    </row>
    <row r="347" spans="1:8" x14ac:dyDescent="0.25">
      <c r="E347" t="str">
        <f>"202003035617"</f>
        <v>202003035617</v>
      </c>
      <c r="F347" t="str">
        <f>"57 032"</f>
        <v>57 032</v>
      </c>
      <c r="G347" s="5">
        <v>250</v>
      </c>
      <c r="H347" t="str">
        <f>"57 032"</f>
        <v>57 032</v>
      </c>
    </row>
    <row r="348" spans="1:8" x14ac:dyDescent="0.25">
      <c r="E348" t="str">
        <f>"202003035618"</f>
        <v>202003035618</v>
      </c>
      <c r="F348" t="str">
        <f>"301012020E"</f>
        <v>301012020E</v>
      </c>
      <c r="G348" s="5">
        <v>250</v>
      </c>
      <c r="H348" t="str">
        <f>"301012020E"</f>
        <v>301012020E</v>
      </c>
    </row>
    <row r="349" spans="1:8" x14ac:dyDescent="0.25">
      <c r="A349" t="s">
        <v>86</v>
      </c>
      <c r="B349">
        <v>2398</v>
      </c>
      <c r="C349" s="5">
        <v>300</v>
      </c>
      <c r="D349" s="1">
        <v>43914</v>
      </c>
      <c r="E349" t="str">
        <f>"202003135977"</f>
        <v>202003135977</v>
      </c>
      <c r="F349" t="str">
        <f>"19-19572"</f>
        <v>19-19572</v>
      </c>
      <c r="G349" s="5">
        <v>100</v>
      </c>
      <c r="H349" t="str">
        <f>"19-19572"</f>
        <v>19-19572</v>
      </c>
    </row>
    <row r="350" spans="1:8" x14ac:dyDescent="0.25">
      <c r="E350" t="str">
        <f>"202003135978"</f>
        <v>202003135978</v>
      </c>
      <c r="F350" t="str">
        <f>"19-19418"</f>
        <v>19-19418</v>
      </c>
      <c r="G350" s="5">
        <v>100</v>
      </c>
      <c r="H350" t="str">
        <f>"19-19418"</f>
        <v>19-19418</v>
      </c>
    </row>
    <row r="351" spans="1:8" x14ac:dyDescent="0.25">
      <c r="E351" t="str">
        <f>"202003135979"</f>
        <v>202003135979</v>
      </c>
      <c r="F351" t="str">
        <f>"NO CAUSE NUMBER LISTED"</f>
        <v>NO CAUSE NUMBER LISTED</v>
      </c>
      <c r="G351" s="5">
        <v>100</v>
      </c>
      <c r="H351" t="str">
        <f>"NO CAUSE NUMBER LISTED"</f>
        <v>NO CAUSE NUMBER LISTED</v>
      </c>
    </row>
    <row r="352" spans="1:8" x14ac:dyDescent="0.25">
      <c r="A352" t="s">
        <v>87</v>
      </c>
      <c r="B352">
        <v>2333</v>
      </c>
      <c r="C352" s="5">
        <v>468.3</v>
      </c>
      <c r="D352" s="1">
        <v>43910</v>
      </c>
      <c r="E352" t="str">
        <f>"202003196060"</f>
        <v>202003196060</v>
      </c>
      <c r="F352" t="str">
        <f>"REIMBURSE HOTEL/MEALS"</f>
        <v>REIMBURSE HOTEL/MEALS</v>
      </c>
      <c r="G352" s="5">
        <v>468.3</v>
      </c>
      <c r="H352" t="str">
        <f>"REIMBURSE HOTEL/MEALS"</f>
        <v>REIMBURSE HOTEL/MEALS</v>
      </c>
    </row>
    <row r="353" spans="1:8" x14ac:dyDescent="0.25">
      <c r="A353" t="s">
        <v>88</v>
      </c>
      <c r="B353">
        <v>131117</v>
      </c>
      <c r="C353" s="5">
        <v>150</v>
      </c>
      <c r="D353" s="1">
        <v>43899</v>
      </c>
      <c r="E353" t="str">
        <f>"9080840444"</f>
        <v>9080840444</v>
      </c>
      <c r="F353" t="str">
        <f>"INV 9080840444"</f>
        <v>INV 9080840444</v>
      </c>
      <c r="G353" s="5">
        <v>100</v>
      </c>
      <c r="H353" t="str">
        <f>"INV 9080840444"</f>
        <v>INV 9080840444</v>
      </c>
    </row>
    <row r="354" spans="1:8" x14ac:dyDescent="0.25">
      <c r="E354" t="str">
        <f>"9080840446"</f>
        <v>9080840446</v>
      </c>
      <c r="F354" t="str">
        <f>"INV 9080840446"</f>
        <v>INV 9080840446</v>
      </c>
      <c r="G354" s="5">
        <v>50</v>
      </c>
      <c r="H354" t="str">
        <f>"INV 9080840446"</f>
        <v>INV 9080840446</v>
      </c>
    </row>
    <row r="355" spans="1:8" x14ac:dyDescent="0.25">
      <c r="A355" t="s">
        <v>88</v>
      </c>
      <c r="B355">
        <v>131326</v>
      </c>
      <c r="C355" s="5">
        <v>142.99</v>
      </c>
      <c r="D355" s="1">
        <v>43913</v>
      </c>
      <c r="E355" t="str">
        <f>"5016285131"</f>
        <v>5016285131</v>
      </c>
      <c r="F355" t="str">
        <f>"CUST#0011167190/PCT#1"</f>
        <v>CUST#0011167190/PCT#1</v>
      </c>
      <c r="G355" s="5">
        <v>142.99</v>
      </c>
      <c r="H355" t="str">
        <f>"CUST#0011167190/PCT#1"</f>
        <v>CUST#0011167190/PCT#1</v>
      </c>
    </row>
    <row r="356" spans="1:8" x14ac:dyDescent="0.25">
      <c r="A356" t="s">
        <v>89</v>
      </c>
      <c r="B356">
        <v>131118</v>
      </c>
      <c r="C356" s="5">
        <v>322.3</v>
      </c>
      <c r="D356" s="1">
        <v>43899</v>
      </c>
      <c r="E356" t="str">
        <f>"8404516825"</f>
        <v>8404516825</v>
      </c>
      <c r="F356" t="str">
        <f>"CUST#10377368/PCT#2"</f>
        <v>CUST#10377368/PCT#2</v>
      </c>
      <c r="G356" s="5">
        <v>72.569999999999993</v>
      </c>
      <c r="H356" t="str">
        <f>"CUST#10377368/PCT#2"</f>
        <v>CUST#10377368/PCT#2</v>
      </c>
    </row>
    <row r="357" spans="1:8" x14ac:dyDescent="0.25">
      <c r="E357" t="str">
        <f>"8404523286"</f>
        <v>8404523286</v>
      </c>
      <c r="F357" t="str">
        <f>"CUST#10377368/PCT#3"</f>
        <v>CUST#10377368/PCT#3</v>
      </c>
      <c r="G357" s="5">
        <v>249.73</v>
      </c>
      <c r="H357" t="str">
        <f>"CUST#10377368/PCT#3"</f>
        <v>CUST#10377368/PCT#3</v>
      </c>
    </row>
    <row r="358" spans="1:8" x14ac:dyDescent="0.25">
      <c r="A358" t="s">
        <v>90</v>
      </c>
      <c r="B358">
        <v>131119</v>
      </c>
      <c r="C358" s="5">
        <v>297.33999999999997</v>
      </c>
      <c r="D358" s="1">
        <v>43899</v>
      </c>
      <c r="E358" t="str">
        <f>"202003045724"</f>
        <v>202003045724</v>
      </c>
      <c r="F358" t="str">
        <f>"PAYER#14108463/ANIMAL SHELTER"</f>
        <v>PAYER#14108463/ANIMAL SHELTER</v>
      </c>
      <c r="G358" s="5">
        <v>297.33999999999997</v>
      </c>
      <c r="H358" t="str">
        <f>"PAYER#14108463/ANIMAL SHELTER"</f>
        <v>PAYER#14108463/ANIMAL SHELTER</v>
      </c>
    </row>
    <row r="359" spans="1:8" x14ac:dyDescent="0.25">
      <c r="A359" t="s">
        <v>90</v>
      </c>
      <c r="B359">
        <v>131327</v>
      </c>
      <c r="C359" s="5">
        <v>4235.68</v>
      </c>
      <c r="D359" s="1">
        <v>43913</v>
      </c>
      <c r="E359" t="str">
        <f>"202003125942"</f>
        <v>202003125942</v>
      </c>
      <c r="F359" t="str">
        <f>"PAYER#14108375/GEN SVCS"</f>
        <v>PAYER#14108375/GEN SVCS</v>
      </c>
      <c r="G359" s="5">
        <v>1687.3</v>
      </c>
      <c r="H359" t="str">
        <f>"PAYER#14108375/GEN SVCS"</f>
        <v>PAYER#14108375/GEN SVCS</v>
      </c>
    </row>
    <row r="360" spans="1:8" x14ac:dyDescent="0.25">
      <c r="E360" t="str">
        <f>"202003125943"</f>
        <v>202003125943</v>
      </c>
      <c r="F360" t="str">
        <f>"PAYER#14108431"</f>
        <v>PAYER#14108431</v>
      </c>
      <c r="G360" s="5">
        <v>44.86</v>
      </c>
      <c r="H360" t="str">
        <f>"PAYER#14108431"</f>
        <v>PAYER#14108431</v>
      </c>
    </row>
    <row r="361" spans="1:8" x14ac:dyDescent="0.25">
      <c r="E361" t="str">
        <f>"202003135951"</f>
        <v>202003135951</v>
      </c>
      <c r="F361" t="str">
        <f>"PAYER#14108430/PCT#4"</f>
        <v>PAYER#14108430/PCT#4</v>
      </c>
      <c r="G361" s="5">
        <v>1285.08</v>
      </c>
      <c r="H361" t="str">
        <f>"PAYER#14108430/PCT#4"</f>
        <v>PAYER#14108430/PCT#4</v>
      </c>
    </row>
    <row r="362" spans="1:8" x14ac:dyDescent="0.25">
      <c r="E362" t="str">
        <f>"202003135958"</f>
        <v>202003135958</v>
      </c>
      <c r="F362" t="str">
        <f>"PAYER#14108431/PCT#1"</f>
        <v>PAYER#14108431/PCT#1</v>
      </c>
      <c r="G362" s="5">
        <v>590.07000000000005</v>
      </c>
      <c r="H362" t="str">
        <f>"PAYER#14108431/PCT#1"</f>
        <v>PAYER#14108431/PCT#1</v>
      </c>
    </row>
    <row r="363" spans="1:8" x14ac:dyDescent="0.25">
      <c r="E363" t="str">
        <f>"202003135960"</f>
        <v>202003135960</v>
      </c>
      <c r="F363" t="str">
        <f>"PAYER#14108367/PCT#2"</f>
        <v>PAYER#14108367/PCT#2</v>
      </c>
      <c r="G363" s="5">
        <v>628.37</v>
      </c>
      <c r="H363" t="str">
        <f>"PAYER#14108367/PCT#2"</f>
        <v>PAYER#14108367/PCT#2</v>
      </c>
    </row>
    <row r="364" spans="1:8" x14ac:dyDescent="0.25">
      <c r="A364" t="s">
        <v>91</v>
      </c>
      <c r="B364">
        <v>131294</v>
      </c>
      <c r="C364" s="5">
        <v>1495.69</v>
      </c>
      <c r="D364" s="1">
        <v>43900</v>
      </c>
      <c r="E364" t="str">
        <f>"202003105877"</f>
        <v>202003105877</v>
      </c>
      <c r="F364" t="str">
        <f>"ACCT#72-5613 / 03032020"</f>
        <v>ACCT#72-5613 / 03032020</v>
      </c>
      <c r="G364" s="5">
        <v>1495.69</v>
      </c>
      <c r="H364" t="str">
        <f>"ACCT#72-5613 / 03032020"</f>
        <v>ACCT#72-5613 / 03032020</v>
      </c>
    </row>
    <row r="365" spans="1:8" x14ac:dyDescent="0.25">
      <c r="A365" t="s">
        <v>92</v>
      </c>
      <c r="B365">
        <v>131291</v>
      </c>
      <c r="C365" s="5">
        <v>39659.21</v>
      </c>
      <c r="D365" s="1">
        <v>43900</v>
      </c>
      <c r="E365" t="str">
        <f>"202003105871"</f>
        <v>202003105871</v>
      </c>
      <c r="F365" t="str">
        <f>"ACCT#02-2083-04 / 02292020"</f>
        <v>ACCT#02-2083-04 / 02292020</v>
      </c>
      <c r="G365" s="5">
        <v>5510.63</v>
      </c>
      <c r="H365" t="str">
        <f>"ACCT#02-2083-04 / 02292020"</f>
        <v>ACCT#02-2083-04 / 02292020</v>
      </c>
    </row>
    <row r="366" spans="1:8" x14ac:dyDescent="0.25">
      <c r="E366" t="str">
        <f>"202003105872"</f>
        <v>202003105872</v>
      </c>
      <c r="F366" t="str">
        <f>"COUNTY DEV CTR / 02292020"</f>
        <v>COUNTY DEV CTR / 02292020</v>
      </c>
      <c r="G366" s="5">
        <v>1586.61</v>
      </c>
      <c r="H366" t="str">
        <f>"COUNTY DEV CTR / 02292020"</f>
        <v>COUNTY DEV CTR / 02292020</v>
      </c>
    </row>
    <row r="367" spans="1:8" x14ac:dyDescent="0.25">
      <c r="E367" t="str">
        <f>"202003105873"</f>
        <v>202003105873</v>
      </c>
      <c r="F367" t="str">
        <f>"COUNTY LAW ENF CTR / 02292020"</f>
        <v>COUNTY LAW ENF CTR / 02292020</v>
      </c>
      <c r="G367" s="5">
        <v>19898.439999999999</v>
      </c>
      <c r="H367" t="str">
        <f>"COUNTY LAW ENF CTR / 02292020"</f>
        <v>COUNTY LAW ENF CTR / 02292020</v>
      </c>
    </row>
    <row r="368" spans="1:8" x14ac:dyDescent="0.25">
      <c r="E368" t="str">
        <f>"202003105874"</f>
        <v>202003105874</v>
      </c>
      <c r="F368" t="str">
        <f>"BASTROP COURTHOUSE / 02292020"</f>
        <v>BASTROP COURTHOUSE / 02292020</v>
      </c>
      <c r="G368" s="5">
        <v>12663.53</v>
      </c>
      <c r="H368" t="str">
        <f>"BASTROP COURTHOUSE / 02292020"</f>
        <v>BASTROP COURTHOUSE / 02292020</v>
      </c>
    </row>
    <row r="369" spans="1:8" x14ac:dyDescent="0.25">
      <c r="A369" t="s">
        <v>92</v>
      </c>
      <c r="B369">
        <v>131328</v>
      </c>
      <c r="C369" s="5">
        <v>750</v>
      </c>
      <c r="D369" s="1">
        <v>43913</v>
      </c>
      <c r="E369" t="str">
        <f>"202003125936"</f>
        <v>202003125936</v>
      </c>
      <c r="F369" t="str">
        <f>"RENTAL-PARKING LOT"</f>
        <v>RENTAL-PARKING LOT</v>
      </c>
      <c r="G369" s="5">
        <v>750</v>
      </c>
      <c r="H369" t="str">
        <f>"RENTAL-PARKING LOT"</f>
        <v>RENTAL-PARKING LOT</v>
      </c>
    </row>
    <row r="370" spans="1:8" x14ac:dyDescent="0.25">
      <c r="A370" t="s">
        <v>93</v>
      </c>
      <c r="B370">
        <v>131076</v>
      </c>
      <c r="C370" s="5">
        <v>3040.26</v>
      </c>
      <c r="D370" s="1">
        <v>43892</v>
      </c>
      <c r="E370" t="str">
        <f>"202003025584"</f>
        <v>202003025584</v>
      </c>
      <c r="F370" t="str">
        <f>"ACCT#007-0000388-000/02252020"</f>
        <v>ACCT#007-0000388-000/02252020</v>
      </c>
      <c r="G370" s="5">
        <v>426.63</v>
      </c>
      <c r="H370" t="str">
        <f>"ACCT#007-0000388-000/02252020"</f>
        <v>ACCT#007-0000388-000/02252020</v>
      </c>
    </row>
    <row r="371" spans="1:8" x14ac:dyDescent="0.25">
      <c r="E371" t="str">
        <f>"202003025585"</f>
        <v>202003025585</v>
      </c>
      <c r="F371" t="str">
        <f>"ACCT#007-0000389-000/02252020"</f>
        <v>ACCT#007-0000389-000/02252020</v>
      </c>
      <c r="G371" s="5">
        <v>22.86</v>
      </c>
      <c r="H371" t="str">
        <f>"ACCT#007-0000389-000/02252020"</f>
        <v>ACCT#007-0000389-000/02252020</v>
      </c>
    </row>
    <row r="372" spans="1:8" x14ac:dyDescent="0.25">
      <c r="E372" t="str">
        <f>"202003025586"</f>
        <v>202003025586</v>
      </c>
      <c r="F372" t="str">
        <f>"ACCT#044-0001240-000/02252020"</f>
        <v>ACCT#044-0001240-000/02252020</v>
      </c>
      <c r="G372" s="5">
        <v>308.49</v>
      </c>
      <c r="H372" t="str">
        <f>"ACCT#044-0001240-000/02252020"</f>
        <v>ACCT#044-0001240-000/02252020</v>
      </c>
    </row>
    <row r="373" spans="1:8" x14ac:dyDescent="0.25">
      <c r="E373" t="str">
        <f>"202003025587"</f>
        <v>202003025587</v>
      </c>
      <c r="F373" t="str">
        <f>"ACCT#044-0001250-000/02252020"</f>
        <v>ACCT#044-0001250-000/02252020</v>
      </c>
      <c r="G373" s="5">
        <v>85.87</v>
      </c>
      <c r="H373" t="str">
        <f>"ACCT#044-0001250-000/02252020"</f>
        <v>ACCT#044-0001250-000/02252020</v>
      </c>
    </row>
    <row r="374" spans="1:8" x14ac:dyDescent="0.25">
      <c r="E374" t="str">
        <f>"202003025588"</f>
        <v>202003025588</v>
      </c>
      <c r="F374" t="str">
        <f>"ACCT#044-0001252-000/02252020"</f>
        <v>ACCT#044-0001252-000/02252020</v>
      </c>
      <c r="G374" s="5">
        <v>1967.79</v>
      </c>
      <c r="H374" t="str">
        <f>"ACCT#044-0001252-000/02252020"</f>
        <v>ACCT#044-0001252-000/02252020</v>
      </c>
    </row>
    <row r="375" spans="1:8" x14ac:dyDescent="0.25">
      <c r="E375" t="str">
        <f>"202003025589"</f>
        <v>202003025589</v>
      </c>
      <c r="F375" t="str">
        <f>"ACCT#044-0001253-000/02252020"</f>
        <v>ACCT#044-0001253-000/02252020</v>
      </c>
      <c r="G375" s="5">
        <v>228.62</v>
      </c>
      <c r="H375" t="str">
        <f>"ACCT#044-0001253-000/02252020"</f>
        <v>ACCT#044-0001253-000/02252020</v>
      </c>
    </row>
    <row r="376" spans="1:8" x14ac:dyDescent="0.25">
      <c r="A376" t="s">
        <v>94</v>
      </c>
      <c r="B376">
        <v>131120</v>
      </c>
      <c r="C376" s="5">
        <v>246.4</v>
      </c>
      <c r="D376" s="1">
        <v>43899</v>
      </c>
      <c r="E376" t="str">
        <f>"120"</f>
        <v>120</v>
      </c>
      <c r="F376" t="str">
        <f>"INTERPRETING"</f>
        <v>INTERPRETING</v>
      </c>
      <c r="G376" s="5">
        <v>246.4</v>
      </c>
      <c r="H376" t="str">
        <f>"INTERPRETING"</f>
        <v>INTERPRETING</v>
      </c>
    </row>
    <row r="377" spans="1:8" x14ac:dyDescent="0.25">
      <c r="A377" t="s">
        <v>95</v>
      </c>
      <c r="B377">
        <v>2263</v>
      </c>
      <c r="C377" s="5">
        <v>1139.2</v>
      </c>
      <c r="D377" s="1">
        <v>43900</v>
      </c>
      <c r="E377" t="str">
        <f>"PMA-0061035"</f>
        <v>PMA-0061035</v>
      </c>
      <c r="F377" t="str">
        <f>"INV PMA-0061035"</f>
        <v>INV PMA-0061035</v>
      </c>
      <c r="G377" s="5">
        <v>749</v>
      </c>
      <c r="H377" t="str">
        <f>"INV PMA-0061035"</f>
        <v>INV PMA-0061035</v>
      </c>
    </row>
    <row r="378" spans="1:8" x14ac:dyDescent="0.25">
      <c r="E378" t="str">
        <f>"SVC-0097420"</f>
        <v>SVC-0097420</v>
      </c>
      <c r="F378" t="str">
        <f>"SVC CALL 20-00216/CUST#0020272"</f>
        <v>SVC CALL 20-00216/CUST#0020272</v>
      </c>
      <c r="G378" s="5">
        <v>390.2</v>
      </c>
      <c r="H378" t="str">
        <f>"SVC CALL 20-00216/CUST#0020272"</f>
        <v>SVC CALL 20-00216/CUST#0020272</v>
      </c>
    </row>
    <row r="379" spans="1:8" x14ac:dyDescent="0.25">
      <c r="A379" t="s">
        <v>96</v>
      </c>
      <c r="B379">
        <v>2376</v>
      </c>
      <c r="C379" s="5">
        <v>362.99</v>
      </c>
      <c r="D379" s="1">
        <v>43914</v>
      </c>
      <c r="E379" t="str">
        <f>"202002-0"</f>
        <v>202002-0</v>
      </c>
      <c r="F379" t="str">
        <f>"INV 202002-0"</f>
        <v>INV 202002-0</v>
      </c>
      <c r="G379" s="5">
        <v>157.07</v>
      </c>
      <c r="H379" t="str">
        <f>"INV 202002-0"</f>
        <v>INV 202002-0</v>
      </c>
    </row>
    <row r="380" spans="1:8" x14ac:dyDescent="0.25">
      <c r="E380" t="str">
        <f>"202003176026"</f>
        <v>202003176026</v>
      </c>
      <c r="F380" t="str">
        <f>"INDIGENT HEALTH"</f>
        <v>INDIGENT HEALTH</v>
      </c>
      <c r="G380" s="5">
        <v>205.92</v>
      </c>
      <c r="H380" t="str">
        <f>"INDIGENT HEALTH"</f>
        <v>INDIGENT HEALTH</v>
      </c>
    </row>
    <row r="381" spans="1:8" x14ac:dyDescent="0.25">
      <c r="A381" t="s">
        <v>97</v>
      </c>
      <c r="B381">
        <v>131121</v>
      </c>
      <c r="C381" s="5">
        <v>1775</v>
      </c>
      <c r="D381" s="1">
        <v>43899</v>
      </c>
      <c r="E381" t="str">
        <f>"221345-10-001"</f>
        <v>221345-10-001</v>
      </c>
      <c r="F381" t="str">
        <f>"INV 221345-10-001"</f>
        <v>INV 221345-10-001</v>
      </c>
      <c r="G381" s="5">
        <v>1775</v>
      </c>
      <c r="H381" t="str">
        <f>"INV 221345-10-001"</f>
        <v>INV 221345-10-001</v>
      </c>
    </row>
    <row r="382" spans="1:8" x14ac:dyDescent="0.25">
      <c r="E382" t="str">
        <f>""</f>
        <v/>
      </c>
      <c r="F382" t="str">
        <f>""</f>
        <v/>
      </c>
      <c r="H382" t="str">
        <f>"INV 221345-9-001"</f>
        <v>INV 221345-9-001</v>
      </c>
    </row>
    <row r="383" spans="1:8" x14ac:dyDescent="0.25">
      <c r="A383" t="s">
        <v>98</v>
      </c>
      <c r="B383">
        <v>131329</v>
      </c>
      <c r="C383" s="5">
        <v>1167.68</v>
      </c>
      <c r="D383" s="1">
        <v>43913</v>
      </c>
      <c r="E383" t="str">
        <f>"3041"</f>
        <v>3041</v>
      </c>
      <c r="F383" t="str">
        <f>"INV 3041"</f>
        <v>INV 3041</v>
      </c>
      <c r="G383" s="5">
        <v>1167.68</v>
      </c>
      <c r="H383" t="str">
        <f>"INV 3041"</f>
        <v>INV 3041</v>
      </c>
    </row>
    <row r="384" spans="1:8" x14ac:dyDescent="0.25">
      <c r="A384" t="s">
        <v>99</v>
      </c>
      <c r="B384">
        <v>131122</v>
      </c>
      <c r="C384" s="5">
        <v>14703.57</v>
      </c>
      <c r="D384" s="1">
        <v>43899</v>
      </c>
      <c r="E384" t="str">
        <f>"284925"</f>
        <v>284925</v>
      </c>
      <c r="F384" t="str">
        <f>"CUST#1323/PCT#2"</f>
        <v>CUST#1323/PCT#2</v>
      </c>
      <c r="G384" s="5">
        <v>14703.57</v>
      </c>
      <c r="H384" t="str">
        <f>"CUST#1323/PCT#2"</f>
        <v>CUST#1323/PCT#2</v>
      </c>
    </row>
    <row r="385" spans="1:8" x14ac:dyDescent="0.25">
      <c r="A385" t="s">
        <v>99</v>
      </c>
      <c r="B385">
        <v>131330</v>
      </c>
      <c r="C385" s="5">
        <v>17225.46</v>
      </c>
      <c r="D385" s="1">
        <v>43913</v>
      </c>
      <c r="E385" t="str">
        <f>"285388"</f>
        <v>285388</v>
      </c>
      <c r="F385" t="str">
        <f>"CUST#1323/PCT#2"</f>
        <v>CUST#1323/PCT#2</v>
      </c>
      <c r="G385" s="5">
        <v>17225.46</v>
      </c>
      <c r="H385" t="str">
        <f>"CUST#1323/PCT#2"</f>
        <v>CUST#1323/PCT#2</v>
      </c>
    </row>
    <row r="386" spans="1:8" x14ac:dyDescent="0.25">
      <c r="A386" t="s">
        <v>100</v>
      </c>
      <c r="B386">
        <v>2268</v>
      </c>
      <c r="C386" s="5">
        <v>312</v>
      </c>
      <c r="D386" s="1">
        <v>43900</v>
      </c>
      <c r="E386" t="str">
        <f>"12457005745"</f>
        <v>12457005745</v>
      </c>
      <c r="F386" t="str">
        <f>"INV 12457005745"</f>
        <v>INV 12457005745</v>
      </c>
      <c r="G386" s="5">
        <v>312</v>
      </c>
      <c r="H386" t="str">
        <f>"INV 12457005745"</f>
        <v>INV 12457005745</v>
      </c>
    </row>
    <row r="387" spans="1:8" x14ac:dyDescent="0.25">
      <c r="A387" t="s">
        <v>101</v>
      </c>
      <c r="B387">
        <v>2356</v>
      </c>
      <c r="C387" s="5">
        <v>99.81</v>
      </c>
      <c r="D387" s="1">
        <v>43914</v>
      </c>
      <c r="E387" t="str">
        <f>"202003176027"</f>
        <v>202003176027</v>
      </c>
      <c r="F387" t="str">
        <f>"INDIGENT HEALTH"</f>
        <v>INDIGENT HEALTH</v>
      </c>
      <c r="G387" s="5">
        <v>99.81</v>
      </c>
      <c r="H387" t="str">
        <f>"INDIGENT HEALTH"</f>
        <v>INDIGENT HEALTH</v>
      </c>
    </row>
    <row r="388" spans="1:8" x14ac:dyDescent="0.25">
      <c r="A388" t="s">
        <v>102</v>
      </c>
      <c r="B388">
        <v>131123</v>
      </c>
      <c r="C388" s="5">
        <v>34807.599999999999</v>
      </c>
      <c r="D388" s="1">
        <v>43899</v>
      </c>
      <c r="E388" t="str">
        <f>"19997013"</f>
        <v>19997013</v>
      </c>
      <c r="F388" t="str">
        <f>"ACCT#434304/PCT#4"</f>
        <v>ACCT#434304/PCT#4</v>
      </c>
      <c r="G388" s="5">
        <v>1352</v>
      </c>
      <c r="H388" t="str">
        <f>"ACCT#434304/PCT#4"</f>
        <v>ACCT#434304/PCT#4</v>
      </c>
    </row>
    <row r="389" spans="1:8" x14ac:dyDescent="0.25">
      <c r="E389" t="str">
        <f>"19997014"</f>
        <v>19997014</v>
      </c>
      <c r="F389" t="str">
        <f>"ACCT#434304/PCT#2"</f>
        <v>ACCT#434304/PCT#2</v>
      </c>
      <c r="G389" s="5">
        <v>33455.599999999999</v>
      </c>
      <c r="H389" t="str">
        <f>"ACCT#434304/PCT#2"</f>
        <v>ACCT#434304/PCT#2</v>
      </c>
    </row>
    <row r="390" spans="1:8" x14ac:dyDescent="0.25">
      <c r="A390" t="s">
        <v>103</v>
      </c>
      <c r="B390">
        <v>131331</v>
      </c>
      <c r="C390" s="5">
        <v>395</v>
      </c>
      <c r="D390" s="1">
        <v>43913</v>
      </c>
      <c r="E390" t="str">
        <f>"20476"</f>
        <v>20476</v>
      </c>
      <c r="F390" t="str">
        <f>"PROJ:20476 DA INSTALL"</f>
        <v>PROJ:20476 DA INSTALL</v>
      </c>
      <c r="G390" s="5">
        <v>395</v>
      </c>
      <c r="H390" t="str">
        <f>"PROJ:20476 DA INSTALL"</f>
        <v>PROJ:20476 DA INSTALL</v>
      </c>
    </row>
    <row r="391" spans="1:8" x14ac:dyDescent="0.25">
      <c r="A391" t="s">
        <v>104</v>
      </c>
      <c r="B391">
        <v>131124</v>
      </c>
      <c r="C391" s="5">
        <v>3142.78</v>
      </c>
      <c r="D391" s="1">
        <v>43899</v>
      </c>
      <c r="E391" t="str">
        <f>"202003035699"</f>
        <v>202003035699</v>
      </c>
      <c r="F391" t="str">
        <f>"ACCT 9078708"</f>
        <v>ACCT 9078708</v>
      </c>
      <c r="G391" s="5">
        <v>3142.78</v>
      </c>
      <c r="H391" t="str">
        <f>"ACCT 9078708"</f>
        <v>ACCT 9078708</v>
      </c>
    </row>
    <row r="392" spans="1:8" x14ac:dyDescent="0.25">
      <c r="E392" t="str">
        <f>""</f>
        <v/>
      </c>
      <c r="F392" t="str">
        <f>""</f>
        <v/>
      </c>
      <c r="H392" t="str">
        <f>"ACCT 9012585"</f>
        <v>ACCT 9012585</v>
      </c>
    </row>
    <row r="393" spans="1:8" x14ac:dyDescent="0.25">
      <c r="E393" t="str">
        <f>""</f>
        <v/>
      </c>
      <c r="F393" t="str">
        <f>""</f>
        <v/>
      </c>
      <c r="H393" t="str">
        <f>"ACCT 9078705"</f>
        <v>ACCT 9078705</v>
      </c>
    </row>
    <row r="394" spans="1:8" x14ac:dyDescent="0.25">
      <c r="E394" t="str">
        <f>""</f>
        <v/>
      </c>
      <c r="F394" t="str">
        <f>""</f>
        <v/>
      </c>
      <c r="H394" t="str">
        <f>"ACCT 9078709"</f>
        <v>ACCT 9078709</v>
      </c>
    </row>
    <row r="395" spans="1:8" x14ac:dyDescent="0.25">
      <c r="E395" t="str">
        <f>""</f>
        <v/>
      </c>
      <c r="F395" t="str">
        <f>""</f>
        <v/>
      </c>
      <c r="H395" t="str">
        <f>"ACCT 9078824"</f>
        <v>ACCT 9078824</v>
      </c>
    </row>
    <row r="396" spans="1:8" x14ac:dyDescent="0.25">
      <c r="A396" t="s">
        <v>105</v>
      </c>
      <c r="B396">
        <v>131125</v>
      </c>
      <c r="C396" s="5">
        <v>1800</v>
      </c>
      <c r="D396" s="1">
        <v>43899</v>
      </c>
      <c r="E396" t="str">
        <f>"202003025583"</f>
        <v>202003025583</v>
      </c>
      <c r="F396" t="str">
        <f>"ANNUAL COUNTY DUES"</f>
        <v>ANNUAL COUNTY DUES</v>
      </c>
      <c r="G396" s="5">
        <v>1800</v>
      </c>
      <c r="H396" t="str">
        <f>"ANNUAL COUNTY DUES"</f>
        <v>ANNUAL COUNTY DUES</v>
      </c>
    </row>
    <row r="397" spans="1:8" x14ac:dyDescent="0.25">
      <c r="A397" t="s">
        <v>106</v>
      </c>
      <c r="B397">
        <v>131126</v>
      </c>
      <c r="C397" s="5">
        <v>75</v>
      </c>
      <c r="D397" s="1">
        <v>43899</v>
      </c>
      <c r="E397" t="str">
        <f>"12810"</f>
        <v>12810</v>
      </c>
      <c r="F397" t="str">
        <f>"SERVICE"</f>
        <v>SERVICE</v>
      </c>
      <c r="G397" s="5">
        <v>75</v>
      </c>
      <c r="H397" t="str">
        <f>"SERVICE"</f>
        <v>SERVICE</v>
      </c>
    </row>
    <row r="398" spans="1:8" x14ac:dyDescent="0.25">
      <c r="A398" t="s">
        <v>106</v>
      </c>
      <c r="B398">
        <v>131332</v>
      </c>
      <c r="C398" s="5">
        <v>225</v>
      </c>
      <c r="D398" s="1">
        <v>43913</v>
      </c>
      <c r="E398" t="str">
        <f>"12136  12/19/19"</f>
        <v>12136  12/19/19</v>
      </c>
      <c r="F398" t="str">
        <f>"SERVICE"</f>
        <v>SERVICE</v>
      </c>
      <c r="G398" s="5">
        <v>75</v>
      </c>
      <c r="H398" t="str">
        <f>"SERVICE"</f>
        <v>SERVICE</v>
      </c>
    </row>
    <row r="399" spans="1:8" x14ac:dyDescent="0.25">
      <c r="E399" t="str">
        <f>"13156"</f>
        <v>13156</v>
      </c>
      <c r="F399" t="str">
        <f>"SERVICE  12/19/19"</f>
        <v>SERVICE  12/19/19</v>
      </c>
      <c r="G399" s="5">
        <v>150</v>
      </c>
      <c r="H399" t="str">
        <f>"SERVICE  12/19/19"</f>
        <v>SERVICE  12/19/19</v>
      </c>
    </row>
    <row r="400" spans="1:8" x14ac:dyDescent="0.25">
      <c r="A400" t="s">
        <v>107</v>
      </c>
      <c r="B400">
        <v>131127</v>
      </c>
      <c r="C400" s="5">
        <v>4274.96</v>
      </c>
      <c r="D400" s="1">
        <v>43899</v>
      </c>
      <c r="E400" t="str">
        <f>"SK56844"</f>
        <v>SK56844</v>
      </c>
      <c r="F400" t="str">
        <f>"ACCT#68930-000/ANIMAL SVCS"</f>
        <v>ACCT#68930-000/ANIMAL SVCS</v>
      </c>
      <c r="G400" s="5">
        <v>205.32</v>
      </c>
      <c r="H400" t="str">
        <f t="shared" ref="H400:H408" si="11">"ACCT#68930-000/ANIMAL SVCS"</f>
        <v>ACCT#68930-000/ANIMAL SVCS</v>
      </c>
    </row>
    <row r="401" spans="1:8" x14ac:dyDescent="0.25">
      <c r="E401" t="str">
        <f>"SK57804"</f>
        <v>SK57804</v>
      </c>
      <c r="F401" t="str">
        <f>"ACCT#68930-000/ANIMAL SVCS"</f>
        <v>ACCT#68930-000/ANIMAL SVCS</v>
      </c>
      <c r="G401" s="5">
        <v>167.9</v>
      </c>
      <c r="H401" t="str">
        <f t="shared" si="11"/>
        <v>ACCT#68930-000/ANIMAL SVCS</v>
      </c>
    </row>
    <row r="402" spans="1:8" x14ac:dyDescent="0.25">
      <c r="E402" t="str">
        <f>""</f>
        <v/>
      </c>
      <c r="F402" t="str">
        <f>""</f>
        <v/>
      </c>
      <c r="H402" t="str">
        <f t="shared" si="11"/>
        <v>ACCT#68930-000/ANIMAL SVCS</v>
      </c>
    </row>
    <row r="403" spans="1:8" x14ac:dyDescent="0.25">
      <c r="E403" t="str">
        <f>"SK93580"</f>
        <v>SK93580</v>
      </c>
      <c r="F403" t="str">
        <f>"ACCT#68930-000/ANIMAL SVCS"</f>
        <v>ACCT#68930-000/ANIMAL SVCS</v>
      </c>
      <c r="G403" s="5">
        <v>75.36</v>
      </c>
      <c r="H403" t="str">
        <f t="shared" si="11"/>
        <v>ACCT#68930-000/ANIMAL SVCS</v>
      </c>
    </row>
    <row r="404" spans="1:8" x14ac:dyDescent="0.25">
      <c r="E404" t="str">
        <f>"SL01037"</f>
        <v>SL01037</v>
      </c>
      <c r="F404" t="str">
        <f>"ACCT#68930-000/ANIMAL SVCS"</f>
        <v>ACCT#68930-000/ANIMAL SVCS</v>
      </c>
      <c r="G404" s="5">
        <v>487.53</v>
      </c>
      <c r="H404" t="str">
        <f t="shared" si="11"/>
        <v>ACCT#68930-000/ANIMAL SVCS</v>
      </c>
    </row>
    <row r="405" spans="1:8" x14ac:dyDescent="0.25">
      <c r="E405" t="str">
        <f>""</f>
        <v/>
      </c>
      <c r="F405" t="str">
        <f>""</f>
        <v/>
      </c>
      <c r="H405" t="str">
        <f t="shared" si="11"/>
        <v>ACCT#68930-000/ANIMAL SVCS</v>
      </c>
    </row>
    <row r="406" spans="1:8" x14ac:dyDescent="0.25">
      <c r="E406" t="str">
        <f>""</f>
        <v/>
      </c>
      <c r="F406" t="str">
        <f>""</f>
        <v/>
      </c>
      <c r="H406" t="str">
        <f t="shared" si="11"/>
        <v>ACCT#68930-000/ANIMAL SVCS</v>
      </c>
    </row>
    <row r="407" spans="1:8" x14ac:dyDescent="0.25">
      <c r="E407" t="str">
        <f>"SL10579"</f>
        <v>SL10579</v>
      </c>
      <c r="F407" t="str">
        <f>"ACCT#68930-000/ANIMAL SVCS"</f>
        <v>ACCT#68930-000/ANIMAL SVCS</v>
      </c>
      <c r="G407" s="5">
        <v>3099.5</v>
      </c>
      <c r="H407" t="str">
        <f t="shared" si="11"/>
        <v>ACCT#68930-000/ANIMAL SVCS</v>
      </c>
    </row>
    <row r="408" spans="1:8" x14ac:dyDescent="0.25">
      <c r="E408" t="str">
        <f>"SL32673"</f>
        <v>SL32673</v>
      </c>
      <c r="F408" t="str">
        <f>"ACCT#68930-000/ANIMAL SVCS"</f>
        <v>ACCT#68930-000/ANIMAL SVCS</v>
      </c>
      <c r="G408" s="5">
        <v>239.35</v>
      </c>
      <c r="H408" t="str">
        <f t="shared" si="11"/>
        <v>ACCT#68930-000/ANIMAL SVCS</v>
      </c>
    </row>
    <row r="409" spans="1:8" x14ac:dyDescent="0.25">
      <c r="A409" t="s">
        <v>107</v>
      </c>
      <c r="B409">
        <v>131333</v>
      </c>
      <c r="C409" s="5">
        <v>2836.2</v>
      </c>
      <c r="D409" s="1">
        <v>43913</v>
      </c>
      <c r="E409" t="str">
        <f>"SL95077"</f>
        <v>SL95077</v>
      </c>
      <c r="F409" t="str">
        <f>"ACCT#68930/ANIMAL SERVICES"</f>
        <v>ACCT#68930/ANIMAL SERVICES</v>
      </c>
      <c r="G409" s="5">
        <v>660</v>
      </c>
      <c r="H409" t="str">
        <f t="shared" ref="H409:H415" si="12">"ACCT#68930/ANIMAL SERVICES"</f>
        <v>ACCT#68930/ANIMAL SERVICES</v>
      </c>
    </row>
    <row r="410" spans="1:8" x14ac:dyDescent="0.25">
      <c r="E410" t="str">
        <f>"SM45547"</f>
        <v>SM45547</v>
      </c>
      <c r="F410" t="str">
        <f>"ACCT#68930/ANIMAL SERVICES"</f>
        <v>ACCT#68930/ANIMAL SERVICES</v>
      </c>
      <c r="G410" s="5">
        <v>5.0599999999999996</v>
      </c>
      <c r="H410" t="str">
        <f t="shared" si="12"/>
        <v>ACCT#68930/ANIMAL SERVICES</v>
      </c>
    </row>
    <row r="411" spans="1:8" x14ac:dyDescent="0.25">
      <c r="E411" t="str">
        <f>"SM46978"</f>
        <v>SM46978</v>
      </c>
      <c r="F411" t="str">
        <f>"ACCT#68930/ANIMAL SERVICES"</f>
        <v>ACCT#68930/ANIMAL SERVICES</v>
      </c>
      <c r="G411" s="5">
        <v>147.05000000000001</v>
      </c>
      <c r="H411" t="str">
        <f t="shared" si="12"/>
        <v>ACCT#68930/ANIMAL SERVICES</v>
      </c>
    </row>
    <row r="412" spans="1:8" x14ac:dyDescent="0.25">
      <c r="E412" t="str">
        <f>""</f>
        <v/>
      </c>
      <c r="F412" t="str">
        <f>""</f>
        <v/>
      </c>
      <c r="H412" t="str">
        <f t="shared" si="12"/>
        <v>ACCT#68930/ANIMAL SERVICES</v>
      </c>
    </row>
    <row r="413" spans="1:8" x14ac:dyDescent="0.25">
      <c r="E413" t="str">
        <f>"SN00239"</f>
        <v>SN00239</v>
      </c>
      <c r="F413" t="str">
        <f>"ACCT#68930/ANIMAL SERVICES"</f>
        <v>ACCT#68930/ANIMAL SERVICES</v>
      </c>
      <c r="G413" s="5">
        <v>491.53</v>
      </c>
      <c r="H413" t="str">
        <f t="shared" si="12"/>
        <v>ACCT#68930/ANIMAL SERVICES</v>
      </c>
    </row>
    <row r="414" spans="1:8" x14ac:dyDescent="0.25">
      <c r="E414" t="str">
        <f>"SN00241"</f>
        <v>SN00241</v>
      </c>
      <c r="F414" t="str">
        <f>"ACCT#68930/ANIMAL SERVICES"</f>
        <v>ACCT#68930/ANIMAL SERVICES</v>
      </c>
      <c r="G414" s="5">
        <v>351.56</v>
      </c>
      <c r="H414" t="str">
        <f t="shared" si="12"/>
        <v>ACCT#68930/ANIMAL SERVICES</v>
      </c>
    </row>
    <row r="415" spans="1:8" x14ac:dyDescent="0.25">
      <c r="E415" t="str">
        <f>"SN02205"</f>
        <v>SN02205</v>
      </c>
      <c r="F415" t="str">
        <f>"ACCT#68930/ANIMAL SERVICES"</f>
        <v>ACCT#68930/ANIMAL SERVICES</v>
      </c>
      <c r="G415" s="5">
        <v>1181</v>
      </c>
      <c r="H415" t="str">
        <f t="shared" si="12"/>
        <v>ACCT#68930/ANIMAL SERVICES</v>
      </c>
    </row>
    <row r="416" spans="1:8" x14ac:dyDescent="0.25">
      <c r="A416" t="s">
        <v>108</v>
      </c>
      <c r="B416">
        <v>131128</v>
      </c>
      <c r="C416" s="5">
        <v>110</v>
      </c>
      <c r="D416" s="1">
        <v>43899</v>
      </c>
      <c r="E416" t="str">
        <f>"202002265498"</f>
        <v>202002265498</v>
      </c>
      <c r="F416" t="str">
        <f>"JP ANNUAL DUES-KATHERINE HANNA"</f>
        <v>JP ANNUAL DUES-KATHERINE HANNA</v>
      </c>
      <c r="G416" s="5">
        <v>25</v>
      </c>
      <c r="H416" t="str">
        <f>"JP ANNUAL DUES-KATHERINE HANNA"</f>
        <v>JP ANNUAL DUES-KATHERINE HANNA</v>
      </c>
    </row>
    <row r="417" spans="1:8" x14ac:dyDescent="0.25">
      <c r="E417" t="str">
        <f>"202002265499"</f>
        <v>202002265499</v>
      </c>
      <c r="F417" t="str">
        <f>"CLERK ANNUAL DUES-DENA TINER"</f>
        <v>CLERK ANNUAL DUES-DENA TINER</v>
      </c>
      <c r="G417" s="5">
        <v>20</v>
      </c>
      <c r="H417" t="str">
        <f>"CLERK ANNUAL DUES-DENA TINER"</f>
        <v>CLERK ANNUAL DUES-DENA TINER</v>
      </c>
    </row>
    <row r="418" spans="1:8" x14ac:dyDescent="0.25">
      <c r="E418" t="str">
        <f>"202002265500"</f>
        <v>202002265500</v>
      </c>
      <c r="F418" t="str">
        <f>"CLERK ANNUAL DUES-AMELIA BROWN"</f>
        <v>CLERK ANNUAL DUES-AMELIA BROWN</v>
      </c>
      <c r="G418" s="5">
        <v>20</v>
      </c>
      <c r="H418" t="str">
        <f>"CLERK ANNUAL DUES-AMELIA BROWN"</f>
        <v>CLERK ANNUAL DUES-AMELIA BROWN</v>
      </c>
    </row>
    <row r="419" spans="1:8" x14ac:dyDescent="0.25">
      <c r="E419" t="str">
        <f>"202002265501"</f>
        <v>202002265501</v>
      </c>
      <c r="F419" t="str">
        <f>"CLERK ANNUAL DUES-DIANE MONTOY"</f>
        <v>CLERK ANNUAL DUES-DIANE MONTOY</v>
      </c>
      <c r="G419" s="5">
        <v>20</v>
      </c>
      <c r="H419" t="str">
        <f>"CLERK ANNUAL DUES-DIANE MONTOY"</f>
        <v>CLERK ANNUAL DUES-DIANE MONTOY</v>
      </c>
    </row>
    <row r="420" spans="1:8" x14ac:dyDescent="0.25">
      <c r="E420" t="str">
        <f>"202002265502"</f>
        <v>202002265502</v>
      </c>
      <c r="F420" t="str">
        <f>"CONSTABLE ANNUAL DUES-TIM SPAR"</f>
        <v>CONSTABLE ANNUAL DUES-TIM SPAR</v>
      </c>
      <c r="G420" s="5">
        <v>25</v>
      </c>
      <c r="H420" t="str">
        <f>"CONSTABLE ANNUAL DUES-TIM SPAR"</f>
        <v>CONSTABLE ANNUAL DUES-TIM SPAR</v>
      </c>
    </row>
    <row r="421" spans="1:8" x14ac:dyDescent="0.25">
      <c r="A421" t="s">
        <v>109</v>
      </c>
      <c r="B421">
        <v>131334</v>
      </c>
      <c r="C421" s="5">
        <v>2909</v>
      </c>
      <c r="D421" s="1">
        <v>43913</v>
      </c>
      <c r="E421" t="str">
        <f>"332361"</f>
        <v>332361</v>
      </c>
      <c r="F421" t="str">
        <f>"Sign Shop Material"</f>
        <v>Sign Shop Material</v>
      </c>
      <c r="G421" s="5">
        <v>2909</v>
      </c>
      <c r="H421" t="str">
        <f>"18 x24"</f>
        <v>18 x24</v>
      </c>
    </row>
    <row r="422" spans="1:8" x14ac:dyDescent="0.25">
      <c r="E422" t="str">
        <f>""</f>
        <v/>
      </c>
      <c r="F422" t="str">
        <f>""</f>
        <v/>
      </c>
      <c r="H422" t="str">
        <f>"6 x12"</f>
        <v>6 x12</v>
      </c>
    </row>
    <row r="423" spans="1:8" x14ac:dyDescent="0.25">
      <c r="E423" t="str">
        <f>""</f>
        <v/>
      </c>
      <c r="F423" t="str">
        <f>""</f>
        <v/>
      </c>
      <c r="H423" t="str">
        <f>"10'x2#"</f>
        <v>10'x2#</v>
      </c>
    </row>
    <row r="424" spans="1:8" x14ac:dyDescent="0.25">
      <c r="A424" t="s">
        <v>110</v>
      </c>
      <c r="B424">
        <v>131129</v>
      </c>
      <c r="C424" s="5">
        <v>400</v>
      </c>
      <c r="D424" s="1">
        <v>43899</v>
      </c>
      <c r="E424" t="str">
        <f>"12810"</f>
        <v>12810</v>
      </c>
      <c r="F424" t="str">
        <f>"SERVICE"</f>
        <v>SERVICE</v>
      </c>
      <c r="G424" s="5">
        <v>160</v>
      </c>
      <c r="H424" t="str">
        <f>"SERVICE"</f>
        <v>SERVICE</v>
      </c>
    </row>
    <row r="425" spans="1:8" x14ac:dyDescent="0.25">
      <c r="E425" t="str">
        <f>"13193"</f>
        <v>13193</v>
      </c>
      <c r="F425" t="str">
        <f>"SERVICE"</f>
        <v>SERVICE</v>
      </c>
      <c r="G425" s="5">
        <v>80</v>
      </c>
      <c r="H425" t="str">
        <f>"SERVICE"</f>
        <v>SERVICE</v>
      </c>
    </row>
    <row r="426" spans="1:8" x14ac:dyDescent="0.25">
      <c r="E426" t="str">
        <f>"13365"</f>
        <v>13365</v>
      </c>
      <c r="F426" t="str">
        <f>"SERVICE"</f>
        <v>SERVICE</v>
      </c>
      <c r="G426" s="5">
        <v>160</v>
      </c>
      <c r="H426" t="str">
        <f>"SERVICE"</f>
        <v>SERVICE</v>
      </c>
    </row>
    <row r="427" spans="1:8" x14ac:dyDescent="0.25">
      <c r="A427" t="s">
        <v>111</v>
      </c>
      <c r="B427">
        <v>131130</v>
      </c>
      <c r="C427" s="5">
        <v>250</v>
      </c>
      <c r="D427" s="1">
        <v>43899</v>
      </c>
      <c r="E427" t="str">
        <f>"202002275513"</f>
        <v>202002275513</v>
      </c>
      <c r="F427" t="str">
        <f>"19-19987"</f>
        <v>19-19987</v>
      </c>
      <c r="G427" s="5">
        <v>250</v>
      </c>
      <c r="H427" t="str">
        <f>"19-19987"</f>
        <v>19-19987</v>
      </c>
    </row>
    <row r="428" spans="1:8" x14ac:dyDescent="0.25">
      <c r="A428" t="s">
        <v>112</v>
      </c>
      <c r="B428">
        <v>131131</v>
      </c>
      <c r="C428" s="5">
        <v>5692.5</v>
      </c>
      <c r="D428" s="1">
        <v>43899</v>
      </c>
      <c r="E428" t="str">
        <f>"384873 384891 3850"</f>
        <v>384873 384891 3850</v>
      </c>
      <c r="F428" t="str">
        <f>"Sharp Display"</f>
        <v>Sharp Display</v>
      </c>
      <c r="G428" s="5">
        <v>5692.5</v>
      </c>
      <c r="H428" t="str">
        <f>"Room 1- Hardware"</f>
        <v>Room 1- Hardware</v>
      </c>
    </row>
    <row r="429" spans="1:8" x14ac:dyDescent="0.25">
      <c r="E429" t="str">
        <f>""</f>
        <v/>
      </c>
      <c r="F429" t="str">
        <f>""</f>
        <v/>
      </c>
      <c r="H429" t="str">
        <f>"Shipping"</f>
        <v>Shipping</v>
      </c>
    </row>
    <row r="430" spans="1:8" x14ac:dyDescent="0.25">
      <c r="A430" t="s">
        <v>113</v>
      </c>
      <c r="B430">
        <v>131132</v>
      </c>
      <c r="C430" s="5">
        <v>100</v>
      </c>
      <c r="D430" s="1">
        <v>43899</v>
      </c>
      <c r="E430" t="str">
        <f>"202003025582"</f>
        <v>202003025582</v>
      </c>
      <c r="F430" t="str">
        <f>"LEGAL CONSULT SVCS-FEBRUARY"</f>
        <v>LEGAL CONSULT SVCS-FEBRUARY</v>
      </c>
      <c r="G430" s="5">
        <v>100</v>
      </c>
      <c r="H430" t="str">
        <f>"LEGAL CONSULT SVCS-FEBRUARY"</f>
        <v>LEGAL CONSULT SVCS-FEBRUARY</v>
      </c>
    </row>
    <row r="431" spans="1:8" x14ac:dyDescent="0.25">
      <c r="A431" t="s">
        <v>114</v>
      </c>
      <c r="B431">
        <v>2253</v>
      </c>
      <c r="C431" s="5">
        <v>900</v>
      </c>
      <c r="D431" s="1">
        <v>43893</v>
      </c>
      <c r="E431" t="str">
        <f>"394576"</f>
        <v>394576</v>
      </c>
      <c r="F431" t="str">
        <f>"CASTER ON GATE / PCT1"</f>
        <v>CASTER ON GATE / PCT1</v>
      </c>
      <c r="G431" s="5">
        <v>900</v>
      </c>
      <c r="H431" t="str">
        <f>"CASTER ON GATE / PCT1"</f>
        <v>CASTER ON GATE / PCT1</v>
      </c>
    </row>
    <row r="432" spans="1:8" x14ac:dyDescent="0.25">
      <c r="A432" t="s">
        <v>114</v>
      </c>
      <c r="B432">
        <v>2332</v>
      </c>
      <c r="C432" s="5">
        <v>2500</v>
      </c>
      <c r="D432" s="1">
        <v>43901</v>
      </c>
      <c r="E432" t="str">
        <f>"394577"</f>
        <v>394577</v>
      </c>
      <c r="F432" t="str">
        <f>"REMODEL BATHROOM / P1"</f>
        <v>REMODEL BATHROOM / P1</v>
      </c>
      <c r="G432" s="5">
        <v>2500</v>
      </c>
      <c r="H432" t="str">
        <f>"REMODEL BATHROOM / P1"</f>
        <v>REMODEL BATHROOM / P1</v>
      </c>
    </row>
    <row r="433" spans="1:8" x14ac:dyDescent="0.25">
      <c r="A433" t="s">
        <v>115</v>
      </c>
      <c r="B433">
        <v>131133</v>
      </c>
      <c r="C433" s="5">
        <v>40.25</v>
      </c>
      <c r="D433" s="1">
        <v>43899</v>
      </c>
      <c r="E433" t="str">
        <f>"202002265497"</f>
        <v>202002265497</v>
      </c>
      <c r="F433" t="str">
        <f>"REIMBURSE MILEAGE"</f>
        <v>REIMBURSE MILEAGE</v>
      </c>
      <c r="G433" s="5">
        <v>40.25</v>
      </c>
      <c r="H433" t="str">
        <f>"REIMBURSE MILEAGE"</f>
        <v>REIMBURSE MILEAGE</v>
      </c>
    </row>
    <row r="434" spans="1:8" x14ac:dyDescent="0.25">
      <c r="A434" t="s">
        <v>116</v>
      </c>
      <c r="B434">
        <v>2272</v>
      </c>
      <c r="C434" s="5">
        <v>367.5</v>
      </c>
      <c r="D434" s="1">
        <v>43900</v>
      </c>
      <c r="E434" t="str">
        <f>"202002275533"</f>
        <v>202002275533</v>
      </c>
      <c r="F434" t="str">
        <f>"19-19526"</f>
        <v>19-19526</v>
      </c>
      <c r="G434" s="5">
        <v>167.5</v>
      </c>
      <c r="H434" t="str">
        <f>"19-19526"</f>
        <v>19-19526</v>
      </c>
    </row>
    <row r="435" spans="1:8" x14ac:dyDescent="0.25">
      <c r="E435" t="str">
        <f>"202003045719"</f>
        <v>202003045719</v>
      </c>
      <c r="F435" t="str">
        <f>"423-1631"</f>
        <v>423-1631</v>
      </c>
      <c r="G435" s="5">
        <v>100</v>
      </c>
      <c r="H435" t="str">
        <f>"423-1631"</f>
        <v>423-1631</v>
      </c>
    </row>
    <row r="436" spans="1:8" x14ac:dyDescent="0.25">
      <c r="E436" t="str">
        <f>"202003045720"</f>
        <v>202003045720</v>
      </c>
      <c r="F436" t="str">
        <f>"423-4498"</f>
        <v>423-4498</v>
      </c>
      <c r="G436" s="5">
        <v>100</v>
      </c>
      <c r="H436" t="str">
        <f>"423-4498"</f>
        <v>423-4498</v>
      </c>
    </row>
    <row r="437" spans="1:8" x14ac:dyDescent="0.25">
      <c r="A437" t="s">
        <v>116</v>
      </c>
      <c r="B437">
        <v>2350</v>
      </c>
      <c r="C437" s="5">
        <v>1212.5</v>
      </c>
      <c r="D437" s="1">
        <v>43914</v>
      </c>
      <c r="E437" t="str">
        <f>"202003125897"</f>
        <v>202003125897</v>
      </c>
      <c r="F437" t="str">
        <f>"19-19866"</f>
        <v>19-19866</v>
      </c>
      <c r="G437" s="5">
        <v>175</v>
      </c>
      <c r="H437" t="str">
        <f>"19-19866"</f>
        <v>19-19866</v>
      </c>
    </row>
    <row r="438" spans="1:8" x14ac:dyDescent="0.25">
      <c r="E438" t="str">
        <f>"202003125898"</f>
        <v>202003125898</v>
      </c>
      <c r="F438" t="str">
        <f>"19-19641"</f>
        <v>19-19641</v>
      </c>
      <c r="G438" s="5">
        <v>160</v>
      </c>
      <c r="H438" t="str">
        <f>"19-19641"</f>
        <v>19-19641</v>
      </c>
    </row>
    <row r="439" spans="1:8" x14ac:dyDescent="0.25">
      <c r="E439" t="str">
        <f>"202003125900"</f>
        <v>202003125900</v>
      </c>
      <c r="F439" t="str">
        <f>"20-20056"</f>
        <v>20-20056</v>
      </c>
      <c r="G439" s="5">
        <v>100</v>
      </c>
      <c r="H439" t="str">
        <f>"20-20056"</f>
        <v>20-20056</v>
      </c>
    </row>
    <row r="440" spans="1:8" x14ac:dyDescent="0.25">
      <c r="E440" t="str">
        <f>"202003125901"</f>
        <v>202003125901</v>
      </c>
      <c r="F440" t="str">
        <f>"19-19967"</f>
        <v>19-19967</v>
      </c>
      <c r="G440" s="5">
        <v>285</v>
      </c>
      <c r="H440" t="str">
        <f>"19-19967"</f>
        <v>19-19967</v>
      </c>
    </row>
    <row r="441" spans="1:8" x14ac:dyDescent="0.25">
      <c r="E441" t="str">
        <f>"202003125902"</f>
        <v>202003125902</v>
      </c>
      <c r="F441" t="str">
        <f>"20-20030"</f>
        <v>20-20030</v>
      </c>
      <c r="G441" s="5">
        <v>135</v>
      </c>
      <c r="H441" t="str">
        <f>"20-20030"</f>
        <v>20-20030</v>
      </c>
    </row>
    <row r="442" spans="1:8" x14ac:dyDescent="0.25">
      <c r="E442" t="str">
        <f>"202003125903"</f>
        <v>202003125903</v>
      </c>
      <c r="F442" t="str">
        <f>"19-19572"</f>
        <v>19-19572</v>
      </c>
      <c r="G442" s="5">
        <v>182.5</v>
      </c>
      <c r="H442" t="str">
        <f>"19-19572"</f>
        <v>19-19572</v>
      </c>
    </row>
    <row r="443" spans="1:8" x14ac:dyDescent="0.25">
      <c r="E443" t="str">
        <f>"202003125910"</f>
        <v>202003125910</v>
      </c>
      <c r="F443" t="str">
        <f>"09-13361"</f>
        <v>09-13361</v>
      </c>
      <c r="G443" s="5">
        <v>175</v>
      </c>
      <c r="H443" t="str">
        <f>"09-13361"</f>
        <v>09-13361</v>
      </c>
    </row>
    <row r="444" spans="1:8" x14ac:dyDescent="0.25">
      <c r="A444" t="s">
        <v>117</v>
      </c>
      <c r="B444">
        <v>131335</v>
      </c>
      <c r="C444" s="5">
        <v>19.55</v>
      </c>
      <c r="D444" s="1">
        <v>43913</v>
      </c>
      <c r="E444" t="str">
        <f>"202003125945"</f>
        <v>202003125945</v>
      </c>
      <c r="F444" t="str">
        <f>"MILEAGE REIMBURSEMENT"</f>
        <v>MILEAGE REIMBURSEMENT</v>
      </c>
      <c r="G444" s="5">
        <v>19.55</v>
      </c>
      <c r="H444" t="str">
        <f>"MILEAGE REIMBURSEMENT"</f>
        <v>MILEAGE REIMBURSEMENT</v>
      </c>
    </row>
    <row r="445" spans="1:8" x14ac:dyDescent="0.25">
      <c r="A445" t="s">
        <v>118</v>
      </c>
      <c r="B445">
        <v>131134</v>
      </c>
      <c r="C445" s="5">
        <v>178.09</v>
      </c>
      <c r="D445" s="1">
        <v>43899</v>
      </c>
      <c r="E445" t="str">
        <f>"10376520896"</f>
        <v>10376520896</v>
      </c>
      <c r="F445" t="str">
        <f>"Replacement Monitor"</f>
        <v>Replacement Monitor</v>
      </c>
      <c r="G445" s="5">
        <v>178.09</v>
      </c>
      <c r="H445" t="str">
        <f>"P2319H"</f>
        <v>P2319H</v>
      </c>
    </row>
    <row r="446" spans="1:8" x14ac:dyDescent="0.25">
      <c r="E446" t="str">
        <f>""</f>
        <v/>
      </c>
      <c r="F446" t="str">
        <f>""</f>
        <v/>
      </c>
      <c r="H446" t="str">
        <f>"Premier Discount"</f>
        <v>Premier Discount</v>
      </c>
    </row>
    <row r="447" spans="1:8" x14ac:dyDescent="0.25">
      <c r="A447" t="s">
        <v>118</v>
      </c>
      <c r="B447">
        <v>131336</v>
      </c>
      <c r="C447" s="5">
        <v>51.59</v>
      </c>
      <c r="D447" s="1">
        <v>43913</v>
      </c>
      <c r="E447" t="str">
        <f>"10378627893"</f>
        <v>10378627893</v>
      </c>
      <c r="F447" t="str">
        <f>"Dell Order for TADS"</f>
        <v>Dell Order for TADS</v>
      </c>
      <c r="G447" s="5">
        <v>51.59</v>
      </c>
      <c r="H447" t="str">
        <f>"MK540"</f>
        <v>MK540</v>
      </c>
    </row>
    <row r="448" spans="1:8" x14ac:dyDescent="0.25">
      <c r="E448" t="str">
        <f>""</f>
        <v/>
      </c>
      <c r="F448" t="str">
        <f>""</f>
        <v/>
      </c>
      <c r="H448" t="str">
        <f>"Premier Discount"</f>
        <v>Premier Discount</v>
      </c>
    </row>
    <row r="449" spans="1:8" x14ac:dyDescent="0.25">
      <c r="A449" t="s">
        <v>119</v>
      </c>
      <c r="B449">
        <v>2299</v>
      </c>
      <c r="C449" s="5">
        <v>1960</v>
      </c>
      <c r="D449" s="1">
        <v>43900</v>
      </c>
      <c r="E449" t="str">
        <f>"BATX016667"</f>
        <v>BATX016667</v>
      </c>
      <c r="F449" t="str">
        <f>"INV BATX016667"</f>
        <v>INV BATX016667</v>
      </c>
      <c r="G449" s="5">
        <v>1960</v>
      </c>
      <c r="H449" t="str">
        <f>"INV BATX016667"</f>
        <v>INV BATX016667</v>
      </c>
    </row>
    <row r="450" spans="1:8" x14ac:dyDescent="0.25">
      <c r="A450" t="s">
        <v>120</v>
      </c>
      <c r="B450">
        <v>131135</v>
      </c>
      <c r="C450" s="5">
        <v>6594.08</v>
      </c>
      <c r="D450" s="1">
        <v>43899</v>
      </c>
      <c r="E450" t="str">
        <f>"20011121N"</f>
        <v>20011121N</v>
      </c>
      <c r="F450" t="str">
        <f>"CUST#PKE5000/JANUARY 2020"</f>
        <v>CUST#PKE5000/JANUARY 2020</v>
      </c>
      <c r="G450" s="5">
        <v>6594.08</v>
      </c>
      <c r="H450" t="str">
        <f>"CUST#PKE5000/JANUARY 2020"</f>
        <v>CUST#PKE5000/JANUARY 2020</v>
      </c>
    </row>
    <row r="451" spans="1:8" x14ac:dyDescent="0.25">
      <c r="E451" t="str">
        <f>""</f>
        <v/>
      </c>
      <c r="F451" t="str">
        <f>""</f>
        <v/>
      </c>
      <c r="H451" t="str">
        <f>"CUST#PKE5000/JANUARY 2020"</f>
        <v>CUST#PKE5000/JANUARY 2020</v>
      </c>
    </row>
    <row r="452" spans="1:8" x14ac:dyDescent="0.25">
      <c r="A452" t="s">
        <v>121</v>
      </c>
      <c r="B452">
        <v>131136</v>
      </c>
      <c r="C452" s="5">
        <v>2172</v>
      </c>
      <c r="D452" s="1">
        <v>43899</v>
      </c>
      <c r="E452" t="str">
        <f>"2832338"</f>
        <v>2832338</v>
      </c>
      <c r="F452" t="str">
        <f>"ACCT #27917 - 02292020"</f>
        <v>ACCT #27917 - 02292020</v>
      </c>
      <c r="G452" s="5">
        <v>1058</v>
      </c>
      <c r="H452" t="str">
        <f>"ACCT #27917 - 02292020"</f>
        <v>ACCT #27917 - 02292020</v>
      </c>
    </row>
    <row r="453" spans="1:8" x14ac:dyDescent="0.25">
      <c r="E453" t="str">
        <f>"2834482"</f>
        <v>2834482</v>
      </c>
      <c r="F453" t="str">
        <f>"ACCT#27917/PCT#1"</f>
        <v>ACCT#27917/PCT#1</v>
      </c>
      <c r="G453" s="5">
        <v>1114</v>
      </c>
      <c r="H453" t="str">
        <f>"ACCT#27917/PCT#1"</f>
        <v>ACCT#27917/PCT#1</v>
      </c>
    </row>
    <row r="454" spans="1:8" x14ac:dyDescent="0.25">
      <c r="A454" t="s">
        <v>122</v>
      </c>
      <c r="B454">
        <v>131465</v>
      </c>
      <c r="C454" s="5">
        <v>749.4</v>
      </c>
      <c r="D454" s="1">
        <v>43914</v>
      </c>
      <c r="E454" t="str">
        <f>"202003246073"</f>
        <v>202003246073</v>
      </c>
      <c r="F454" t="str">
        <f>"ACCT#405900029213 / 04012020"</f>
        <v>ACCT#405900029213 / 04012020</v>
      </c>
      <c r="G454" s="5">
        <v>374.7</v>
      </c>
      <c r="H454" t="str">
        <f>"ACCT#405900029213 / 04012020"</f>
        <v>ACCT#405900029213 / 04012020</v>
      </c>
    </row>
    <row r="455" spans="1:8" x14ac:dyDescent="0.25">
      <c r="E455" t="str">
        <f>"202003246074"</f>
        <v>202003246074</v>
      </c>
      <c r="F455" t="str">
        <f>"ACCT#405900029225 / 04012020"</f>
        <v>ACCT#405900029225 / 04012020</v>
      </c>
      <c r="G455" s="5">
        <v>187.35</v>
      </c>
      <c r="H455" t="str">
        <f>"ACCT#405900029225 / 04012020"</f>
        <v>ACCT#405900029225 / 04012020</v>
      </c>
    </row>
    <row r="456" spans="1:8" x14ac:dyDescent="0.25">
      <c r="E456" t="str">
        <f>"202003246075"</f>
        <v>202003246075</v>
      </c>
      <c r="F456" t="str">
        <f>"ACCT#405900028789 / 04012020"</f>
        <v>ACCT#405900028789 / 04012020</v>
      </c>
      <c r="G456" s="5">
        <v>187.35</v>
      </c>
      <c r="H456" t="str">
        <f>"ACCT#405900028789 / 04012020"</f>
        <v>ACCT#405900028789 / 04012020</v>
      </c>
    </row>
    <row r="457" spans="1:8" x14ac:dyDescent="0.25">
      <c r="A457" t="s">
        <v>123</v>
      </c>
      <c r="B457">
        <v>131137</v>
      </c>
      <c r="C457" s="5">
        <v>60</v>
      </c>
      <c r="D457" s="1">
        <v>43899</v>
      </c>
      <c r="E457" t="str">
        <f>"202003035700"</f>
        <v>202003035700</v>
      </c>
      <c r="F457" t="str">
        <f>"DORENA MARTINEZ"</f>
        <v>DORENA MARTINEZ</v>
      </c>
      <c r="G457" s="5">
        <v>60</v>
      </c>
      <c r="H457" t="str">
        <f>""</f>
        <v/>
      </c>
    </row>
    <row r="458" spans="1:8" x14ac:dyDescent="0.25">
      <c r="A458" t="s">
        <v>124</v>
      </c>
      <c r="B458">
        <v>2287</v>
      </c>
      <c r="C458" s="5">
        <v>2275.1999999999998</v>
      </c>
      <c r="D458" s="1">
        <v>43900</v>
      </c>
      <c r="E458" t="str">
        <f>"29436B"</f>
        <v>29436B</v>
      </c>
      <c r="F458" t="str">
        <f>"INV 29436 B"</f>
        <v>INV 29436 B</v>
      </c>
      <c r="G458" s="5">
        <v>2275.1999999999998</v>
      </c>
      <c r="H458" t="str">
        <f>"INV 29436 B"</f>
        <v>INV 29436 B</v>
      </c>
    </row>
    <row r="459" spans="1:8" x14ac:dyDescent="0.25">
      <c r="A459" t="s">
        <v>124</v>
      </c>
      <c r="B459">
        <v>2367</v>
      </c>
      <c r="C459" s="5">
        <v>2012.18</v>
      </c>
      <c r="D459" s="1">
        <v>43914</v>
      </c>
      <c r="E459" t="str">
        <f>"29467B"</f>
        <v>29467B</v>
      </c>
      <c r="F459" t="str">
        <f>"INV 29467B"</f>
        <v>INV 29467B</v>
      </c>
      <c r="G459" s="5">
        <v>2012.18</v>
      </c>
      <c r="H459" t="str">
        <f>"INV 29467B"</f>
        <v>INV 29467B</v>
      </c>
    </row>
    <row r="460" spans="1:8" x14ac:dyDescent="0.25">
      <c r="A460" t="s">
        <v>125</v>
      </c>
      <c r="B460">
        <v>131138</v>
      </c>
      <c r="C460" s="5">
        <v>375.8</v>
      </c>
      <c r="D460" s="1">
        <v>43899</v>
      </c>
      <c r="E460" t="str">
        <f>"37273"</f>
        <v>37273</v>
      </c>
      <c r="F460" t="str">
        <f>"UNIT#J4/PCT#4"</f>
        <v>UNIT#J4/PCT#4</v>
      </c>
      <c r="G460" s="5">
        <v>162.63</v>
      </c>
      <c r="H460" t="str">
        <f>"UNIT#J4/PCT#4"</f>
        <v>UNIT#J4/PCT#4</v>
      </c>
    </row>
    <row r="461" spans="1:8" x14ac:dyDescent="0.25">
      <c r="E461" t="str">
        <f>"37324"</f>
        <v>37324</v>
      </c>
      <c r="F461" t="str">
        <f>"BULLET-UPPER ARM RH/PCT#4"</f>
        <v>BULLET-UPPER ARM RH/PCT#4</v>
      </c>
      <c r="G461" s="5">
        <v>213.17</v>
      </c>
      <c r="H461" t="str">
        <f>"BULLET-UPPER ARM RH/PCT#4"</f>
        <v>BULLET-UPPER ARM RH/PCT#4</v>
      </c>
    </row>
    <row r="462" spans="1:8" x14ac:dyDescent="0.25">
      <c r="A462" t="s">
        <v>126</v>
      </c>
      <c r="B462">
        <v>2327</v>
      </c>
      <c r="C462" s="5">
        <v>11050</v>
      </c>
      <c r="D462" s="1">
        <v>43900</v>
      </c>
      <c r="E462" t="str">
        <f>"202002265482"</f>
        <v>202002265482</v>
      </c>
      <c r="F462" t="str">
        <f>"311192019F"</f>
        <v>311192019F</v>
      </c>
      <c r="G462" s="5">
        <v>400</v>
      </c>
      <c r="H462" t="str">
        <f>"311192019F"</f>
        <v>311192019F</v>
      </c>
    </row>
    <row r="463" spans="1:8" x14ac:dyDescent="0.25">
      <c r="E463" t="str">
        <f>"202002265483"</f>
        <v>202002265483</v>
      </c>
      <c r="F463" t="str">
        <f>"17081"</f>
        <v>17081</v>
      </c>
      <c r="G463" s="5">
        <v>400</v>
      </c>
      <c r="H463" t="str">
        <f>"17081"</f>
        <v>17081</v>
      </c>
    </row>
    <row r="464" spans="1:8" x14ac:dyDescent="0.25">
      <c r="E464" t="str">
        <f>"202002265484"</f>
        <v>202002265484</v>
      </c>
      <c r="F464" t="str">
        <f>"412238-10"</f>
        <v>412238-10</v>
      </c>
      <c r="G464" s="5">
        <v>400</v>
      </c>
      <c r="H464" t="str">
        <f>"412238-10"</f>
        <v>412238-10</v>
      </c>
    </row>
    <row r="465" spans="1:8" x14ac:dyDescent="0.25">
      <c r="E465" t="str">
        <f>"202002265485"</f>
        <v>202002265485</v>
      </c>
      <c r="F465" t="str">
        <f>"16338  19-02717  19-02718  19-"</f>
        <v>16338  19-02717  19-02718  19-</v>
      </c>
      <c r="G465" s="5">
        <v>7750</v>
      </c>
      <c r="H465" t="str">
        <f>"16338  19-02717  19-02718  19-"</f>
        <v>16338  19-02717  19-02718  19-</v>
      </c>
    </row>
    <row r="466" spans="1:8" x14ac:dyDescent="0.25">
      <c r="E466" t="str">
        <f>"202003025571"</f>
        <v>202003025571</v>
      </c>
      <c r="F466" t="str">
        <f>"CC20190324A"</f>
        <v>CC20190324A</v>
      </c>
      <c r="G466" s="5">
        <v>400</v>
      </c>
      <c r="H466" t="str">
        <f>"CC20190324A"</f>
        <v>CC20190324A</v>
      </c>
    </row>
    <row r="467" spans="1:8" x14ac:dyDescent="0.25">
      <c r="E467" t="str">
        <f>"202003035610"</f>
        <v>202003035610</v>
      </c>
      <c r="F467" t="str">
        <f>"20-20060"</f>
        <v>20-20060</v>
      </c>
      <c r="G467" s="5">
        <v>112.5</v>
      </c>
      <c r="H467" t="str">
        <f>"20-20060"</f>
        <v>20-20060</v>
      </c>
    </row>
    <row r="468" spans="1:8" x14ac:dyDescent="0.25">
      <c r="E468" t="str">
        <f>"202003035611"</f>
        <v>202003035611</v>
      </c>
      <c r="F468" t="str">
        <f>"19-19597"</f>
        <v>19-19597</v>
      </c>
      <c r="G468" s="5">
        <v>362.5</v>
      </c>
      <c r="H468" t="str">
        <f>"19-19597"</f>
        <v>19-19597</v>
      </c>
    </row>
    <row r="469" spans="1:8" x14ac:dyDescent="0.25">
      <c r="E469" t="str">
        <f>"202003035612"</f>
        <v>202003035612</v>
      </c>
      <c r="F469" t="str">
        <f>"09-13569"</f>
        <v>09-13569</v>
      </c>
      <c r="G469" s="5">
        <v>100</v>
      </c>
      <c r="H469" t="str">
        <f>"09-13569"</f>
        <v>09-13569</v>
      </c>
    </row>
    <row r="470" spans="1:8" x14ac:dyDescent="0.25">
      <c r="E470" t="str">
        <f>"202003035613"</f>
        <v>202003035613</v>
      </c>
      <c r="F470" t="str">
        <f>"57221"</f>
        <v>57221</v>
      </c>
      <c r="G470" s="5">
        <v>250</v>
      </c>
      <c r="H470" t="str">
        <f>"57221"</f>
        <v>57221</v>
      </c>
    </row>
    <row r="471" spans="1:8" x14ac:dyDescent="0.25">
      <c r="E471" t="str">
        <f>"202003035614"</f>
        <v>202003035614</v>
      </c>
      <c r="F471" t="str">
        <f>"57330  CC20190324C"</f>
        <v>57330  CC20190324C</v>
      </c>
      <c r="G471" s="5">
        <v>375</v>
      </c>
      <c r="H471" t="str">
        <f>"57330  CC20190324C"</f>
        <v>57330  CC20190324C</v>
      </c>
    </row>
    <row r="472" spans="1:8" x14ac:dyDescent="0.25">
      <c r="E472" t="str">
        <f>"202003035684"</f>
        <v>202003035684</v>
      </c>
      <c r="F472" t="str">
        <f>"20-20060"</f>
        <v>20-20060</v>
      </c>
      <c r="G472" s="5">
        <v>100</v>
      </c>
      <c r="H472" t="str">
        <f>"20-20060"</f>
        <v>20-20060</v>
      </c>
    </row>
    <row r="473" spans="1:8" x14ac:dyDescent="0.25">
      <c r="E473" t="str">
        <f>"202003045717"</f>
        <v>202003045717</v>
      </c>
      <c r="F473" t="str">
        <f>"JP1-07292019G"</f>
        <v>JP1-07292019G</v>
      </c>
      <c r="G473" s="5">
        <v>400</v>
      </c>
      <c r="H473" t="str">
        <f>"JP1-07292019G"</f>
        <v>JP1-07292019G</v>
      </c>
    </row>
    <row r="474" spans="1:8" x14ac:dyDescent="0.25">
      <c r="A474" t="s">
        <v>126</v>
      </c>
      <c r="B474">
        <v>2399</v>
      </c>
      <c r="C474" s="5">
        <v>750</v>
      </c>
      <c r="D474" s="1">
        <v>43914</v>
      </c>
      <c r="E474" t="str">
        <f>"202003125882"</f>
        <v>202003125882</v>
      </c>
      <c r="F474" t="str">
        <f>"16495"</f>
        <v>16495</v>
      </c>
      <c r="G474" s="5">
        <v>400</v>
      </c>
      <c r="H474" t="str">
        <f>"16495"</f>
        <v>16495</v>
      </c>
    </row>
    <row r="475" spans="1:8" x14ac:dyDescent="0.25">
      <c r="E475" t="str">
        <f>"202003125891"</f>
        <v>202003125891</v>
      </c>
      <c r="F475" t="str">
        <f>"20-20130"</f>
        <v>20-20130</v>
      </c>
      <c r="G475" s="5">
        <v>100</v>
      </c>
      <c r="H475" t="str">
        <f>"20-20130"</f>
        <v>20-20130</v>
      </c>
    </row>
    <row r="476" spans="1:8" x14ac:dyDescent="0.25">
      <c r="E476" t="str">
        <f>"202003125918"</f>
        <v>202003125918</v>
      </c>
      <c r="F476" t="str">
        <f>"57320"</f>
        <v>57320</v>
      </c>
      <c r="G476" s="5">
        <v>250</v>
      </c>
      <c r="H476" t="str">
        <f>"57320"</f>
        <v>57320</v>
      </c>
    </row>
    <row r="477" spans="1:8" x14ac:dyDescent="0.25">
      <c r="A477" t="s">
        <v>127</v>
      </c>
      <c r="B477">
        <v>131139</v>
      </c>
      <c r="C477" s="5">
        <v>2200</v>
      </c>
      <c r="D477" s="1">
        <v>43899</v>
      </c>
      <c r="E477" t="str">
        <f>"006"</f>
        <v>006</v>
      </c>
      <c r="F477" t="str">
        <f>"10 LDS OF BASE/PCT #3"</f>
        <v>10 LDS OF BASE/PCT #3</v>
      </c>
      <c r="G477" s="5">
        <v>2200</v>
      </c>
      <c r="H477" t="str">
        <f>"10 LDS OF BASE/PCT #3"</f>
        <v>10 LDS OF BASE/PCT #3</v>
      </c>
    </row>
    <row r="478" spans="1:8" x14ac:dyDescent="0.25">
      <c r="A478" t="s">
        <v>127</v>
      </c>
      <c r="B478">
        <v>131337</v>
      </c>
      <c r="C478" s="5">
        <v>2420</v>
      </c>
      <c r="D478" s="1">
        <v>43913</v>
      </c>
      <c r="E478" t="str">
        <f>"007"</f>
        <v>007</v>
      </c>
      <c r="F478" t="str">
        <f>"11 LOADS ROAD BASE/PCT#3"</f>
        <v>11 LOADS ROAD BASE/PCT#3</v>
      </c>
      <c r="G478" s="5">
        <v>2420</v>
      </c>
      <c r="H478" t="str">
        <f>"11 LOADS ROAD BASE/PCT#3"</f>
        <v>11 LOADS ROAD BASE/PCT#3</v>
      </c>
    </row>
    <row r="479" spans="1:8" x14ac:dyDescent="0.25">
      <c r="A479" t="s">
        <v>128</v>
      </c>
      <c r="B479">
        <v>2301</v>
      </c>
      <c r="C479" s="5">
        <v>960.56</v>
      </c>
      <c r="D479" s="1">
        <v>43900</v>
      </c>
      <c r="E479" t="str">
        <f>"6254269798"</f>
        <v>6254269798</v>
      </c>
      <c r="F479" t="str">
        <f>"INV 6254269798"</f>
        <v>INV 6254269798</v>
      </c>
      <c r="G479" s="5">
        <v>960.56</v>
      </c>
      <c r="H479" t="str">
        <f>"INV 6254269798"</f>
        <v>INV 6254269798</v>
      </c>
    </row>
    <row r="480" spans="1:8" x14ac:dyDescent="0.25">
      <c r="A480" t="s">
        <v>128</v>
      </c>
      <c r="B480">
        <v>2378</v>
      </c>
      <c r="C480" s="5">
        <v>2159.87</v>
      </c>
      <c r="D480" s="1">
        <v>43914</v>
      </c>
      <c r="E480" t="str">
        <f>"6254465207"</f>
        <v>6254465207</v>
      </c>
      <c r="F480" t="str">
        <f>"INV 6254465207"</f>
        <v>INV 6254465207</v>
      </c>
      <c r="G480" s="5">
        <v>891.62</v>
      </c>
      <c r="H480" t="str">
        <f>"INV 6254465207"</f>
        <v>INV 6254465207</v>
      </c>
    </row>
    <row r="481" spans="1:8" x14ac:dyDescent="0.25">
      <c r="E481" t="str">
        <f>"6254465208"</f>
        <v>6254465208</v>
      </c>
      <c r="F481" t="str">
        <f>"INV 6254465208"</f>
        <v>INV 6254465208</v>
      </c>
      <c r="G481" s="5">
        <v>1268.25</v>
      </c>
      <c r="H481" t="str">
        <f>"INV 6254465208"</f>
        <v>INV 6254465208</v>
      </c>
    </row>
    <row r="482" spans="1:8" x14ac:dyDescent="0.25">
      <c r="A482" t="s">
        <v>129</v>
      </c>
      <c r="B482">
        <v>131338</v>
      </c>
      <c r="C482" s="5">
        <v>58.95</v>
      </c>
      <c r="D482" s="1">
        <v>43913</v>
      </c>
      <c r="E482" t="str">
        <f>"202003165995"</f>
        <v>202003165995</v>
      </c>
      <c r="F482" t="str">
        <f>"MEAL REIMBURSEMENT"</f>
        <v>MEAL REIMBURSEMENT</v>
      </c>
      <c r="G482" s="5">
        <v>58.95</v>
      </c>
      <c r="H482" t="str">
        <f>"MEAL REIMBURSEMENT"</f>
        <v>MEAL REIMBURSEMENT</v>
      </c>
    </row>
    <row r="483" spans="1:8" x14ac:dyDescent="0.25">
      <c r="A483" t="s">
        <v>130</v>
      </c>
      <c r="B483">
        <v>2300</v>
      </c>
      <c r="C483" s="5">
        <v>310</v>
      </c>
      <c r="D483" s="1">
        <v>43900</v>
      </c>
      <c r="E483" t="str">
        <f>"52421-22064/22065"</f>
        <v>52421-22064/22065</v>
      </c>
      <c r="F483" t="str">
        <f>"Krchnak Road Bridge Repai"</f>
        <v>Krchnak Road Bridge Repai</v>
      </c>
      <c r="G483" s="5">
        <v>310</v>
      </c>
      <c r="H483" t="str">
        <f>"Krchnak Road Bridge Repai"</f>
        <v>Krchnak Road Bridge Repai</v>
      </c>
    </row>
    <row r="484" spans="1:8" x14ac:dyDescent="0.25">
      <c r="A484" t="s">
        <v>130</v>
      </c>
      <c r="B484">
        <v>2377</v>
      </c>
      <c r="C484" s="5">
        <v>35</v>
      </c>
      <c r="D484" s="1">
        <v>43914</v>
      </c>
      <c r="E484" t="str">
        <f>"52421-21875"</f>
        <v>52421-21875</v>
      </c>
      <c r="F484" t="str">
        <f>"INV 52421-21875"</f>
        <v>INV 52421-21875</v>
      </c>
      <c r="G484" s="5">
        <v>35</v>
      </c>
      <c r="H484" t="str">
        <f>"INV 52421-21875"</f>
        <v>INV 52421-21875</v>
      </c>
    </row>
    <row r="485" spans="1:8" x14ac:dyDescent="0.25">
      <c r="A485" t="s">
        <v>131</v>
      </c>
      <c r="B485">
        <v>131339</v>
      </c>
      <c r="C485" s="5">
        <v>700</v>
      </c>
      <c r="D485" s="1">
        <v>43913</v>
      </c>
      <c r="E485" t="str">
        <f>"202003125931"</f>
        <v>202003125931</v>
      </c>
      <c r="F485" t="str">
        <f>"TRANPORT - A. LASHUN"</f>
        <v>TRANPORT - A. LASHUN</v>
      </c>
      <c r="G485" s="5">
        <v>350</v>
      </c>
      <c r="H485" t="str">
        <f>"TRANPORT - A. LASHUN"</f>
        <v>TRANPORT - A. LASHUN</v>
      </c>
    </row>
    <row r="486" spans="1:8" x14ac:dyDescent="0.25">
      <c r="E486" t="str">
        <f>"202003135984"</f>
        <v>202003135984</v>
      </c>
      <c r="F486" t="str">
        <f>"TRANSPORT - J. BURKHALTER"</f>
        <v>TRANSPORT - J. BURKHALTER</v>
      </c>
      <c r="G486" s="5">
        <v>350</v>
      </c>
      <c r="H486" t="str">
        <f>"TRANSPORT - J. BURKHALTER"</f>
        <v>TRANSPORT - J. BURKHALTER</v>
      </c>
    </row>
    <row r="487" spans="1:8" x14ac:dyDescent="0.25">
      <c r="A487" t="s">
        <v>132</v>
      </c>
      <c r="B487">
        <v>131340</v>
      </c>
      <c r="C487" s="5">
        <v>497.02</v>
      </c>
      <c r="D487" s="1">
        <v>43913</v>
      </c>
      <c r="E487" t="str">
        <f>"202003125949"</f>
        <v>202003125949</v>
      </c>
      <c r="F487" t="str">
        <f>"STATEMENT#13325/PCT#4"</f>
        <v>STATEMENT#13325/PCT#4</v>
      </c>
      <c r="G487" s="5">
        <v>497.02</v>
      </c>
      <c r="H487" t="str">
        <f>"STATEMENT#13325/PCT#4"</f>
        <v>STATEMENT#13325/PCT#4</v>
      </c>
    </row>
    <row r="488" spans="1:8" x14ac:dyDescent="0.25">
      <c r="A488" t="s">
        <v>133</v>
      </c>
      <c r="B488">
        <v>131078</v>
      </c>
      <c r="C488" s="5">
        <v>1152.08</v>
      </c>
      <c r="D488" s="1">
        <v>43895</v>
      </c>
      <c r="E488" t="str">
        <f>"202003055741"</f>
        <v>202003055741</v>
      </c>
      <c r="F488" t="str">
        <f>"ACCT#007-0008410-002/02292020"</f>
        <v>ACCT#007-0008410-002/02292020</v>
      </c>
      <c r="G488" s="5">
        <v>235.34</v>
      </c>
      <c r="H488" t="str">
        <f>"ACCT#007-0008410-002/02292020"</f>
        <v>ACCT#007-0008410-002/02292020</v>
      </c>
    </row>
    <row r="489" spans="1:8" x14ac:dyDescent="0.25">
      <c r="E489" t="str">
        <f>"202003055742"</f>
        <v>202003055742</v>
      </c>
      <c r="F489" t="str">
        <f>"ACCT#007-0011501-000/02292020"</f>
        <v>ACCT#007-0011501-000/02292020</v>
      </c>
      <c r="G489" s="5">
        <v>164.8</v>
      </c>
      <c r="H489" t="str">
        <f>"ACCT#007-0011501-000/02292020"</f>
        <v>ACCT#007-0011501-000/02292020</v>
      </c>
    </row>
    <row r="490" spans="1:8" x14ac:dyDescent="0.25">
      <c r="E490" t="str">
        <f>"202003055743"</f>
        <v>202003055743</v>
      </c>
      <c r="F490" t="str">
        <f>"ACCT#007-0011510-000/02292020"</f>
        <v>ACCT#007-0011510-000/02292020</v>
      </c>
      <c r="G490" s="5">
        <v>240.58</v>
      </c>
      <c r="H490" t="str">
        <f>"ACCT#007-0011510-000/02292020"</f>
        <v>ACCT#007-0011510-000/02292020</v>
      </c>
    </row>
    <row r="491" spans="1:8" x14ac:dyDescent="0.25">
      <c r="E491" t="str">
        <f>"202003055744"</f>
        <v>202003055744</v>
      </c>
      <c r="F491" t="str">
        <f>"ACCT#007-001150-000/02292020"</f>
        <v>ACCT#007-001150-000/02292020</v>
      </c>
      <c r="G491" s="5">
        <v>98.12</v>
      </c>
      <c r="H491" t="str">
        <f>"ACCT#007-001150-000/02292020"</f>
        <v>ACCT#007-001150-000/02292020</v>
      </c>
    </row>
    <row r="492" spans="1:8" x14ac:dyDescent="0.25">
      <c r="E492" t="str">
        <f>"202003055745"</f>
        <v>202003055745</v>
      </c>
      <c r="F492" t="str">
        <f>"ACCT#007-0011534-001/02292020"</f>
        <v>ACCT#007-0011534-001/02292020</v>
      </c>
      <c r="G492" s="5">
        <v>169.3</v>
      </c>
      <c r="H492" t="str">
        <f>"ACCT#007-0011534-001/02292020"</f>
        <v>ACCT#007-0011534-001/02292020</v>
      </c>
    </row>
    <row r="493" spans="1:8" x14ac:dyDescent="0.25">
      <c r="E493" t="str">
        <f>"202003055746"</f>
        <v>202003055746</v>
      </c>
      <c r="F493" t="str">
        <f>"ACCT#007-0011535-000/02292020"</f>
        <v>ACCT#007-0011535-000/02292020</v>
      </c>
      <c r="G493" s="5">
        <v>112.62</v>
      </c>
      <c r="H493" t="str">
        <f>"ACCT#007-0011535-000/02292020"</f>
        <v>ACCT#007-0011535-000/02292020</v>
      </c>
    </row>
    <row r="494" spans="1:8" x14ac:dyDescent="0.25">
      <c r="E494" t="str">
        <f>"202003055747"</f>
        <v>202003055747</v>
      </c>
      <c r="F494" t="str">
        <f>"ACCT#007-0011544-001/02292020"</f>
        <v>ACCT#007-0011544-001/02292020</v>
      </c>
      <c r="G494" s="5">
        <v>131.32</v>
      </c>
      <c r="H494" t="str">
        <f>"ACCT#007-0011544-001/02292020"</f>
        <v>ACCT#007-0011544-001/02292020</v>
      </c>
    </row>
    <row r="495" spans="1:8" x14ac:dyDescent="0.25">
      <c r="A495" t="s">
        <v>134</v>
      </c>
      <c r="B495">
        <v>131140</v>
      </c>
      <c r="C495" s="5">
        <v>833.25</v>
      </c>
      <c r="D495" s="1">
        <v>43899</v>
      </c>
      <c r="E495" t="str">
        <f>"145-36023-01/02/03"</f>
        <v>145-36023-01/02/03</v>
      </c>
      <c r="F495" t="str">
        <f>"REPLACEMENT LIGHTS"</f>
        <v>REPLACEMENT LIGHTS</v>
      </c>
      <c r="G495" s="5">
        <v>833.25</v>
      </c>
      <c r="H495" t="str">
        <f>"L15T848GC850DX2"</f>
        <v>L15T848GC850DX2</v>
      </c>
    </row>
    <row r="496" spans="1:8" x14ac:dyDescent="0.25">
      <c r="E496" t="str">
        <f>""</f>
        <v/>
      </c>
      <c r="F496" t="str">
        <f>""</f>
        <v/>
      </c>
      <c r="H496" t="str">
        <f>"KTSOCKETT8UT4W"</f>
        <v>KTSOCKETT8UT4W</v>
      </c>
    </row>
    <row r="497" spans="1:8" x14ac:dyDescent="0.25">
      <c r="E497" t="str">
        <f>""</f>
        <v/>
      </c>
      <c r="F497" t="str">
        <f>""</f>
        <v/>
      </c>
      <c r="H497" t="str">
        <f>"KTLED7T824GC840D"</f>
        <v>KTLED7T824GC840D</v>
      </c>
    </row>
    <row r="498" spans="1:8" x14ac:dyDescent="0.25">
      <c r="A498" t="s">
        <v>135</v>
      </c>
      <c r="B498">
        <v>131142</v>
      </c>
      <c r="C498" s="5">
        <v>580.99</v>
      </c>
      <c r="D498" s="1">
        <v>43899</v>
      </c>
      <c r="E498" t="str">
        <f>"1556722"</f>
        <v>1556722</v>
      </c>
      <c r="F498" t="str">
        <f>"ORDER 1556722"</f>
        <v>ORDER 1556722</v>
      </c>
      <c r="G498" s="5">
        <v>580.99</v>
      </c>
      <c r="H498" t="str">
        <f>"ORDER 1556722"</f>
        <v>ORDER 1556722</v>
      </c>
    </row>
    <row r="499" spans="1:8" x14ac:dyDescent="0.25">
      <c r="A499" t="s">
        <v>136</v>
      </c>
      <c r="B499">
        <v>131341</v>
      </c>
      <c r="C499" s="5">
        <v>6177.99</v>
      </c>
      <c r="D499" s="1">
        <v>43913</v>
      </c>
      <c r="E499" t="str">
        <f>"93789404"</f>
        <v>93789404</v>
      </c>
      <c r="F499" t="str">
        <f>"ArcGIS"</f>
        <v>ArcGIS</v>
      </c>
      <c r="G499" s="5">
        <v>6177.99</v>
      </c>
      <c r="H499" t="str">
        <f>"88925"</f>
        <v>88925</v>
      </c>
    </row>
    <row r="500" spans="1:8" x14ac:dyDescent="0.25">
      <c r="A500" t="s">
        <v>137</v>
      </c>
      <c r="B500">
        <v>131342</v>
      </c>
      <c r="C500" s="5">
        <v>4820.93</v>
      </c>
      <c r="D500" s="1">
        <v>43913</v>
      </c>
      <c r="E500" t="str">
        <f>"9402213644"</f>
        <v>9402213644</v>
      </c>
      <c r="F500" t="str">
        <f>"ACCT#912922/PCT#1"</f>
        <v>ACCT#912922/PCT#1</v>
      </c>
      <c r="G500" s="5">
        <v>4820.93</v>
      </c>
      <c r="H500" t="str">
        <f>"ACCT#912922/PCT#1"</f>
        <v>ACCT#912922/PCT#1</v>
      </c>
    </row>
    <row r="501" spans="1:8" x14ac:dyDescent="0.25">
      <c r="A501" t="s">
        <v>138</v>
      </c>
      <c r="B501">
        <v>2302</v>
      </c>
      <c r="C501" s="5">
        <v>11980.56</v>
      </c>
      <c r="D501" s="1">
        <v>43900</v>
      </c>
      <c r="E501" t="str">
        <f>"202002275538"</f>
        <v>202002275538</v>
      </c>
      <c r="F501" t="str">
        <f>"GRANT REIMBURSEMENT"</f>
        <v>GRANT REIMBURSEMENT</v>
      </c>
      <c r="G501" s="5">
        <v>11980.56</v>
      </c>
      <c r="H501" t="str">
        <f>"GRANT REIMBURSEMENT"</f>
        <v>GRANT REIMBURSEMENT</v>
      </c>
    </row>
    <row r="502" spans="1:8" x14ac:dyDescent="0.25">
      <c r="A502" t="s">
        <v>139</v>
      </c>
      <c r="B502">
        <v>131144</v>
      </c>
      <c r="C502" s="5">
        <v>70.33</v>
      </c>
      <c r="D502" s="1">
        <v>43899</v>
      </c>
      <c r="E502" t="str">
        <f>"6-933-66875"</f>
        <v>6-933-66875</v>
      </c>
      <c r="F502" t="str">
        <f>"ACCT#1230-5243-9/TAX OFFICE"</f>
        <v>ACCT#1230-5243-9/TAX OFFICE</v>
      </c>
      <c r="G502" s="5">
        <v>70.33</v>
      </c>
      <c r="H502" t="str">
        <f>"ACCT#1230-5243-9/TAX OFFICE"</f>
        <v>ACCT#1230-5243-9/TAX OFFICE</v>
      </c>
    </row>
    <row r="503" spans="1:8" x14ac:dyDescent="0.25">
      <c r="A503" t="s">
        <v>140</v>
      </c>
      <c r="B503">
        <v>131145</v>
      </c>
      <c r="C503" s="5">
        <v>575.58000000000004</v>
      </c>
      <c r="D503" s="1">
        <v>43899</v>
      </c>
      <c r="E503" t="str">
        <f>"46248823"</f>
        <v>46248823</v>
      </c>
      <c r="F503" t="str">
        <f>"ACCT#80975/PCT#1"</f>
        <v>ACCT#80975/PCT#1</v>
      </c>
      <c r="G503" s="5">
        <v>575.58000000000004</v>
      </c>
      <c r="H503" t="str">
        <f>"ACCT#80975/PCT#1"</f>
        <v>ACCT#80975/PCT#1</v>
      </c>
    </row>
    <row r="504" spans="1:8" x14ac:dyDescent="0.25">
      <c r="A504" t="s">
        <v>140</v>
      </c>
      <c r="B504">
        <v>131343</v>
      </c>
      <c r="C504" s="5">
        <v>296.45</v>
      </c>
      <c r="D504" s="1">
        <v>43913</v>
      </c>
      <c r="E504" t="str">
        <f>"47603259"</f>
        <v>47603259</v>
      </c>
      <c r="F504" t="str">
        <f>"ACCT#80975-001/PCT#2"</f>
        <v>ACCT#80975-001/PCT#2</v>
      </c>
      <c r="G504" s="5">
        <v>296.45</v>
      </c>
      <c r="H504" t="str">
        <f>"ACCT#80975-001/PCT#2"</f>
        <v>ACCT#80975-001/PCT#2</v>
      </c>
    </row>
    <row r="505" spans="1:8" x14ac:dyDescent="0.25">
      <c r="A505" t="s">
        <v>141</v>
      </c>
      <c r="B505">
        <v>131344</v>
      </c>
      <c r="C505" s="5">
        <v>50</v>
      </c>
      <c r="D505" s="1">
        <v>43913</v>
      </c>
      <c r="E505" t="s">
        <v>142</v>
      </c>
      <c r="F505" t="str">
        <f>"RESTITUTION - D. CORKILL"</f>
        <v>RESTITUTION - D. CORKILL</v>
      </c>
      <c r="G505" s="5">
        <v>50</v>
      </c>
      <c r="H505" t="str">
        <f>"RESTITUTION - D. CORKILL"</f>
        <v>RESTITUTION - D. CORKILL</v>
      </c>
    </row>
    <row r="506" spans="1:8" x14ac:dyDescent="0.25">
      <c r="A506" t="s">
        <v>143</v>
      </c>
      <c r="B506">
        <v>2303</v>
      </c>
      <c r="C506" s="5">
        <v>500</v>
      </c>
      <c r="D506" s="1">
        <v>43900</v>
      </c>
      <c r="E506" t="str">
        <f>"202003035633"</f>
        <v>202003035633</v>
      </c>
      <c r="F506" t="str">
        <f>"56 505"</f>
        <v>56 505</v>
      </c>
      <c r="G506" s="5">
        <v>250</v>
      </c>
      <c r="H506" t="str">
        <f>"56 505"</f>
        <v>56 505</v>
      </c>
    </row>
    <row r="507" spans="1:8" x14ac:dyDescent="0.25">
      <c r="E507" t="str">
        <f>"202003035634"</f>
        <v>202003035634</v>
      </c>
      <c r="F507" t="str">
        <f>"57 286"</f>
        <v>57 286</v>
      </c>
      <c r="G507" s="5">
        <v>250</v>
      </c>
      <c r="H507" t="str">
        <f>"57 286"</f>
        <v>57 286</v>
      </c>
    </row>
    <row r="508" spans="1:8" x14ac:dyDescent="0.25">
      <c r="A508" t="s">
        <v>144</v>
      </c>
      <c r="B508">
        <v>2294</v>
      </c>
      <c r="C508" s="5">
        <v>563.12</v>
      </c>
      <c r="D508" s="1">
        <v>43900</v>
      </c>
      <c r="E508" t="str">
        <f>"202002255470"</f>
        <v>202002255470</v>
      </c>
      <c r="F508" t="str">
        <f>"TRAVEL REIMBURSEMENT"</f>
        <v>TRAVEL REIMBURSEMENT</v>
      </c>
      <c r="G508" s="5">
        <v>47.64</v>
      </c>
      <c r="H508" t="str">
        <f>"TRAVEL REIMBURSEMENT"</f>
        <v>TRAVEL REIMBURSEMENT</v>
      </c>
    </row>
    <row r="509" spans="1:8" x14ac:dyDescent="0.25">
      <c r="E509" t="str">
        <f>"202003025568"</f>
        <v>202003025568</v>
      </c>
      <c r="F509" t="str">
        <f>"TRAVEL ADVANCE REQ-PER DIEM"</f>
        <v>TRAVEL ADVANCE REQ-PER DIEM</v>
      </c>
      <c r="G509" s="5">
        <v>165</v>
      </c>
      <c r="H509" t="str">
        <f>"TRAVEL ADVANCE REQ-PER DIEM"</f>
        <v>TRAVEL ADVANCE REQ-PER DIEM</v>
      </c>
    </row>
    <row r="510" spans="1:8" x14ac:dyDescent="0.25">
      <c r="E510" t="str">
        <f>"202003025569"</f>
        <v>202003025569</v>
      </c>
      <c r="F510" t="str">
        <f>"TRAVEL ADVANCE REQ-PER DIEM"</f>
        <v>TRAVEL ADVANCE REQ-PER DIEM</v>
      </c>
      <c r="G510" s="5">
        <v>90</v>
      </c>
      <c r="H510" t="str">
        <f>"TRAVEL ADVANCE REQ-PER DIEM"</f>
        <v>TRAVEL ADVANCE REQ-PER DIEM</v>
      </c>
    </row>
    <row r="511" spans="1:8" x14ac:dyDescent="0.25">
      <c r="E511" t="str">
        <f>"202003025570"</f>
        <v>202003025570</v>
      </c>
      <c r="F511" t="str">
        <f>"MILEAGE REIMBURSEMENT"</f>
        <v>MILEAGE REIMBURSEMENT</v>
      </c>
      <c r="G511" s="5">
        <v>260.48</v>
      </c>
      <c r="H511" t="str">
        <f>"MILEAGE REIMBURSEMENT"</f>
        <v>MILEAGE REIMBURSEMENT</v>
      </c>
    </row>
    <row r="512" spans="1:8" x14ac:dyDescent="0.25">
      <c r="A512" t="s">
        <v>144</v>
      </c>
      <c r="B512">
        <v>2373</v>
      </c>
      <c r="C512" s="5">
        <v>117</v>
      </c>
      <c r="D512" s="1">
        <v>43914</v>
      </c>
      <c r="E512" t="str">
        <f>"202003176004"</f>
        <v>202003176004</v>
      </c>
      <c r="F512" t="str">
        <f>"RODEO AUSTIN-CANCELLED"</f>
        <v>RODEO AUSTIN-CANCELLED</v>
      </c>
      <c r="G512" s="5">
        <v>-90</v>
      </c>
      <c r="H512" t="str">
        <f>"RODEO AUSTIN-CANCELLED"</f>
        <v>RODEO AUSTIN-CANCELLED</v>
      </c>
    </row>
    <row r="513" spans="1:8" x14ac:dyDescent="0.25">
      <c r="E513" t="str">
        <f>"202003176005"</f>
        <v>202003176005</v>
      </c>
      <c r="F513" t="str">
        <f>"MILEAGE REIMBURSEMENT"</f>
        <v>MILEAGE REIMBURSEMENT</v>
      </c>
      <c r="G513" s="5">
        <v>207</v>
      </c>
      <c r="H513" t="str">
        <f>"MILEAGE REIMBURSEMENT"</f>
        <v>MILEAGE REIMBURSEMENT</v>
      </c>
    </row>
    <row r="514" spans="1:8" x14ac:dyDescent="0.25">
      <c r="A514" t="s">
        <v>145</v>
      </c>
      <c r="B514">
        <v>2297</v>
      </c>
      <c r="C514" s="5">
        <v>1360.1</v>
      </c>
      <c r="D514" s="1">
        <v>43900</v>
      </c>
      <c r="E514" t="str">
        <f>"34807AP"</f>
        <v>34807AP</v>
      </c>
      <c r="F514" t="str">
        <f t="shared" ref="F514:F519" si="13">"ACCT#3325/PCT#2"</f>
        <v>ACCT#3325/PCT#2</v>
      </c>
      <c r="G514" s="5">
        <v>58.8</v>
      </c>
      <c r="H514" t="str">
        <f t="shared" ref="H514:H519" si="14">"ACCT#3325/PCT#2"</f>
        <v>ACCT#3325/PCT#2</v>
      </c>
    </row>
    <row r="515" spans="1:8" x14ac:dyDescent="0.25">
      <c r="E515" t="str">
        <f>"35224AP"</f>
        <v>35224AP</v>
      </c>
      <c r="F515" t="str">
        <f t="shared" si="13"/>
        <v>ACCT#3325/PCT#2</v>
      </c>
      <c r="G515" s="5">
        <v>339.27</v>
      </c>
      <c r="H515" t="str">
        <f t="shared" si="14"/>
        <v>ACCT#3325/PCT#2</v>
      </c>
    </row>
    <row r="516" spans="1:8" x14ac:dyDescent="0.25">
      <c r="E516" t="str">
        <f>"35236AP"</f>
        <v>35236AP</v>
      </c>
      <c r="F516" t="str">
        <f t="shared" si="13"/>
        <v>ACCT#3325/PCT#2</v>
      </c>
      <c r="G516" s="5">
        <v>206.4</v>
      </c>
      <c r="H516" t="str">
        <f t="shared" si="14"/>
        <v>ACCT#3325/PCT#2</v>
      </c>
    </row>
    <row r="517" spans="1:8" x14ac:dyDescent="0.25">
      <c r="E517" t="str">
        <f>"35270AP"</f>
        <v>35270AP</v>
      </c>
      <c r="F517" t="str">
        <f t="shared" si="13"/>
        <v>ACCT#3325/PCT#2</v>
      </c>
      <c r="G517" s="5">
        <v>358.17</v>
      </c>
      <c r="H517" t="str">
        <f t="shared" si="14"/>
        <v>ACCT#3325/PCT#2</v>
      </c>
    </row>
    <row r="518" spans="1:8" x14ac:dyDescent="0.25">
      <c r="E518" t="str">
        <f>"35439AP"</f>
        <v>35439AP</v>
      </c>
      <c r="F518" t="str">
        <f t="shared" si="13"/>
        <v>ACCT#3325/PCT#2</v>
      </c>
      <c r="G518" s="5">
        <v>397.46</v>
      </c>
      <c r="H518" t="str">
        <f t="shared" si="14"/>
        <v>ACCT#3325/PCT#2</v>
      </c>
    </row>
    <row r="519" spans="1:8" x14ac:dyDescent="0.25">
      <c r="A519" t="s">
        <v>145</v>
      </c>
      <c r="B519">
        <v>2375</v>
      </c>
      <c r="C519" s="5">
        <v>891.18</v>
      </c>
      <c r="D519" s="1">
        <v>43914</v>
      </c>
      <c r="E519" t="str">
        <f>"CM35224AP"</f>
        <v>CM35224AP</v>
      </c>
      <c r="F519" t="str">
        <f t="shared" si="13"/>
        <v>ACCT#3325/PCT#2</v>
      </c>
      <c r="G519" s="5">
        <v>-339.27</v>
      </c>
      <c r="H519" t="str">
        <f t="shared" si="14"/>
        <v>ACCT#3325/PCT#2</v>
      </c>
    </row>
    <row r="520" spans="1:8" x14ac:dyDescent="0.25">
      <c r="E520" t="str">
        <f>"13599RP"</f>
        <v>13599RP</v>
      </c>
      <c r="F520" t="str">
        <f>"KIT SURGE TANK-PCT#4"</f>
        <v>KIT SURGE TANK-PCT#4</v>
      </c>
      <c r="G520" s="5">
        <v>129.93</v>
      </c>
      <c r="H520" t="str">
        <f>"KIT SURGE TANK-PCT#4"</f>
        <v>KIT SURGE TANK-PCT#4</v>
      </c>
    </row>
    <row r="521" spans="1:8" x14ac:dyDescent="0.25">
      <c r="E521" t="str">
        <f>"37056AP"</f>
        <v>37056AP</v>
      </c>
      <c r="F521" t="str">
        <f>"ACCT#3325/PCT#2"</f>
        <v>ACCT#3325/PCT#2</v>
      </c>
      <c r="G521" s="5">
        <v>88.62</v>
      </c>
      <c r="H521" t="str">
        <f>"ACCT#3325/PCT#2"</f>
        <v>ACCT#3325/PCT#2</v>
      </c>
    </row>
    <row r="522" spans="1:8" x14ac:dyDescent="0.25">
      <c r="E522" t="str">
        <f>"37059AP"</f>
        <v>37059AP</v>
      </c>
      <c r="F522" t="str">
        <f>"ACCT#3326/PRES. PROT VALVE/P4"</f>
        <v>ACCT#3326/PRES. PROT VALVE/P4</v>
      </c>
      <c r="G522" s="5">
        <v>77.25</v>
      </c>
      <c r="H522" t="str">
        <f>"ACCT#3326/PRES. PROT VALVE/P4"</f>
        <v>ACCT#3326/PRES. PROT VALVE/P4</v>
      </c>
    </row>
    <row r="523" spans="1:8" x14ac:dyDescent="0.25">
      <c r="E523" t="str">
        <f>"37228AP"</f>
        <v>37228AP</v>
      </c>
      <c r="F523" t="str">
        <f>"ACCT#3325/PCT#2"</f>
        <v>ACCT#3325/PCT#2</v>
      </c>
      <c r="G523" s="5">
        <v>832.03</v>
      </c>
      <c r="H523" t="str">
        <f>"ACCT#3325/PCT#2"</f>
        <v>ACCT#3325/PCT#2</v>
      </c>
    </row>
    <row r="524" spans="1:8" x14ac:dyDescent="0.25">
      <c r="E524" t="str">
        <f>"37272AP"</f>
        <v>37272AP</v>
      </c>
      <c r="F524" t="str">
        <f>"ACCT#3326PCT#4"</f>
        <v>ACCT#3326PCT#4</v>
      </c>
      <c r="G524" s="5">
        <v>102.62</v>
      </c>
      <c r="H524" t="str">
        <f>"ACCT#3326PCT#4"</f>
        <v>ACCT#3326PCT#4</v>
      </c>
    </row>
    <row r="525" spans="1:8" x14ac:dyDescent="0.25">
      <c r="A525" t="s">
        <v>147</v>
      </c>
      <c r="B525">
        <v>2304</v>
      </c>
      <c r="C525" s="5">
        <v>561.19000000000005</v>
      </c>
      <c r="D525" s="1">
        <v>43900</v>
      </c>
      <c r="E525" t="str">
        <f>"111118"</f>
        <v>111118</v>
      </c>
      <c r="F525" t="str">
        <f>"REGULAR/WINDOW ENV/JP#1"</f>
        <v>REGULAR/WINDOW ENV/JP#1</v>
      </c>
      <c r="G525" s="5">
        <v>520.23</v>
      </c>
      <c r="H525" t="str">
        <f>"REGULAR/WINDOW ENV/JP#1"</f>
        <v>REGULAR/WINDOW ENV/JP#1</v>
      </c>
    </row>
    <row r="526" spans="1:8" x14ac:dyDescent="0.25">
      <c r="E526" t="str">
        <f>"111155"</f>
        <v>111155</v>
      </c>
      <c r="F526" t="str">
        <f>"INV GC 111155"</f>
        <v>INV GC 111155</v>
      </c>
      <c r="G526" s="5">
        <v>40.96</v>
      </c>
      <c r="H526" t="str">
        <f>"INV GC 111155"</f>
        <v>INV GC 111155</v>
      </c>
    </row>
    <row r="527" spans="1:8" x14ac:dyDescent="0.25">
      <c r="A527" t="s">
        <v>148</v>
      </c>
      <c r="B527">
        <v>131146</v>
      </c>
      <c r="C527" s="5">
        <v>1976.45</v>
      </c>
      <c r="D527" s="1">
        <v>43899</v>
      </c>
      <c r="E527" t="str">
        <f>"014414720 01470544"</f>
        <v>014414720 01470544</v>
      </c>
      <c r="F527" t="str">
        <f>"INV 014414720/014705448"</f>
        <v>INV 014414720/014705448</v>
      </c>
      <c r="G527" s="5">
        <v>18.95</v>
      </c>
      <c r="H527" t="str">
        <f>"INV 014414720"</f>
        <v>INV 014414720</v>
      </c>
    </row>
    <row r="528" spans="1:8" x14ac:dyDescent="0.25">
      <c r="E528" t="str">
        <f>""</f>
        <v/>
      </c>
      <c r="F528" t="str">
        <f>""</f>
        <v/>
      </c>
      <c r="H528" t="str">
        <f>"INV 014705448"</f>
        <v>INV 014705448</v>
      </c>
    </row>
    <row r="529" spans="1:8" x14ac:dyDescent="0.25">
      <c r="E529" t="str">
        <f>"014985053"</f>
        <v>014985053</v>
      </c>
      <c r="F529" t="str">
        <f>"INV 014985053"</f>
        <v>INV 014985053</v>
      </c>
      <c r="G529" s="5">
        <v>1668</v>
      </c>
      <c r="H529" t="str">
        <f>"INV 014985053"</f>
        <v>INV 014985053</v>
      </c>
    </row>
    <row r="530" spans="1:8" x14ac:dyDescent="0.25">
      <c r="E530" t="str">
        <f>"015089569"</f>
        <v>015089569</v>
      </c>
      <c r="F530" t="str">
        <f>"INV 015089569"</f>
        <v>INV 015089569</v>
      </c>
      <c r="G530" s="5">
        <v>96.5</v>
      </c>
      <c r="H530" t="str">
        <f>"INV 015089569"</f>
        <v>INV 015089569</v>
      </c>
    </row>
    <row r="531" spans="1:8" x14ac:dyDescent="0.25">
      <c r="E531" t="str">
        <f>"015112729"</f>
        <v>015112729</v>
      </c>
      <c r="F531" t="str">
        <f>"INV 015112729"</f>
        <v>INV 015112729</v>
      </c>
      <c r="G531" s="5">
        <v>193</v>
      </c>
      <c r="H531" t="str">
        <f>"INV 015112729"</f>
        <v>INV 015112729</v>
      </c>
    </row>
    <row r="532" spans="1:8" x14ac:dyDescent="0.25">
      <c r="A532" t="s">
        <v>148</v>
      </c>
      <c r="B532">
        <v>131346</v>
      </c>
      <c r="C532" s="5">
        <v>1404.2</v>
      </c>
      <c r="D532" s="1">
        <v>43913</v>
      </c>
      <c r="E532" t="str">
        <f>"014791445 01516323"</f>
        <v>014791445 01516323</v>
      </c>
      <c r="F532" t="str">
        <f>"INV 014791445/015163239"</f>
        <v>INV 014791445/015163239</v>
      </c>
      <c r="G532" s="5">
        <v>173</v>
      </c>
      <c r="H532" t="str">
        <f>"INV 014791445"</f>
        <v>INV 014791445</v>
      </c>
    </row>
    <row r="533" spans="1:8" x14ac:dyDescent="0.25">
      <c r="E533" t="str">
        <f>""</f>
        <v/>
      </c>
      <c r="F533" t="str">
        <f>""</f>
        <v/>
      </c>
      <c r="H533" t="str">
        <f>"INV 015163239"</f>
        <v>INV 015163239</v>
      </c>
    </row>
    <row r="534" spans="1:8" x14ac:dyDescent="0.25">
      <c r="E534" t="str">
        <f>"014985083 01516324"</f>
        <v>014985083 01516324</v>
      </c>
      <c r="F534" t="str">
        <f>"INV 014985083/015163245"</f>
        <v>INV 014985083/015163245</v>
      </c>
      <c r="G534" s="5">
        <v>96.5</v>
      </c>
      <c r="H534" t="str">
        <f>"INV 014985083"</f>
        <v>INV 014985083</v>
      </c>
    </row>
    <row r="535" spans="1:8" x14ac:dyDescent="0.25">
      <c r="E535" t="str">
        <f>""</f>
        <v/>
      </c>
      <c r="F535" t="str">
        <f>""</f>
        <v/>
      </c>
      <c r="H535" t="str">
        <f>"INV 015163245"</f>
        <v>INV 015163245</v>
      </c>
    </row>
    <row r="536" spans="1:8" x14ac:dyDescent="0.25">
      <c r="E536" t="str">
        <f>"202003165997"</f>
        <v>202003165997</v>
      </c>
      <c r="F536" t="str">
        <f>"INV 015163678"</f>
        <v>INV 015163678</v>
      </c>
      <c r="G536" s="5">
        <v>404.8</v>
      </c>
      <c r="H536" t="str">
        <f>"INV 015163678"</f>
        <v>INV 015163678</v>
      </c>
    </row>
    <row r="537" spans="1:8" x14ac:dyDescent="0.25">
      <c r="E537" t="str">
        <f>""</f>
        <v/>
      </c>
      <c r="F537" t="str">
        <f>""</f>
        <v/>
      </c>
      <c r="H537" t="str">
        <f>"INV 015163661"</f>
        <v>INV 015163661</v>
      </c>
    </row>
    <row r="538" spans="1:8" x14ac:dyDescent="0.25">
      <c r="E538" t="str">
        <f>""</f>
        <v/>
      </c>
      <c r="F538" t="str">
        <f>""</f>
        <v/>
      </c>
      <c r="H538" t="str">
        <f>"INV 015163657"</f>
        <v>INV 015163657</v>
      </c>
    </row>
    <row r="539" spans="1:8" x14ac:dyDescent="0.25">
      <c r="E539" t="str">
        <f>""</f>
        <v/>
      </c>
      <c r="F539" t="str">
        <f>""</f>
        <v/>
      </c>
      <c r="H539" t="str">
        <f>"INV 015163648"</f>
        <v>INV 015163648</v>
      </c>
    </row>
    <row r="540" spans="1:8" x14ac:dyDescent="0.25">
      <c r="E540" t="str">
        <f>"202003176015"</f>
        <v>202003176015</v>
      </c>
      <c r="F540" t="str">
        <f>"INV 014610916/014791514/."</f>
        <v>INV 014610916/014791514/.</v>
      </c>
      <c r="G540" s="5">
        <v>364.95</v>
      </c>
      <c r="H540" t="str">
        <f>"INV 014610916"</f>
        <v>INV 014610916</v>
      </c>
    </row>
    <row r="541" spans="1:8" x14ac:dyDescent="0.25">
      <c r="E541" t="str">
        <f>""</f>
        <v/>
      </c>
      <c r="F541" t="str">
        <f>""</f>
        <v/>
      </c>
      <c r="H541" t="str">
        <f>"INV 014791514"</f>
        <v>INV 014791514</v>
      </c>
    </row>
    <row r="542" spans="1:8" x14ac:dyDescent="0.25">
      <c r="E542" t="str">
        <f>""</f>
        <v/>
      </c>
      <c r="F542" t="str">
        <f>""</f>
        <v/>
      </c>
      <c r="H542" t="str">
        <f>"INV 015112649"</f>
        <v>INV 015112649</v>
      </c>
    </row>
    <row r="543" spans="1:8" x14ac:dyDescent="0.25">
      <c r="E543" t="str">
        <f>""</f>
        <v/>
      </c>
      <c r="F543" t="str">
        <f>""</f>
        <v/>
      </c>
      <c r="H543" t="str">
        <f>"INV 014791444"</f>
        <v>INV 014791444</v>
      </c>
    </row>
    <row r="544" spans="1:8" x14ac:dyDescent="0.25">
      <c r="E544" t="str">
        <f>""</f>
        <v/>
      </c>
      <c r="F544" t="str">
        <f>""</f>
        <v/>
      </c>
      <c r="H544" t="str">
        <f>"INV 015163243"</f>
        <v>INV 015163243</v>
      </c>
    </row>
    <row r="545" spans="1:8" x14ac:dyDescent="0.25">
      <c r="E545" t="str">
        <f>"202003176016"</f>
        <v>202003176016</v>
      </c>
      <c r="F545" t="str">
        <f>"INV 014791510/015112648/."</f>
        <v>INV 014791510/015112648/.</v>
      </c>
      <c r="G545" s="5">
        <v>364.95</v>
      </c>
      <c r="H545" t="str">
        <f>"INV 014791510"</f>
        <v>INV 014791510</v>
      </c>
    </row>
    <row r="546" spans="1:8" x14ac:dyDescent="0.25">
      <c r="E546" t="str">
        <f>""</f>
        <v/>
      </c>
      <c r="F546" t="str">
        <f>""</f>
        <v/>
      </c>
      <c r="H546" t="str">
        <f>"INV 015112648"</f>
        <v>INV 015112648</v>
      </c>
    </row>
    <row r="547" spans="1:8" x14ac:dyDescent="0.25">
      <c r="E547" t="str">
        <f>""</f>
        <v/>
      </c>
      <c r="F547" t="str">
        <f>""</f>
        <v/>
      </c>
      <c r="H547" t="str">
        <f>"INV 014600858"</f>
        <v>INV 014600858</v>
      </c>
    </row>
    <row r="548" spans="1:8" x14ac:dyDescent="0.25">
      <c r="E548" t="str">
        <f>""</f>
        <v/>
      </c>
      <c r="F548" t="str">
        <f>""</f>
        <v/>
      </c>
      <c r="H548" t="str">
        <f>"INV 014791443"</f>
        <v>INV 014791443</v>
      </c>
    </row>
    <row r="549" spans="1:8" x14ac:dyDescent="0.25">
      <c r="E549" t="str">
        <f>""</f>
        <v/>
      </c>
      <c r="F549" t="str">
        <f>""</f>
        <v/>
      </c>
      <c r="H549" t="str">
        <f>"INV 015163244"</f>
        <v>INV 015163244</v>
      </c>
    </row>
    <row r="550" spans="1:8" x14ac:dyDescent="0.25">
      <c r="A550" t="s">
        <v>149</v>
      </c>
      <c r="B550">
        <v>131147</v>
      </c>
      <c r="C550" s="5">
        <v>1864.95</v>
      </c>
      <c r="D550" s="1">
        <v>43899</v>
      </c>
      <c r="E550" t="str">
        <f>"369679"</f>
        <v>369679</v>
      </c>
      <c r="F550" t="str">
        <f>"INV 369679"</f>
        <v>INV 369679</v>
      </c>
      <c r="G550" s="5">
        <v>1864.95</v>
      </c>
      <c r="H550" t="str">
        <f>"INV 369679"</f>
        <v>INV 369679</v>
      </c>
    </row>
    <row r="551" spans="1:8" x14ac:dyDescent="0.25">
      <c r="A551" t="s">
        <v>150</v>
      </c>
      <c r="B551">
        <v>2320</v>
      </c>
      <c r="C551" s="5">
        <v>354.75</v>
      </c>
      <c r="D551" s="1">
        <v>43900</v>
      </c>
      <c r="E551" t="str">
        <f>"N63619"</f>
        <v>N63619</v>
      </c>
      <c r="F551" t="str">
        <f>"CUST#02141/PCT#1"</f>
        <v>CUST#02141/PCT#1</v>
      </c>
      <c r="G551" s="5">
        <v>354.75</v>
      </c>
      <c r="H551" t="str">
        <f>"CUST#02141/PCT#1"</f>
        <v>CUST#02141/PCT#1</v>
      </c>
    </row>
    <row r="552" spans="1:8" x14ac:dyDescent="0.25">
      <c r="A552" t="s">
        <v>151</v>
      </c>
      <c r="B552">
        <v>131148</v>
      </c>
      <c r="C552" s="5">
        <v>120</v>
      </c>
      <c r="D552" s="1">
        <v>43899</v>
      </c>
      <c r="E552" t="str">
        <f>"202002275537"</f>
        <v>202002275537</v>
      </c>
      <c r="F552" t="str">
        <f>"AD-CLEAN UP DAY"</f>
        <v>AD-CLEAN UP DAY</v>
      </c>
      <c r="G552" s="5">
        <v>120</v>
      </c>
      <c r="H552" t="str">
        <f>"AD-CLEAN UP DAY"</f>
        <v>AD-CLEAN UP DAY</v>
      </c>
    </row>
    <row r="553" spans="1:8" x14ac:dyDescent="0.25">
      <c r="A553" t="s">
        <v>152</v>
      </c>
      <c r="B553">
        <v>131149</v>
      </c>
      <c r="C553" s="5">
        <v>425</v>
      </c>
      <c r="D553" s="1">
        <v>43899</v>
      </c>
      <c r="E553" t="str">
        <f>"1132"</f>
        <v>1132</v>
      </c>
      <c r="F553" t="str">
        <f>"TRANSPORT-C. BREWER"</f>
        <v>TRANSPORT-C. BREWER</v>
      </c>
      <c r="G553" s="5">
        <v>425</v>
      </c>
      <c r="H553" t="str">
        <f>"TRANSPORT-C. BREWER"</f>
        <v>TRANSPORT-C. BREWER</v>
      </c>
    </row>
    <row r="554" spans="1:8" x14ac:dyDescent="0.25">
      <c r="A554" t="s">
        <v>152</v>
      </c>
      <c r="B554">
        <v>131347</v>
      </c>
      <c r="C554" s="5">
        <v>775</v>
      </c>
      <c r="D554" s="1">
        <v>43913</v>
      </c>
      <c r="E554" t="str">
        <f>"1099"</f>
        <v>1099</v>
      </c>
      <c r="F554" t="str">
        <f>"TRANSPORT - R. MCLAURIN JR."</f>
        <v>TRANSPORT - R. MCLAURIN JR.</v>
      </c>
      <c r="G554" s="5">
        <v>425</v>
      </c>
      <c r="H554" t="str">
        <f>"TRANSPORT - R. MCLAURIN JR."</f>
        <v>TRANSPORT - R. MCLAURIN JR.</v>
      </c>
    </row>
    <row r="555" spans="1:8" x14ac:dyDescent="0.25">
      <c r="E555" t="str">
        <f>"1131"</f>
        <v>1131</v>
      </c>
      <c r="F555" t="str">
        <f>"TRANSPORT - M.A. CLINARD"</f>
        <v>TRANSPORT - M.A. CLINARD</v>
      </c>
      <c r="G555" s="5">
        <v>350</v>
      </c>
      <c r="H555" t="str">
        <f>"TRANSPORT - M.A. CLINARD"</f>
        <v>TRANSPORT - M.A. CLINARD</v>
      </c>
    </row>
    <row r="556" spans="1:8" x14ac:dyDescent="0.25">
      <c r="A556" t="s">
        <v>153</v>
      </c>
      <c r="B556">
        <v>131348</v>
      </c>
      <c r="C556" s="5">
        <v>19.82</v>
      </c>
      <c r="D556" s="1">
        <v>43913</v>
      </c>
      <c r="E556" t="str">
        <f>"9459822343"</f>
        <v>9459822343</v>
      </c>
      <c r="F556" t="str">
        <f>"INV 9459822343"</f>
        <v>INV 9459822343</v>
      </c>
      <c r="G556" s="5">
        <v>19.82</v>
      </c>
      <c r="H556" t="str">
        <f>"INV 9459822343"</f>
        <v>INV 9459822343</v>
      </c>
    </row>
    <row r="557" spans="1:8" x14ac:dyDescent="0.25">
      <c r="A557" t="s">
        <v>154</v>
      </c>
      <c r="B557">
        <v>2379</v>
      </c>
      <c r="C557" s="5">
        <v>7936.49</v>
      </c>
      <c r="D557" s="1">
        <v>43914</v>
      </c>
      <c r="E557" t="str">
        <f>"0747350 0756270"</f>
        <v>0747350 0756270</v>
      </c>
      <c r="F557" t="str">
        <f>"INV 0747350/0756270"</f>
        <v>INV 0747350/0756270</v>
      </c>
      <c r="G557" s="5">
        <v>1059</v>
      </c>
      <c r="H557" t="str">
        <f>"INV 0747350"</f>
        <v>INV 0747350</v>
      </c>
    </row>
    <row r="558" spans="1:8" x14ac:dyDescent="0.25">
      <c r="E558" t="str">
        <f>""</f>
        <v/>
      </c>
      <c r="F558" t="str">
        <f>""</f>
        <v/>
      </c>
      <c r="H558" t="str">
        <f>"INV 0756270"</f>
        <v>INV 0756270</v>
      </c>
    </row>
    <row r="559" spans="1:8" x14ac:dyDescent="0.25">
      <c r="E559" t="str">
        <f>"0755415"</f>
        <v>0755415</v>
      </c>
      <c r="F559" t="str">
        <f>"INV 0755415"</f>
        <v>INV 0755415</v>
      </c>
      <c r="G559" s="5">
        <v>350.7</v>
      </c>
      <c r="H559" t="str">
        <f>"INV 0755415"</f>
        <v>INV 0755415</v>
      </c>
    </row>
    <row r="560" spans="1:8" x14ac:dyDescent="0.25">
      <c r="E560" t="str">
        <f>"0755936"</f>
        <v>0755936</v>
      </c>
      <c r="F560" t="str">
        <f>"INV 0755936"</f>
        <v>INV 0755936</v>
      </c>
      <c r="G560" s="5">
        <v>583.79</v>
      </c>
      <c r="H560" t="str">
        <f>"INV 0755936"</f>
        <v>INV 0755936</v>
      </c>
    </row>
    <row r="561" spans="1:8" x14ac:dyDescent="0.25">
      <c r="E561" t="str">
        <f>"0755970"</f>
        <v>0755970</v>
      </c>
      <c r="F561" t="str">
        <f>"INV 0755970"</f>
        <v>INV 0755970</v>
      </c>
      <c r="G561" s="5">
        <v>5943</v>
      </c>
      <c r="H561" t="str">
        <f>"INV 0755970"</f>
        <v>INV 0755970</v>
      </c>
    </row>
    <row r="562" spans="1:8" x14ac:dyDescent="0.25">
      <c r="A562" t="s">
        <v>155</v>
      </c>
      <c r="B562">
        <v>2392</v>
      </c>
      <c r="C562" s="5">
        <v>398</v>
      </c>
      <c r="D562" s="1">
        <v>43914</v>
      </c>
      <c r="E562" t="str">
        <f>"1819383  1823767"</f>
        <v>1819383  1823767</v>
      </c>
      <c r="F562" t="str">
        <f>"INV 1819383"</f>
        <v>INV 1819383</v>
      </c>
      <c r="G562" s="5">
        <v>398</v>
      </c>
      <c r="H562" t="str">
        <f>"INV 1819383"</f>
        <v>INV 1819383</v>
      </c>
    </row>
    <row r="563" spans="1:8" x14ac:dyDescent="0.25">
      <c r="E563" t="str">
        <f>""</f>
        <v/>
      </c>
      <c r="F563" t="str">
        <f>""</f>
        <v/>
      </c>
      <c r="H563" t="str">
        <f>"INV 1823767"</f>
        <v>INV 1823767</v>
      </c>
    </row>
    <row r="564" spans="1:8" x14ac:dyDescent="0.25">
      <c r="A564" t="s">
        <v>156</v>
      </c>
      <c r="B564">
        <v>2391</v>
      </c>
      <c r="C564" s="5">
        <v>72825.19</v>
      </c>
      <c r="D564" s="1">
        <v>43914</v>
      </c>
      <c r="E564" t="str">
        <f>"10032801"</f>
        <v>10032801</v>
      </c>
      <c r="F564" t="str">
        <f>"PROJ:033387.008/PCT#4"</f>
        <v>PROJ:033387.008/PCT#4</v>
      </c>
      <c r="G564" s="5">
        <v>15116.25</v>
      </c>
      <c r="H564" t="str">
        <f>"PROJ:033387.008/PCT#4"</f>
        <v>PROJ:033387.008/PCT#4</v>
      </c>
    </row>
    <row r="565" spans="1:8" x14ac:dyDescent="0.25">
      <c r="E565" t="str">
        <f>"10033726"</f>
        <v>10033726</v>
      </c>
      <c r="F565" t="str">
        <f>"PROJ:033387.008/PCT#4"</f>
        <v>PROJ:033387.008/PCT#4</v>
      </c>
      <c r="G565" s="5">
        <v>28441.25</v>
      </c>
      <c r="H565" t="str">
        <f>"PROJ:033387.008/PCT#4"</f>
        <v>PROJ:033387.008/PCT#4</v>
      </c>
    </row>
    <row r="566" spans="1:8" x14ac:dyDescent="0.25">
      <c r="E566" t="str">
        <f>"10034864"</f>
        <v>10034864</v>
      </c>
      <c r="F566" t="str">
        <f>"PROJ#035837.001"</f>
        <v>PROJ#035837.001</v>
      </c>
      <c r="G566" s="5">
        <v>22267.69</v>
      </c>
      <c r="H566" t="str">
        <f>"PROJ#035837.001"</f>
        <v>PROJ#035837.001</v>
      </c>
    </row>
    <row r="567" spans="1:8" x14ac:dyDescent="0.25">
      <c r="E567" t="str">
        <f>"10034876"</f>
        <v>10034876</v>
      </c>
      <c r="F567" t="str">
        <f>"PROJ:033387.008/PCT#4"</f>
        <v>PROJ:033387.008/PCT#4</v>
      </c>
      <c r="G567" s="5">
        <v>7000</v>
      </c>
      <c r="H567" t="str">
        <f>"PROJ:033387.008/PCT#4"</f>
        <v>PROJ:033387.008/PCT#4</v>
      </c>
    </row>
    <row r="568" spans="1:8" x14ac:dyDescent="0.25">
      <c r="A568" t="s">
        <v>157</v>
      </c>
      <c r="B568">
        <v>131349</v>
      </c>
      <c r="C568" s="5">
        <v>150</v>
      </c>
      <c r="D568" s="1">
        <v>43913</v>
      </c>
      <c r="E568" t="str">
        <f>"12875"</f>
        <v>12875</v>
      </c>
      <c r="F568" t="str">
        <f>"SERVICE"</f>
        <v>SERVICE</v>
      </c>
      <c r="G568" s="5">
        <v>150</v>
      </c>
      <c r="H568" t="str">
        <f>"SERVICE"</f>
        <v>SERVICE</v>
      </c>
    </row>
    <row r="569" spans="1:8" x14ac:dyDescent="0.25">
      <c r="A569" t="s">
        <v>158</v>
      </c>
      <c r="B569">
        <v>131350</v>
      </c>
      <c r="C569" s="5">
        <v>419</v>
      </c>
      <c r="D569" s="1">
        <v>43913</v>
      </c>
      <c r="E569" t="str">
        <f>"045571"</f>
        <v>045571</v>
      </c>
      <c r="F569" t="str">
        <f>"DOCKET ENVELOPES"</f>
        <v>DOCKET ENVELOPES</v>
      </c>
      <c r="G569" s="5">
        <v>419</v>
      </c>
      <c r="H569" t="str">
        <f>"DOCKET ENVELOPES"</f>
        <v>DOCKET ENVELOPES</v>
      </c>
    </row>
    <row r="570" spans="1:8" x14ac:dyDescent="0.25">
      <c r="A570" t="s">
        <v>159</v>
      </c>
      <c r="B570">
        <v>131351</v>
      </c>
      <c r="C570" s="5">
        <v>100</v>
      </c>
      <c r="D570" s="1">
        <v>43913</v>
      </c>
      <c r="E570" t="s">
        <v>160</v>
      </c>
      <c r="F570" t="str">
        <f>"RESTITUTION - M. FELTS"</f>
        <v>RESTITUTION - M. FELTS</v>
      </c>
      <c r="G570" s="5">
        <v>100</v>
      </c>
      <c r="H570" t="str">
        <f>"RESTITUTION - M. FELTS"</f>
        <v>RESTITUTION - M. FELTS</v>
      </c>
    </row>
    <row r="571" spans="1:8" x14ac:dyDescent="0.25">
      <c r="A571" t="s">
        <v>161</v>
      </c>
      <c r="B571">
        <v>131151</v>
      </c>
      <c r="C571" s="5">
        <v>215.34</v>
      </c>
      <c r="D571" s="1">
        <v>43899</v>
      </c>
      <c r="E571" t="str">
        <f>"10762959"</f>
        <v>10762959</v>
      </c>
      <c r="F571" t="str">
        <f>"CUST#3324/SUPPLIES/PCT#4"</f>
        <v>CUST#3324/SUPPLIES/PCT#4</v>
      </c>
      <c r="G571" s="5">
        <v>215.34</v>
      </c>
      <c r="H571" t="str">
        <f>"CUST#3324/SUPPLIES/PCT#4"</f>
        <v>CUST#3324/SUPPLIES/PCT#4</v>
      </c>
    </row>
    <row r="572" spans="1:8" x14ac:dyDescent="0.25">
      <c r="A572" t="s">
        <v>162</v>
      </c>
      <c r="B572">
        <v>131352</v>
      </c>
      <c r="C572" s="5">
        <v>750</v>
      </c>
      <c r="D572" s="1">
        <v>43913</v>
      </c>
      <c r="E572" t="str">
        <f>"202003176021"</f>
        <v>202003176021</v>
      </c>
      <c r="F572" t="str">
        <f>"TRAINING"</f>
        <v>TRAINING</v>
      </c>
      <c r="G572" s="5">
        <v>750</v>
      </c>
      <c r="H572" t="str">
        <f>"TRAINING"</f>
        <v>TRAINING</v>
      </c>
    </row>
    <row r="573" spans="1:8" x14ac:dyDescent="0.25">
      <c r="A573" t="s">
        <v>163</v>
      </c>
      <c r="B573">
        <v>2381</v>
      </c>
      <c r="C573" s="5">
        <v>650</v>
      </c>
      <c r="D573" s="1">
        <v>43914</v>
      </c>
      <c r="E573" t="str">
        <f>"202003165996"</f>
        <v>202003165996</v>
      </c>
      <c r="F573" t="str">
        <f>"BASCOM L HODGES JR"</f>
        <v>BASCOM L HODGES JR</v>
      </c>
      <c r="G573" s="5">
        <v>650</v>
      </c>
      <c r="H573" t="str">
        <f>""</f>
        <v/>
      </c>
    </row>
    <row r="574" spans="1:8" x14ac:dyDescent="0.25">
      <c r="A574" t="s">
        <v>164</v>
      </c>
      <c r="B574">
        <v>131152</v>
      </c>
      <c r="C574" s="5">
        <v>600</v>
      </c>
      <c r="D574" s="1">
        <v>43899</v>
      </c>
      <c r="E574" t="str">
        <f>"202003035632"</f>
        <v>202003035632</v>
      </c>
      <c r="F574" t="str">
        <f>"20-20048"</f>
        <v>20-20048</v>
      </c>
      <c r="G574" s="5">
        <v>175</v>
      </c>
      <c r="H574" t="str">
        <f>"20-20048"</f>
        <v>20-20048</v>
      </c>
    </row>
    <row r="575" spans="1:8" x14ac:dyDescent="0.25">
      <c r="E575" t="str">
        <f>"202003035679"</f>
        <v>202003035679</v>
      </c>
      <c r="F575" t="str">
        <f>"20-20054"</f>
        <v>20-20054</v>
      </c>
      <c r="G575" s="5">
        <v>175</v>
      </c>
      <c r="H575" t="str">
        <f>"20-20054"</f>
        <v>20-20054</v>
      </c>
    </row>
    <row r="576" spans="1:8" x14ac:dyDescent="0.25">
      <c r="E576" t="str">
        <f>"202003035680"</f>
        <v>202003035680</v>
      </c>
      <c r="F576" t="str">
        <f>"19-19456"</f>
        <v>19-19456</v>
      </c>
      <c r="G576" s="5">
        <v>250</v>
      </c>
      <c r="H576" t="str">
        <f>"19-19456"</f>
        <v>19-19456</v>
      </c>
    </row>
    <row r="577" spans="1:8" x14ac:dyDescent="0.25">
      <c r="A577" t="s">
        <v>164</v>
      </c>
      <c r="B577">
        <v>131353</v>
      </c>
      <c r="C577" s="5">
        <v>250</v>
      </c>
      <c r="D577" s="1">
        <v>43913</v>
      </c>
      <c r="E577" t="str">
        <f>"202003125912"</f>
        <v>202003125912</v>
      </c>
      <c r="F577" t="str">
        <f>"56 673"</f>
        <v>56 673</v>
      </c>
      <c r="G577" s="5">
        <v>250</v>
      </c>
      <c r="H577" t="str">
        <f>"56 673"</f>
        <v>56 673</v>
      </c>
    </row>
    <row r="578" spans="1:8" x14ac:dyDescent="0.25">
      <c r="A578" t="s">
        <v>165</v>
      </c>
      <c r="B578">
        <v>2305</v>
      </c>
      <c r="C578" s="5">
        <v>5029.97</v>
      </c>
      <c r="D578" s="1">
        <v>43900</v>
      </c>
      <c r="E578" t="str">
        <f>"PCMA0042442"</f>
        <v>PCMA0042442</v>
      </c>
      <c r="F578" t="str">
        <f>"CUST#0129050/PCT#1"</f>
        <v>CUST#0129050/PCT#1</v>
      </c>
      <c r="G578" s="5">
        <v>-43.14</v>
      </c>
      <c r="H578" t="str">
        <f>"CUST#0129050/PCT#1"</f>
        <v>CUST#0129050/PCT#1</v>
      </c>
    </row>
    <row r="579" spans="1:8" x14ac:dyDescent="0.25">
      <c r="E579" t="str">
        <f>"PCMA0042443"</f>
        <v>PCMA0042443</v>
      </c>
      <c r="F579" t="str">
        <f>"CUST#0129050/PCT#1"</f>
        <v>CUST#0129050/PCT#1</v>
      </c>
      <c r="G579" s="5">
        <v>-83.43</v>
      </c>
      <c r="H579" t="str">
        <f>"CUST#0129050/PCT#1"</f>
        <v>CUST#0129050/PCT#1</v>
      </c>
    </row>
    <row r="580" spans="1:8" x14ac:dyDescent="0.25">
      <c r="E580" t="str">
        <f>"PIM60018172"</f>
        <v>PIM60018172</v>
      </c>
      <c r="F580" t="str">
        <f>"CUST#0129200/PCT#4"</f>
        <v>CUST#0129200/PCT#4</v>
      </c>
      <c r="G580" s="5">
        <v>1137.1199999999999</v>
      </c>
      <c r="H580" t="str">
        <f>"CUST#0129200/PCT#4"</f>
        <v>CUST#0129200/PCT#4</v>
      </c>
    </row>
    <row r="581" spans="1:8" x14ac:dyDescent="0.25">
      <c r="E581" t="str">
        <f>"PIM60018325"</f>
        <v>PIM60018325</v>
      </c>
      <c r="F581" t="str">
        <f>"CUST#0129200/PCT#4"</f>
        <v>CUST#0129200/PCT#4</v>
      </c>
      <c r="G581" s="5">
        <v>624.78</v>
      </c>
      <c r="H581" t="str">
        <f>"CUST#0129200/PCT#4"</f>
        <v>CUST#0129200/PCT#4</v>
      </c>
    </row>
    <row r="582" spans="1:8" x14ac:dyDescent="0.25">
      <c r="E582" t="str">
        <f>"PIM60018326"</f>
        <v>PIM60018326</v>
      </c>
      <c r="F582" t="str">
        <f>"CUST#0129200/PCT#4"</f>
        <v>CUST#0129200/PCT#4</v>
      </c>
      <c r="G582" s="5">
        <v>293.43</v>
      </c>
      <c r="H582" t="str">
        <f>"CUST#0129200/PCT#4"</f>
        <v>CUST#0129200/PCT#4</v>
      </c>
    </row>
    <row r="583" spans="1:8" x14ac:dyDescent="0.25">
      <c r="E583" t="str">
        <f>"PIMA"</f>
        <v>PIMA</v>
      </c>
      <c r="F583" t="str">
        <f>"CUST#0129150/PCT#3"</f>
        <v>CUST#0129150/PCT#3</v>
      </c>
      <c r="G583" s="5">
        <v>423.35</v>
      </c>
      <c r="H583" t="str">
        <f>"CUST#0129150/PCT#3"</f>
        <v>CUST#0129150/PCT#3</v>
      </c>
    </row>
    <row r="584" spans="1:8" x14ac:dyDescent="0.25">
      <c r="E584" t="str">
        <f>"PIMA0325787"</f>
        <v>PIMA0325787</v>
      </c>
      <c r="F584" t="str">
        <f>"CUST#0129050/PCT#1"</f>
        <v>CUST#0129050/PCT#1</v>
      </c>
      <c r="G584" s="5">
        <v>320.62</v>
      </c>
      <c r="H584" t="str">
        <f>"CUST#0129050/PCT#1"</f>
        <v>CUST#0129050/PCT#1</v>
      </c>
    </row>
    <row r="585" spans="1:8" x14ac:dyDescent="0.25">
      <c r="E585" t="str">
        <f>"PIMA0325859"</f>
        <v>PIMA0325859</v>
      </c>
      <c r="F585" t="str">
        <f>"CUST#0129050/PCT#1"</f>
        <v>CUST#0129050/PCT#1</v>
      </c>
      <c r="G585" s="5">
        <v>56.17</v>
      </c>
      <c r="H585" t="str">
        <f>"CUST#0129050/PCT#1"</f>
        <v>CUST#0129050/PCT#1</v>
      </c>
    </row>
    <row r="586" spans="1:8" x14ac:dyDescent="0.25">
      <c r="E586" t="str">
        <f>"PIMA0325860"</f>
        <v>PIMA0325860</v>
      </c>
      <c r="F586" t="str">
        <f>"CUST#0129050/PCT#1"</f>
        <v>CUST#0129050/PCT#1</v>
      </c>
      <c r="G586" s="5">
        <v>27.19</v>
      </c>
      <c r="H586" t="str">
        <f>"CUST#0129050/PCT#1"</f>
        <v>CUST#0129050/PCT#1</v>
      </c>
    </row>
    <row r="587" spans="1:8" x14ac:dyDescent="0.25">
      <c r="E587" t="str">
        <f>"PIMA0326307"</f>
        <v>PIMA0326307</v>
      </c>
      <c r="F587" t="str">
        <f>"CUST#0129200/PCT#4"</f>
        <v>CUST#0129200/PCT#4</v>
      </c>
      <c r="G587" s="5">
        <v>341.78</v>
      </c>
      <c r="H587" t="str">
        <f>"CUST#0129200/PCT#4"</f>
        <v>CUST#0129200/PCT#4</v>
      </c>
    </row>
    <row r="588" spans="1:8" x14ac:dyDescent="0.25">
      <c r="E588" t="str">
        <f>"WIUS0135328"</f>
        <v>WIUS0135328</v>
      </c>
      <c r="F588" t="str">
        <f>"CUST#0129100/PCT#2"</f>
        <v>CUST#0129100/PCT#2</v>
      </c>
      <c r="G588" s="5">
        <v>1932.1</v>
      </c>
      <c r="H588" t="str">
        <f>"CUST#0129100/PCT#2"</f>
        <v>CUST#0129100/PCT#2</v>
      </c>
    </row>
    <row r="589" spans="1:8" x14ac:dyDescent="0.25">
      <c r="A589" t="s">
        <v>165</v>
      </c>
      <c r="B589">
        <v>2380</v>
      </c>
      <c r="C589" s="5">
        <v>87269.18</v>
      </c>
      <c r="D589" s="1">
        <v>43914</v>
      </c>
      <c r="E589" t="str">
        <f>"202003135965"</f>
        <v>202003135965</v>
      </c>
      <c r="F589" t="str">
        <f>"BD HOLT CO"</f>
        <v>BD HOLT CO</v>
      </c>
      <c r="G589" s="5">
        <v>82900</v>
      </c>
      <c r="H589" t="str">
        <f>"2017 CAT Roller"</f>
        <v>2017 CAT Roller</v>
      </c>
    </row>
    <row r="590" spans="1:8" x14ac:dyDescent="0.25">
      <c r="E590" t="str">
        <f>"PIM600179571"</f>
        <v>PIM600179571</v>
      </c>
      <c r="F590" t="str">
        <f>"CUST#0129200//PCT#4"</f>
        <v>CUST#0129200//PCT#4</v>
      </c>
      <c r="G590" s="5">
        <v>83.42</v>
      </c>
      <c r="H590" t="str">
        <f>"CUST#0129200//PCT#4"</f>
        <v>CUST#0129200//PCT#4</v>
      </c>
    </row>
    <row r="591" spans="1:8" x14ac:dyDescent="0.25">
      <c r="E591" t="str">
        <f>"PIM60018839"</f>
        <v>PIM60018839</v>
      </c>
      <c r="F591" t="str">
        <f>"CUST#0129050/PCT#1"</f>
        <v>CUST#0129050/PCT#1</v>
      </c>
      <c r="G591" s="5">
        <v>118.95</v>
      </c>
      <c r="H591" t="str">
        <f>"CUST#0129050/PCT#1"</f>
        <v>CUST#0129050/PCT#1</v>
      </c>
    </row>
    <row r="592" spans="1:8" x14ac:dyDescent="0.25">
      <c r="E592" t="str">
        <f>"PIM60018840"</f>
        <v>PIM60018840</v>
      </c>
      <c r="F592" t="str">
        <f>"CUST#0129050/PCT#1"</f>
        <v>CUST#0129050/PCT#1</v>
      </c>
      <c r="G592" s="5">
        <v>278.02</v>
      </c>
      <c r="H592" t="str">
        <f>"CUST#0129050/PCT#1"</f>
        <v>CUST#0129050/PCT#1</v>
      </c>
    </row>
    <row r="593" spans="1:8" x14ac:dyDescent="0.25">
      <c r="E593" t="str">
        <f>"PIM60018841"</f>
        <v>PIM60018841</v>
      </c>
      <c r="F593" t="str">
        <f t="shared" ref="F593:F599" si="15">"CUST#0129200/PCT#4"</f>
        <v>CUST#0129200/PCT#4</v>
      </c>
      <c r="G593" s="5">
        <v>66.709999999999994</v>
      </c>
      <c r="H593" t="str">
        <f t="shared" ref="H593:H599" si="16">"CUST#0129200/PCT#4"</f>
        <v>CUST#0129200/PCT#4</v>
      </c>
    </row>
    <row r="594" spans="1:8" x14ac:dyDescent="0.25">
      <c r="E594" t="str">
        <f>"PIM60018842"</f>
        <v>PIM60018842</v>
      </c>
      <c r="F594" t="str">
        <f t="shared" si="15"/>
        <v>CUST#0129200/PCT#4</v>
      </c>
      <c r="G594" s="5">
        <v>131</v>
      </c>
      <c r="H594" t="str">
        <f t="shared" si="16"/>
        <v>CUST#0129200/PCT#4</v>
      </c>
    </row>
    <row r="595" spans="1:8" x14ac:dyDescent="0.25">
      <c r="E595" t="str">
        <f>"PIM60019009"</f>
        <v>PIM60019009</v>
      </c>
      <c r="F595" t="str">
        <f t="shared" si="15"/>
        <v>CUST#0129200/PCT#4</v>
      </c>
      <c r="G595" s="5">
        <v>430.68</v>
      </c>
      <c r="H595" t="str">
        <f t="shared" si="16"/>
        <v>CUST#0129200/PCT#4</v>
      </c>
    </row>
    <row r="596" spans="1:8" x14ac:dyDescent="0.25">
      <c r="E596" t="str">
        <f>"PIM60019139"</f>
        <v>PIM60019139</v>
      </c>
      <c r="F596" t="str">
        <f t="shared" si="15"/>
        <v>CUST#0129200/PCT#4</v>
      </c>
      <c r="G596" s="5">
        <v>15</v>
      </c>
      <c r="H596" t="str">
        <f t="shared" si="16"/>
        <v>CUST#0129200/PCT#4</v>
      </c>
    </row>
    <row r="597" spans="1:8" x14ac:dyDescent="0.25">
      <c r="E597" t="str">
        <f>"PIM60019572"</f>
        <v>PIM60019572</v>
      </c>
      <c r="F597" t="str">
        <f t="shared" si="15"/>
        <v>CUST#0129200/PCT#4</v>
      </c>
      <c r="G597" s="5">
        <v>83.42</v>
      </c>
      <c r="H597" t="str">
        <f t="shared" si="16"/>
        <v>CUST#0129200/PCT#4</v>
      </c>
    </row>
    <row r="598" spans="1:8" x14ac:dyDescent="0.25">
      <c r="E598" t="str">
        <f>"WIUS0136514"</f>
        <v>WIUS0136514</v>
      </c>
      <c r="F598" t="str">
        <f t="shared" si="15"/>
        <v>CUST#0129200/PCT#4</v>
      </c>
      <c r="G598" s="5">
        <v>1759.74</v>
      </c>
      <c r="H598" t="str">
        <f t="shared" si="16"/>
        <v>CUST#0129200/PCT#4</v>
      </c>
    </row>
    <row r="599" spans="1:8" x14ac:dyDescent="0.25">
      <c r="E599" t="str">
        <f>"WIUS0136515"</f>
        <v>WIUS0136515</v>
      </c>
      <c r="F599" t="str">
        <f t="shared" si="15"/>
        <v>CUST#0129200/PCT#4</v>
      </c>
      <c r="G599" s="5">
        <v>1402.24</v>
      </c>
      <c r="H599" t="str">
        <f t="shared" si="16"/>
        <v>CUST#0129200/PCT#4</v>
      </c>
    </row>
    <row r="600" spans="1:8" x14ac:dyDescent="0.25">
      <c r="A600" t="s">
        <v>166</v>
      </c>
      <c r="B600">
        <v>131153</v>
      </c>
      <c r="C600" s="5">
        <v>3751.62</v>
      </c>
      <c r="D600" s="1">
        <v>43899</v>
      </c>
      <c r="E600" t="str">
        <f>"8530437"</f>
        <v>8530437</v>
      </c>
      <c r="F600" t="str">
        <f>"acct# 0130"</f>
        <v>acct# 0130</v>
      </c>
      <c r="G600" s="5">
        <v>3751.62</v>
      </c>
      <c r="H600" t="str">
        <f>"inv# 1012062"</f>
        <v>inv# 1012062</v>
      </c>
    </row>
    <row r="601" spans="1:8" x14ac:dyDescent="0.25">
      <c r="E601" t="str">
        <f>""</f>
        <v/>
      </c>
      <c r="F601" t="str">
        <f>""</f>
        <v/>
      </c>
      <c r="H601" t="str">
        <f>"inv# 3530689"</f>
        <v>inv# 3530689</v>
      </c>
    </row>
    <row r="602" spans="1:8" x14ac:dyDescent="0.25">
      <c r="E602" t="str">
        <f>""</f>
        <v/>
      </c>
      <c r="F602" t="str">
        <f>""</f>
        <v/>
      </c>
      <c r="H602" t="str">
        <f>"inv# 1092103"</f>
        <v>inv# 1092103</v>
      </c>
    </row>
    <row r="603" spans="1:8" x14ac:dyDescent="0.25">
      <c r="E603" t="str">
        <f>""</f>
        <v/>
      </c>
      <c r="F603" t="str">
        <f>""</f>
        <v/>
      </c>
      <c r="H603" t="str">
        <f>"inv# 4511331"</f>
        <v>inv# 4511331</v>
      </c>
    </row>
    <row r="604" spans="1:8" x14ac:dyDescent="0.25">
      <c r="E604" t="str">
        <f>""</f>
        <v/>
      </c>
      <c r="F604" t="str">
        <f>""</f>
        <v/>
      </c>
      <c r="H604" t="str">
        <f>"inv# 24359"</f>
        <v>inv# 24359</v>
      </c>
    </row>
    <row r="605" spans="1:8" x14ac:dyDescent="0.25">
      <c r="E605" t="str">
        <f>""</f>
        <v/>
      </c>
      <c r="F605" t="str">
        <f>""</f>
        <v/>
      </c>
      <c r="H605" t="str">
        <f>"inv# 9542400"</f>
        <v>inv# 9542400</v>
      </c>
    </row>
    <row r="606" spans="1:8" x14ac:dyDescent="0.25">
      <c r="E606" t="str">
        <f>""</f>
        <v/>
      </c>
      <c r="F606" t="str">
        <f>""</f>
        <v/>
      </c>
      <c r="H606" t="str">
        <f>"inv# 8091750"</f>
        <v>inv# 8091750</v>
      </c>
    </row>
    <row r="607" spans="1:8" x14ac:dyDescent="0.25">
      <c r="E607" t="str">
        <f>""</f>
        <v/>
      </c>
      <c r="F607" t="str">
        <f>""</f>
        <v/>
      </c>
      <c r="H607" t="str">
        <f>"inv# 6091820"</f>
        <v>inv# 6091820</v>
      </c>
    </row>
    <row r="608" spans="1:8" x14ac:dyDescent="0.25">
      <c r="E608" t="str">
        <f>""</f>
        <v/>
      </c>
      <c r="F608" t="str">
        <f>""</f>
        <v/>
      </c>
      <c r="H608" t="str">
        <f>"inv# 121368"</f>
        <v>inv# 121368</v>
      </c>
    </row>
    <row r="609" spans="5:8" x14ac:dyDescent="0.25">
      <c r="E609" t="str">
        <f>""</f>
        <v/>
      </c>
      <c r="F609" t="str">
        <f>""</f>
        <v/>
      </c>
      <c r="H609" t="str">
        <f>"inv# 32575"</f>
        <v>inv# 32575</v>
      </c>
    </row>
    <row r="610" spans="5:8" x14ac:dyDescent="0.25">
      <c r="E610" t="str">
        <f>""</f>
        <v/>
      </c>
      <c r="F610" t="str">
        <f>""</f>
        <v/>
      </c>
      <c r="H610" t="str">
        <f>"inv# 973436"</f>
        <v>inv# 973436</v>
      </c>
    </row>
    <row r="611" spans="5:8" x14ac:dyDescent="0.25">
      <c r="E611" t="str">
        <f>""</f>
        <v/>
      </c>
      <c r="F611" t="str">
        <f>""</f>
        <v/>
      </c>
      <c r="H611" t="str">
        <f>"inv# 8143271"</f>
        <v>inv# 8143271</v>
      </c>
    </row>
    <row r="612" spans="5:8" x14ac:dyDescent="0.25">
      <c r="E612" t="str">
        <f>""</f>
        <v/>
      </c>
      <c r="F612" t="str">
        <f>""</f>
        <v/>
      </c>
      <c r="H612" t="str">
        <f>"inv# 2092059"</f>
        <v>inv# 2092059</v>
      </c>
    </row>
    <row r="613" spans="5:8" x14ac:dyDescent="0.25">
      <c r="E613" t="str">
        <f>""</f>
        <v/>
      </c>
      <c r="F613" t="str">
        <f>""</f>
        <v/>
      </c>
      <c r="H613" t="str">
        <f>"inv# 2511474"</f>
        <v>inv# 2511474</v>
      </c>
    </row>
    <row r="614" spans="5:8" x14ac:dyDescent="0.25">
      <c r="E614" t="str">
        <f>""</f>
        <v/>
      </c>
      <c r="F614" t="str">
        <f>""</f>
        <v/>
      </c>
      <c r="H614" t="str">
        <f>"inv# 2973771"</f>
        <v>inv# 2973771</v>
      </c>
    </row>
    <row r="615" spans="5:8" x14ac:dyDescent="0.25">
      <c r="E615" t="str">
        <f>""</f>
        <v/>
      </c>
      <c r="F615" t="str">
        <f>""</f>
        <v/>
      </c>
      <c r="H615" t="str">
        <f>"inv# 6974335"</f>
        <v>inv# 6974335</v>
      </c>
    </row>
    <row r="616" spans="5:8" x14ac:dyDescent="0.25">
      <c r="E616" t="str">
        <f>""</f>
        <v/>
      </c>
      <c r="F616" t="str">
        <f>""</f>
        <v/>
      </c>
      <c r="H616" t="str">
        <f>"inv# 974553"</f>
        <v>inv# 974553</v>
      </c>
    </row>
    <row r="617" spans="5:8" x14ac:dyDescent="0.25">
      <c r="E617" t="str">
        <f>""</f>
        <v/>
      </c>
      <c r="F617" t="str">
        <f>""</f>
        <v/>
      </c>
      <c r="H617" t="str">
        <f>"inv# 22208"</f>
        <v>inv# 22208</v>
      </c>
    </row>
    <row r="618" spans="5:8" x14ac:dyDescent="0.25">
      <c r="E618" t="str">
        <f>""</f>
        <v/>
      </c>
      <c r="F618" t="str">
        <f>""</f>
        <v/>
      </c>
      <c r="H618" t="str">
        <f>"inv# 4092424"</f>
        <v>inv# 4092424</v>
      </c>
    </row>
    <row r="619" spans="5:8" x14ac:dyDescent="0.25">
      <c r="E619" t="str">
        <f>""</f>
        <v/>
      </c>
      <c r="F619" t="str">
        <f>""</f>
        <v/>
      </c>
      <c r="H619" t="str">
        <f>"inv# 4512052"</f>
        <v>inv# 4512052</v>
      </c>
    </row>
    <row r="620" spans="5:8" x14ac:dyDescent="0.25">
      <c r="E620" t="str">
        <f>""</f>
        <v/>
      </c>
      <c r="F620" t="str">
        <f>""</f>
        <v/>
      </c>
      <c r="H620" t="str">
        <f>"inv# 4092423"</f>
        <v>inv# 4092423</v>
      </c>
    </row>
    <row r="621" spans="5:8" x14ac:dyDescent="0.25">
      <c r="E621" t="str">
        <f>""</f>
        <v/>
      </c>
      <c r="F621" t="str">
        <f>""</f>
        <v/>
      </c>
      <c r="H621" t="str">
        <f>"inv# 22124"</f>
        <v>inv# 22124</v>
      </c>
    </row>
    <row r="622" spans="5:8" x14ac:dyDescent="0.25">
      <c r="E622" t="str">
        <f>""</f>
        <v/>
      </c>
      <c r="F622" t="str">
        <f>""</f>
        <v/>
      </c>
      <c r="H622" t="str">
        <f>"inv# 8511055"</f>
        <v>inv# 8511055</v>
      </c>
    </row>
    <row r="623" spans="5:8" x14ac:dyDescent="0.25">
      <c r="E623" t="str">
        <f>""</f>
        <v/>
      </c>
      <c r="F623" t="str">
        <f>""</f>
        <v/>
      </c>
      <c r="H623" t="str">
        <f>"inv# 8511080"</f>
        <v>inv# 8511080</v>
      </c>
    </row>
    <row r="624" spans="5:8" x14ac:dyDescent="0.25">
      <c r="E624" t="str">
        <f>""</f>
        <v/>
      </c>
      <c r="F624" t="str">
        <f>""</f>
        <v/>
      </c>
      <c r="H624" t="str">
        <f>"inv# 5524723"</f>
        <v>inv# 5524723</v>
      </c>
    </row>
    <row r="625" spans="1:8" x14ac:dyDescent="0.25">
      <c r="E625" t="str">
        <f>""</f>
        <v/>
      </c>
      <c r="F625" t="str">
        <f>""</f>
        <v/>
      </c>
      <c r="H625" t="str">
        <f>"inv# 5524767"</f>
        <v>inv# 5524767</v>
      </c>
    </row>
    <row r="626" spans="1:8" x14ac:dyDescent="0.25">
      <c r="E626" t="str">
        <f>""</f>
        <v/>
      </c>
      <c r="F626" t="str">
        <f>""</f>
        <v/>
      </c>
      <c r="H626" t="str">
        <f>"inv# 8024580"</f>
        <v>inv# 8024580</v>
      </c>
    </row>
    <row r="627" spans="1:8" x14ac:dyDescent="0.25">
      <c r="E627" t="str">
        <f>""</f>
        <v/>
      </c>
      <c r="F627" t="str">
        <f>""</f>
        <v/>
      </c>
      <c r="H627" t="str">
        <f>"inv# 7024710"</f>
        <v>inv# 7024710</v>
      </c>
    </row>
    <row r="628" spans="1:8" x14ac:dyDescent="0.25">
      <c r="E628" t="str">
        <f>""</f>
        <v/>
      </c>
      <c r="F628" t="str">
        <f>""</f>
        <v/>
      </c>
      <c r="H628" t="str">
        <f>"inv# 2525712"</f>
        <v>inv# 2525712</v>
      </c>
    </row>
    <row r="629" spans="1:8" x14ac:dyDescent="0.25">
      <c r="A629" t="s">
        <v>167</v>
      </c>
      <c r="B629">
        <v>131154</v>
      </c>
      <c r="C629" s="5">
        <v>165.89</v>
      </c>
      <c r="D629" s="1">
        <v>43899</v>
      </c>
      <c r="E629" t="str">
        <f>"0551448999"</f>
        <v>0551448999</v>
      </c>
      <c r="F629" t="str">
        <f>"CUST#212645"</f>
        <v>CUST#212645</v>
      </c>
      <c r="G629" s="5">
        <v>-49.11</v>
      </c>
      <c r="H629" t="str">
        <f>"CUST#212645"</f>
        <v>CUST#212645</v>
      </c>
    </row>
    <row r="630" spans="1:8" x14ac:dyDescent="0.25">
      <c r="E630" t="str">
        <f>"0551418181"</f>
        <v>0551418181</v>
      </c>
      <c r="F630" t="str">
        <f>"CUST#212645/PCT#1"</f>
        <v>CUST#212645/PCT#1</v>
      </c>
      <c r="G630" s="5">
        <v>215</v>
      </c>
      <c r="H630" t="str">
        <f>"CUST#212645/PCT#1"</f>
        <v>CUST#212645/PCT#1</v>
      </c>
    </row>
    <row r="631" spans="1:8" x14ac:dyDescent="0.25">
      <c r="A631" t="s">
        <v>167</v>
      </c>
      <c r="B631">
        <v>131354</v>
      </c>
      <c r="C631" s="5">
        <v>305</v>
      </c>
      <c r="D631" s="1">
        <v>43913</v>
      </c>
      <c r="E631" t="str">
        <f>"0551451249"</f>
        <v>0551451249</v>
      </c>
      <c r="F631" t="str">
        <f>"CUST#212645/ORD#212645-0001"</f>
        <v>CUST#212645/ORD#212645-0001</v>
      </c>
      <c r="G631" s="5">
        <v>90</v>
      </c>
      <c r="H631" t="str">
        <f>"CUST#212645/ORD#212645-0001"</f>
        <v>CUST#212645/ORD#212645-0001</v>
      </c>
    </row>
    <row r="632" spans="1:8" x14ac:dyDescent="0.25">
      <c r="E632" t="str">
        <f>"0551452905"</f>
        <v>0551452905</v>
      </c>
      <c r="F632" t="str">
        <f>"CUST#212645"</f>
        <v>CUST#212645</v>
      </c>
      <c r="G632" s="5">
        <v>215</v>
      </c>
      <c r="H632" t="str">
        <f>"CUST#212645"</f>
        <v>CUST#212645</v>
      </c>
    </row>
    <row r="633" spans="1:8" x14ac:dyDescent="0.25">
      <c r="A633" t="s">
        <v>168</v>
      </c>
      <c r="B633">
        <v>131155</v>
      </c>
      <c r="C633" s="5">
        <v>2100</v>
      </c>
      <c r="D633" s="1">
        <v>43899</v>
      </c>
      <c r="E633" t="str">
        <f>"2572"</f>
        <v>2572</v>
      </c>
      <c r="F633" t="str">
        <f>"MINI MICROCHIPS/ANIMAL SVCS"</f>
        <v>MINI MICROCHIPS/ANIMAL SVCS</v>
      </c>
      <c r="G633" s="5">
        <v>2100</v>
      </c>
      <c r="H633" t="str">
        <f>"MINI MICROCHIPS/ANIMAL SVCS"</f>
        <v>MINI MICROCHIPS/ANIMAL SVCS</v>
      </c>
    </row>
    <row r="634" spans="1:8" x14ac:dyDescent="0.25">
      <c r="A634" t="s">
        <v>168</v>
      </c>
      <c r="B634">
        <v>131355</v>
      </c>
      <c r="C634" s="5">
        <v>4524</v>
      </c>
      <c r="D634" s="1">
        <v>43913</v>
      </c>
      <c r="E634" t="str">
        <f>"2591"</f>
        <v>2591</v>
      </c>
      <c r="F634" t="str">
        <f>"VACCINATIONS/ANIMAL SVCS"</f>
        <v>VACCINATIONS/ANIMAL SVCS</v>
      </c>
      <c r="G634" s="5">
        <v>4524</v>
      </c>
      <c r="H634" t="str">
        <f>"VACCINATIONS/ANIMAL SVCS"</f>
        <v>VACCINATIONS/ANIMAL SVCS</v>
      </c>
    </row>
    <row r="635" spans="1:8" x14ac:dyDescent="0.25">
      <c r="A635" t="s">
        <v>169</v>
      </c>
      <c r="B635">
        <v>131156</v>
      </c>
      <c r="C635" s="5">
        <v>405</v>
      </c>
      <c r="D635" s="1">
        <v>43899</v>
      </c>
      <c r="E635" t="str">
        <f>"SL2020-02_0006"</f>
        <v>SL2020-02_0006</v>
      </c>
      <c r="F635" t="str">
        <f>"SHELTERLUV SOFTWARE/ANIMAL"</f>
        <v>SHELTERLUV SOFTWARE/ANIMAL</v>
      </c>
      <c r="G635" s="5">
        <v>405</v>
      </c>
      <c r="H635" t="str">
        <f>"SHELTERLUV SOFTWARE/ANIMAL"</f>
        <v>SHELTERLUV SOFTWARE/ANIMAL</v>
      </c>
    </row>
    <row r="636" spans="1:8" x14ac:dyDescent="0.25">
      <c r="A636" t="s">
        <v>170</v>
      </c>
      <c r="B636">
        <v>2351</v>
      </c>
      <c r="C636" s="5">
        <v>1049.95</v>
      </c>
      <c r="D636" s="1">
        <v>43914</v>
      </c>
      <c r="E636" t="str">
        <f>"203071"</f>
        <v>203071</v>
      </c>
      <c r="F636" t="str">
        <f>"SUPPLIES/PCT#1"</f>
        <v>SUPPLIES/PCT#1</v>
      </c>
      <c r="G636" s="5">
        <v>1049.95</v>
      </c>
      <c r="H636" t="str">
        <f>"SUPPLIES/PCT#1"</f>
        <v>SUPPLIES/PCT#1</v>
      </c>
    </row>
    <row r="637" spans="1:8" x14ac:dyDescent="0.25">
      <c r="A637" t="s">
        <v>171</v>
      </c>
      <c r="B637">
        <v>2334</v>
      </c>
      <c r="C637" s="5">
        <v>64.599999999999994</v>
      </c>
      <c r="D637" s="1">
        <v>43914</v>
      </c>
      <c r="E637" t="str">
        <f>"W3523000"</f>
        <v>W3523000</v>
      </c>
      <c r="F637" t="str">
        <f>"INV W3523000"</f>
        <v>INV W3523000</v>
      </c>
      <c r="G637" s="5">
        <v>64.599999999999994</v>
      </c>
      <c r="H637" t="str">
        <f>"INV W3523000"</f>
        <v>INV W3523000</v>
      </c>
    </row>
    <row r="638" spans="1:8" x14ac:dyDescent="0.25">
      <c r="A638" t="s">
        <v>172</v>
      </c>
      <c r="B638">
        <v>131356</v>
      </c>
      <c r="C638" s="5">
        <v>319.75</v>
      </c>
      <c r="D638" s="1">
        <v>43913</v>
      </c>
      <c r="E638" t="str">
        <f>"3058275773"</f>
        <v>3058275773</v>
      </c>
      <c r="F638" t="str">
        <f>"ACCT#187947/ANIMAL CONTROL"</f>
        <v>ACCT#187947/ANIMAL CONTROL</v>
      </c>
      <c r="G638" s="5">
        <v>319.75</v>
      </c>
      <c r="H638" t="str">
        <f>"ACCT#187947/ANIMAL CONTROL"</f>
        <v>ACCT#187947/ANIMAL CONTROL</v>
      </c>
    </row>
    <row r="639" spans="1:8" x14ac:dyDescent="0.25">
      <c r="A639" t="s">
        <v>173</v>
      </c>
      <c r="B639">
        <v>2314</v>
      </c>
      <c r="C639" s="5">
        <v>2430</v>
      </c>
      <c r="D639" s="1">
        <v>43900</v>
      </c>
      <c r="E639" t="str">
        <f>"69408"</f>
        <v>69408</v>
      </c>
      <c r="F639" t="str">
        <f>"PROF SVCS APRIL 2020"</f>
        <v>PROF SVCS APRIL 2020</v>
      </c>
      <c r="G639" s="5">
        <v>2430</v>
      </c>
      <c r="H639" t="str">
        <f>"PROF SVCS APRIL 2020"</f>
        <v>PROF SVCS APRIL 2020</v>
      </c>
    </row>
    <row r="640" spans="1:8" x14ac:dyDescent="0.25">
      <c r="E640" t="str">
        <f>""</f>
        <v/>
      </c>
      <c r="F640" t="str">
        <f>""</f>
        <v/>
      </c>
      <c r="H640" t="str">
        <f>"PROF SVCS APRIL 2020"</f>
        <v>PROF SVCS APRIL 2020</v>
      </c>
    </row>
    <row r="641" spans="1:8" x14ac:dyDescent="0.25">
      <c r="A641" t="s">
        <v>174</v>
      </c>
      <c r="B641">
        <v>2364</v>
      </c>
      <c r="C641" s="5">
        <v>472.15</v>
      </c>
      <c r="D641" s="1">
        <v>43914</v>
      </c>
      <c r="E641" t="str">
        <f>"166419A"</f>
        <v>166419A</v>
      </c>
      <c r="F641" t="str">
        <f>"CUST#31226/STICKERS"</f>
        <v>CUST#31226/STICKERS</v>
      </c>
      <c r="G641" s="5">
        <v>472.15</v>
      </c>
      <c r="H641" t="str">
        <f>"CUST#31226/STICKERS"</f>
        <v>CUST#31226/STICKERS</v>
      </c>
    </row>
    <row r="642" spans="1:8" x14ac:dyDescent="0.25">
      <c r="A642" t="s">
        <v>175</v>
      </c>
      <c r="B642">
        <v>131357</v>
      </c>
      <c r="C642" s="5">
        <v>510.76</v>
      </c>
      <c r="D642" s="1">
        <v>43913</v>
      </c>
      <c r="E642" t="str">
        <f>"S0130061001"</f>
        <v>S0130061001</v>
      </c>
      <c r="F642" t="str">
        <f>"ACCT#336320/PCT#3"</f>
        <v>ACCT#336320/PCT#3</v>
      </c>
      <c r="G642" s="5">
        <v>510.76</v>
      </c>
      <c r="H642" t="str">
        <f>"ACCT#336320/PCT#3"</f>
        <v>ACCT#336320/PCT#3</v>
      </c>
    </row>
    <row r="643" spans="1:8" x14ac:dyDescent="0.25">
      <c r="A643" t="s">
        <v>176</v>
      </c>
      <c r="B643">
        <v>131358</v>
      </c>
      <c r="C643" s="5">
        <v>200</v>
      </c>
      <c r="D643" s="1">
        <v>43913</v>
      </c>
      <c r="E643" t="str">
        <f>"242045845"</f>
        <v>242045845</v>
      </c>
      <c r="F643" t="str">
        <f>"ORD#1107807428/CUST#10004926"</f>
        <v>ORD#1107807428/CUST#10004926</v>
      </c>
      <c r="G643" s="5">
        <v>200</v>
      </c>
      <c r="H643" t="str">
        <f>"ORD#1107807428/CUST#10004926"</f>
        <v>ORD#1107807428/CUST#10004926</v>
      </c>
    </row>
    <row r="644" spans="1:8" x14ac:dyDescent="0.25">
      <c r="A644" t="s">
        <v>177</v>
      </c>
      <c r="B644">
        <v>131157</v>
      </c>
      <c r="C644" s="5">
        <v>79.03</v>
      </c>
      <c r="D644" s="1">
        <v>43899</v>
      </c>
      <c r="E644" t="str">
        <f>"CKYZ814"</f>
        <v>CKYZ814</v>
      </c>
      <c r="F644" t="str">
        <f>"CUST ID:AX773/COUNTY CLERK"</f>
        <v>CUST ID:AX773/COUNTY CLERK</v>
      </c>
      <c r="G644" s="5">
        <v>79.03</v>
      </c>
      <c r="H644" t="str">
        <f>"CUST ID:AX773/COUNTY CLERK"</f>
        <v>CUST ID:AX773/COUNTY CLERK</v>
      </c>
    </row>
    <row r="645" spans="1:8" x14ac:dyDescent="0.25">
      <c r="A645" t="s">
        <v>178</v>
      </c>
      <c r="B645">
        <v>2284</v>
      </c>
      <c r="C645" s="5">
        <v>565.08000000000004</v>
      </c>
      <c r="D645" s="1">
        <v>43900</v>
      </c>
      <c r="E645" t="str">
        <f>"202002275541"</f>
        <v>202002275541</v>
      </c>
      <c r="F645" t="str">
        <f>"MILEAGE REIMBURSEMENT"</f>
        <v>MILEAGE REIMBURSEMENT</v>
      </c>
      <c r="G645" s="5">
        <v>565.08000000000004</v>
      </c>
      <c r="H645" t="str">
        <f>"MILEAGE REIMBURSEMENT"</f>
        <v>MILEAGE REIMBURSEMENT</v>
      </c>
    </row>
    <row r="646" spans="1:8" x14ac:dyDescent="0.25">
      <c r="A646" t="s">
        <v>179</v>
      </c>
      <c r="B646">
        <v>131359</v>
      </c>
      <c r="C646" s="5">
        <v>65</v>
      </c>
      <c r="D646" s="1">
        <v>43913</v>
      </c>
      <c r="E646" t="str">
        <f>"13546"</f>
        <v>13546</v>
      </c>
      <c r="F646" t="str">
        <f>"EVENT UNIT/HAND SANITIZING STA"</f>
        <v>EVENT UNIT/HAND SANITIZING STA</v>
      </c>
      <c r="G646" s="5">
        <v>65</v>
      </c>
      <c r="H646" t="str">
        <f>"EVENT UNIT/HAND SANITIZING STA"</f>
        <v>EVENT UNIT/HAND SANITIZING STA</v>
      </c>
    </row>
    <row r="647" spans="1:8" x14ac:dyDescent="0.25">
      <c r="A647" t="s">
        <v>180</v>
      </c>
      <c r="B647">
        <v>131360</v>
      </c>
      <c r="C647" s="5">
        <v>11.51</v>
      </c>
      <c r="D647" s="1">
        <v>43913</v>
      </c>
      <c r="E647" t="str">
        <f>"202003176013"</f>
        <v>202003176013</v>
      </c>
      <c r="F647" t="str">
        <f>"REIMBURSEMENT"</f>
        <v>REIMBURSEMENT</v>
      </c>
      <c r="G647" s="5">
        <v>11.51</v>
      </c>
      <c r="H647" t="str">
        <f>"REIMBURSEMENT"</f>
        <v>REIMBURSEMENT</v>
      </c>
    </row>
    <row r="648" spans="1:8" x14ac:dyDescent="0.25">
      <c r="A648" t="s">
        <v>181</v>
      </c>
      <c r="B648">
        <v>131361</v>
      </c>
      <c r="C648" s="5">
        <v>250</v>
      </c>
      <c r="D648" s="1">
        <v>43913</v>
      </c>
      <c r="E648" t="s">
        <v>182</v>
      </c>
      <c r="F648" t="str">
        <f>"RESTITUTION - Z. PALUCH"</f>
        <v>RESTITUTION - Z. PALUCH</v>
      </c>
      <c r="G648" s="5">
        <v>250</v>
      </c>
      <c r="H648" t="str">
        <f>"RESTITUTION - Z. PALUCH"</f>
        <v>RESTITUTION - Z. PALUCH</v>
      </c>
    </row>
    <row r="649" spans="1:8" x14ac:dyDescent="0.25">
      <c r="A649" t="s">
        <v>183</v>
      </c>
      <c r="B649">
        <v>131158</v>
      </c>
      <c r="C649" s="5">
        <v>240</v>
      </c>
      <c r="D649" s="1">
        <v>43899</v>
      </c>
      <c r="E649" t="str">
        <f>"202003025554"</f>
        <v>202003025554</v>
      </c>
      <c r="F649" t="str">
        <f>"REMIBURSE REGISTRATION/LUNCH"</f>
        <v>REMIBURSE REGISTRATION/LUNCH</v>
      </c>
      <c r="G649" s="5">
        <v>240</v>
      </c>
      <c r="H649" t="str">
        <f>"REMIBURSE REGISTRATION/LUNCH"</f>
        <v>REMIBURSE REGISTRATION/LUNCH</v>
      </c>
    </row>
    <row r="650" spans="1:8" x14ac:dyDescent="0.25">
      <c r="A650" t="s">
        <v>184</v>
      </c>
      <c r="B650">
        <v>2324</v>
      </c>
      <c r="C650" s="5">
        <v>900</v>
      </c>
      <c r="D650" s="1">
        <v>43900</v>
      </c>
      <c r="E650" t="str">
        <f>"13060"</f>
        <v>13060</v>
      </c>
      <c r="F650" t="str">
        <f>"AD LITEM FEE"</f>
        <v>AD LITEM FEE</v>
      </c>
      <c r="G650" s="5">
        <v>150</v>
      </c>
      <c r="H650" t="str">
        <f>"AD LITEM FEE"</f>
        <v>AD LITEM FEE</v>
      </c>
    </row>
    <row r="651" spans="1:8" x14ac:dyDescent="0.25">
      <c r="E651" t="str">
        <f>"202002275535"</f>
        <v>202002275535</v>
      </c>
      <c r="F651" t="str">
        <f>"19-19632"</f>
        <v>19-19632</v>
      </c>
      <c r="G651" s="5">
        <v>100</v>
      </c>
      <c r="H651" t="str">
        <f>"19-19632"</f>
        <v>19-19632</v>
      </c>
    </row>
    <row r="652" spans="1:8" x14ac:dyDescent="0.25">
      <c r="E652" t="str">
        <f>"202003035685"</f>
        <v>202003035685</v>
      </c>
      <c r="F652" t="str">
        <f>"20-20054"</f>
        <v>20-20054</v>
      </c>
      <c r="G652" s="5">
        <v>100</v>
      </c>
      <c r="H652" t="str">
        <f>"20-20054"</f>
        <v>20-20054</v>
      </c>
    </row>
    <row r="653" spans="1:8" x14ac:dyDescent="0.25">
      <c r="E653" t="str">
        <f>"202003035686"</f>
        <v>202003035686</v>
      </c>
      <c r="F653" t="str">
        <f>"20-20049"</f>
        <v>20-20049</v>
      </c>
      <c r="G653" s="5">
        <v>100</v>
      </c>
      <c r="H653" t="str">
        <f>"20-20049"</f>
        <v>20-20049</v>
      </c>
    </row>
    <row r="654" spans="1:8" x14ac:dyDescent="0.25">
      <c r="E654" t="str">
        <f>"202003035687"</f>
        <v>202003035687</v>
      </c>
      <c r="F654" t="str">
        <f>"19-19889"</f>
        <v>19-19889</v>
      </c>
      <c r="G654" s="5">
        <v>100</v>
      </c>
      <c r="H654" t="str">
        <f>"19-19889"</f>
        <v>19-19889</v>
      </c>
    </row>
    <row r="655" spans="1:8" x14ac:dyDescent="0.25">
      <c r="E655" t="str">
        <f>"202003035688"</f>
        <v>202003035688</v>
      </c>
      <c r="F655" t="str">
        <f>"19-19572"</f>
        <v>19-19572</v>
      </c>
      <c r="G655" s="5">
        <v>100</v>
      </c>
      <c r="H655" t="str">
        <f>"19-19572"</f>
        <v>19-19572</v>
      </c>
    </row>
    <row r="656" spans="1:8" x14ac:dyDescent="0.25">
      <c r="E656" t="str">
        <f>"202003035689"</f>
        <v>202003035689</v>
      </c>
      <c r="F656" t="str">
        <f>"AC-2020-0110"</f>
        <v>AC-2020-0110</v>
      </c>
      <c r="G656" s="5">
        <v>250</v>
      </c>
      <c r="H656" t="str">
        <f>"AC-2020-0110"</f>
        <v>AC-2020-0110</v>
      </c>
    </row>
    <row r="657" spans="1:8" x14ac:dyDescent="0.25">
      <c r="A657" t="s">
        <v>184</v>
      </c>
      <c r="B657">
        <v>2396</v>
      </c>
      <c r="C657" s="5">
        <v>1275</v>
      </c>
      <c r="D657" s="1">
        <v>43914</v>
      </c>
      <c r="E657" t="str">
        <f>"12136"</f>
        <v>12136</v>
      </c>
      <c r="F657" t="str">
        <f>"AD LITEM FEE  12/19/19"</f>
        <v>AD LITEM FEE  12/19/19</v>
      </c>
      <c r="G657" s="5">
        <v>150</v>
      </c>
      <c r="H657" t="str">
        <f>"AD LITEM FEE  12/19/19"</f>
        <v>AD LITEM FEE  12/19/19</v>
      </c>
    </row>
    <row r="658" spans="1:8" x14ac:dyDescent="0.25">
      <c r="E658" t="str">
        <f>"12903"</f>
        <v>12903</v>
      </c>
      <c r="F658" t="str">
        <f>"AD LITEM FEE  12/19/19"</f>
        <v>AD LITEM FEE  12/19/19</v>
      </c>
      <c r="G658" s="5">
        <v>150</v>
      </c>
      <c r="H658" t="str">
        <f>"AD LITEM FEE"</f>
        <v>AD LITEM FEE</v>
      </c>
    </row>
    <row r="659" spans="1:8" x14ac:dyDescent="0.25">
      <c r="E659" t="str">
        <f>"13037"</f>
        <v>13037</v>
      </c>
      <c r="F659" t="str">
        <f>"AD LITEM  12/19/19"</f>
        <v>AD LITEM  12/19/19</v>
      </c>
      <c r="G659" s="5">
        <v>150</v>
      </c>
      <c r="H659" t="str">
        <f>"AD LITEM  12/19/19"</f>
        <v>AD LITEM  12/19/19</v>
      </c>
    </row>
    <row r="660" spans="1:8" x14ac:dyDescent="0.25">
      <c r="E660" t="str">
        <f>"13038"</f>
        <v>13038</v>
      </c>
      <c r="F660" t="str">
        <f>"AD LITEM  12/19/19"</f>
        <v>AD LITEM  12/19/19</v>
      </c>
      <c r="G660" s="5">
        <v>150</v>
      </c>
      <c r="H660" t="str">
        <f>"AD LITEM  12/19/19"</f>
        <v>AD LITEM  12/19/19</v>
      </c>
    </row>
    <row r="661" spans="1:8" x14ac:dyDescent="0.25">
      <c r="E661" t="str">
        <f>"13062"</f>
        <v>13062</v>
      </c>
      <c r="F661" t="str">
        <f>"AD LITEM FEE  12/19/19"</f>
        <v>AD LITEM FEE  12/19/19</v>
      </c>
      <c r="G661" s="5">
        <v>150</v>
      </c>
      <c r="H661" t="str">
        <f>"AD LITEM FEE  12/19/19"</f>
        <v>AD LITEM FEE  12/19/19</v>
      </c>
    </row>
    <row r="662" spans="1:8" x14ac:dyDescent="0.25">
      <c r="E662" t="str">
        <f>"13063"</f>
        <v>13063</v>
      </c>
      <c r="F662" t="str">
        <f>"AD LITEM  12/19/19"</f>
        <v>AD LITEM  12/19/19</v>
      </c>
      <c r="G662" s="5">
        <v>150</v>
      </c>
      <c r="H662" t="str">
        <f>"AD LITEM  12/19/19"</f>
        <v>AD LITEM  12/19/19</v>
      </c>
    </row>
    <row r="663" spans="1:8" x14ac:dyDescent="0.25">
      <c r="E663" t="str">
        <f>"202003125914"</f>
        <v>202003125914</v>
      </c>
      <c r="F663" t="str">
        <f>"57 338  57 337"</f>
        <v>57 338  57 337</v>
      </c>
      <c r="G663" s="5">
        <v>375</v>
      </c>
      <c r="H663" t="str">
        <f>"57 338  57 337"</f>
        <v>57 338  57 337</v>
      </c>
    </row>
    <row r="664" spans="1:8" x14ac:dyDescent="0.25">
      <c r="A664" t="s">
        <v>185</v>
      </c>
      <c r="B664">
        <v>131362</v>
      </c>
      <c r="C664" s="5">
        <v>1100</v>
      </c>
      <c r="D664" s="1">
        <v>43913</v>
      </c>
      <c r="E664" t="str">
        <f>"202003176045"</f>
        <v>202003176045</v>
      </c>
      <c r="F664" t="str">
        <f>"VET SURG SVCS 03/09 / 03/12"</f>
        <v>VET SURG SVCS 03/09 / 03/12</v>
      </c>
      <c r="G664" s="5">
        <v>1100</v>
      </c>
      <c r="H664" t="str">
        <f>"VET SURG SVCS 03/09 / 03/12"</f>
        <v>VET SURG SVCS 03/09 / 03/12</v>
      </c>
    </row>
    <row r="665" spans="1:8" x14ac:dyDescent="0.25">
      <c r="A665" t="s">
        <v>186</v>
      </c>
      <c r="B665">
        <v>131160</v>
      </c>
      <c r="C665" s="5">
        <v>1217</v>
      </c>
      <c r="D665" s="1">
        <v>43899</v>
      </c>
      <c r="E665" t="str">
        <f>"1212"</f>
        <v>1212</v>
      </c>
      <c r="F665" t="str">
        <f>"INV 1212"</f>
        <v>INV 1212</v>
      </c>
      <c r="G665" s="5">
        <v>225</v>
      </c>
      <c r="H665" t="str">
        <f>"INV 1212"</f>
        <v>INV 1212</v>
      </c>
    </row>
    <row r="666" spans="1:8" x14ac:dyDescent="0.25">
      <c r="E666" t="str">
        <f>"1215"</f>
        <v>1215</v>
      </c>
      <c r="F666" t="str">
        <f>"INV 1215"</f>
        <v>INV 1215</v>
      </c>
      <c r="G666" s="5">
        <v>992</v>
      </c>
      <c r="H666" t="str">
        <f>"INV 1215"</f>
        <v>INV 1215</v>
      </c>
    </row>
    <row r="667" spans="1:8" x14ac:dyDescent="0.25">
      <c r="A667" t="s">
        <v>186</v>
      </c>
      <c r="B667">
        <v>131363</v>
      </c>
      <c r="C667" s="5">
        <v>400</v>
      </c>
      <c r="D667" s="1">
        <v>43913</v>
      </c>
      <c r="E667" t="str">
        <f>"1220"</f>
        <v>1220</v>
      </c>
      <c r="F667" t="str">
        <f>"INV 1220"</f>
        <v>INV 1220</v>
      </c>
      <c r="G667" s="5">
        <v>200</v>
      </c>
      <c r="H667" t="str">
        <f>"INV 1220"</f>
        <v>INV 1220</v>
      </c>
    </row>
    <row r="668" spans="1:8" x14ac:dyDescent="0.25">
      <c r="E668" t="str">
        <f>"1221"</f>
        <v>1221</v>
      </c>
      <c r="F668" t="str">
        <f>"INV 1221 / UNIT 9646"</f>
        <v>INV 1221 / UNIT 9646</v>
      </c>
      <c r="G668" s="5">
        <v>200</v>
      </c>
      <c r="H668" t="str">
        <f>"INV 1221 / UNIT 9646"</f>
        <v>INV 1221 / UNIT 9646</v>
      </c>
    </row>
    <row r="669" spans="1:8" x14ac:dyDescent="0.25">
      <c r="A669" t="s">
        <v>187</v>
      </c>
      <c r="B669">
        <v>131161</v>
      </c>
      <c r="C669" s="5">
        <v>1930.75</v>
      </c>
      <c r="D669" s="1">
        <v>43899</v>
      </c>
      <c r="E669" t="str">
        <f>"202003035648"</f>
        <v>202003035648</v>
      </c>
      <c r="F669" t="str">
        <f>"ACCT#8850283308"</f>
        <v>ACCT#8850283308</v>
      </c>
      <c r="G669" s="5">
        <v>501.63</v>
      </c>
      <c r="H669" t="str">
        <f>"ACCT#8850283308"</f>
        <v>ACCT#8850283308</v>
      </c>
    </row>
    <row r="670" spans="1:8" x14ac:dyDescent="0.25">
      <c r="E670" t="str">
        <f>"202003045716"</f>
        <v>202003045716</v>
      </c>
      <c r="F670" t="str">
        <f>"ACCT#8850283308/PCT#1"</f>
        <v>ACCT#8850283308/PCT#1</v>
      </c>
      <c r="G670" s="5">
        <v>1180.58</v>
      </c>
      <c r="H670" t="str">
        <f>"ACCT#8850283308/PCT#1"</f>
        <v>ACCT#8850283308/PCT#1</v>
      </c>
    </row>
    <row r="671" spans="1:8" x14ac:dyDescent="0.25">
      <c r="E671" t="str">
        <f>"P01162"</f>
        <v>P01162</v>
      </c>
      <c r="F671" t="str">
        <f>"ACCT#8850283308/PCT#2"</f>
        <v>ACCT#8850283308/PCT#2</v>
      </c>
      <c r="G671" s="5">
        <v>248.54</v>
      </c>
      <c r="H671" t="str">
        <f>"ACCT#8850283308/PCT#2"</f>
        <v>ACCT#8850283308/PCT#2</v>
      </c>
    </row>
    <row r="672" spans="1:8" x14ac:dyDescent="0.25">
      <c r="A672" t="s">
        <v>188</v>
      </c>
      <c r="B672">
        <v>131162</v>
      </c>
      <c r="C672" s="5">
        <v>3900</v>
      </c>
      <c r="D672" s="1">
        <v>43899</v>
      </c>
      <c r="E672" t="str">
        <f>"202002255479"</f>
        <v>202002255479</v>
      </c>
      <c r="F672" t="str">
        <f>"16 567"</f>
        <v>16 567</v>
      </c>
      <c r="G672" s="5">
        <v>3900</v>
      </c>
      <c r="H672" t="str">
        <f>"16 567"</f>
        <v>16 567</v>
      </c>
    </row>
    <row r="673" spans="1:8" x14ac:dyDescent="0.25">
      <c r="A673" t="s">
        <v>189</v>
      </c>
      <c r="B673">
        <v>131364</v>
      </c>
      <c r="C673" s="5">
        <v>36.03</v>
      </c>
      <c r="D673" s="1">
        <v>43913</v>
      </c>
      <c r="E673" t="str">
        <f>"202003165993"</f>
        <v>202003165993</v>
      </c>
      <c r="F673" t="str">
        <f>"REIMBURSE-SUPPLIES"</f>
        <v>REIMBURSE-SUPPLIES</v>
      </c>
      <c r="G673" s="5">
        <v>36.03</v>
      </c>
      <c r="H673" t="str">
        <f>"REIMBURSE-SUPPLIES"</f>
        <v>REIMBURSE-SUPPLIES</v>
      </c>
    </row>
    <row r="674" spans="1:8" x14ac:dyDescent="0.25">
      <c r="A674" t="s">
        <v>190</v>
      </c>
      <c r="B674">
        <v>131163</v>
      </c>
      <c r="C674" s="5">
        <v>1725</v>
      </c>
      <c r="D674" s="1">
        <v>43899</v>
      </c>
      <c r="E674" t="str">
        <f>"202002265493"</f>
        <v>202002265493</v>
      </c>
      <c r="F674" t="str">
        <f>"423-4499"</f>
        <v>423-4499</v>
      </c>
      <c r="G674" s="5">
        <v>375</v>
      </c>
      <c r="H674" t="str">
        <f>"423-4499"</f>
        <v>423-4499</v>
      </c>
    </row>
    <row r="675" spans="1:8" x14ac:dyDescent="0.25">
      <c r="E675" t="str">
        <f>"202002275515"</f>
        <v>202002275515</v>
      </c>
      <c r="F675" t="str">
        <f>"19-19862"</f>
        <v>19-19862</v>
      </c>
      <c r="G675" s="5">
        <v>150</v>
      </c>
      <c r="H675" t="str">
        <f>"19-19862"</f>
        <v>19-19862</v>
      </c>
    </row>
    <row r="676" spans="1:8" x14ac:dyDescent="0.25">
      <c r="E676" t="str">
        <f>"202002275516"</f>
        <v>202002275516</v>
      </c>
      <c r="F676" t="str">
        <f>"20-20110"</f>
        <v>20-20110</v>
      </c>
      <c r="G676" s="5">
        <v>300</v>
      </c>
      <c r="H676" t="str">
        <f>"20-20110"</f>
        <v>20-20110</v>
      </c>
    </row>
    <row r="677" spans="1:8" x14ac:dyDescent="0.25">
      <c r="E677" t="str">
        <f>"202002275517"</f>
        <v>202002275517</v>
      </c>
      <c r="F677" t="str">
        <f>"19-19963"</f>
        <v>19-19963</v>
      </c>
      <c r="G677" s="5">
        <v>375</v>
      </c>
      <c r="H677" t="str">
        <f>"19-19963"</f>
        <v>19-19963</v>
      </c>
    </row>
    <row r="678" spans="1:8" x14ac:dyDescent="0.25">
      <c r="E678" t="str">
        <f>"202002275518"</f>
        <v>202002275518</v>
      </c>
      <c r="F678" t="str">
        <f>"19-19741"</f>
        <v>19-19741</v>
      </c>
      <c r="G678" s="5">
        <v>75</v>
      </c>
      <c r="H678" t="str">
        <f>"19-19741"</f>
        <v>19-19741</v>
      </c>
    </row>
    <row r="679" spans="1:8" x14ac:dyDescent="0.25">
      <c r="E679" t="str">
        <f>"202002275519"</f>
        <v>202002275519</v>
      </c>
      <c r="F679" t="str">
        <f>"19-19997"</f>
        <v>19-19997</v>
      </c>
      <c r="G679" s="5">
        <v>450</v>
      </c>
      <c r="H679" t="str">
        <f>"19-19997"</f>
        <v>19-19997</v>
      </c>
    </row>
    <row r="680" spans="1:8" x14ac:dyDescent="0.25">
      <c r="A680" t="s">
        <v>190</v>
      </c>
      <c r="B680">
        <v>131365</v>
      </c>
      <c r="C680" s="5">
        <v>1910</v>
      </c>
      <c r="D680" s="1">
        <v>43913</v>
      </c>
      <c r="E680" t="str">
        <f>"202003165985"</f>
        <v>202003165985</v>
      </c>
      <c r="F680" t="str">
        <f>"19-19963"</f>
        <v>19-19963</v>
      </c>
      <c r="G680" s="5">
        <v>210</v>
      </c>
      <c r="H680" t="str">
        <f>"19-19963"</f>
        <v>19-19963</v>
      </c>
    </row>
    <row r="681" spans="1:8" x14ac:dyDescent="0.25">
      <c r="E681" t="str">
        <f>"202003165986"</f>
        <v>202003165986</v>
      </c>
      <c r="F681" t="str">
        <f>"20-20110"</f>
        <v>20-20110</v>
      </c>
      <c r="G681" s="5">
        <v>325</v>
      </c>
      <c r="H681" t="str">
        <f>"20-20110"</f>
        <v>20-20110</v>
      </c>
    </row>
    <row r="682" spans="1:8" x14ac:dyDescent="0.25">
      <c r="E682" t="str">
        <f>"202003165987"</f>
        <v>202003165987</v>
      </c>
      <c r="F682" t="str">
        <f>"19-20022"</f>
        <v>19-20022</v>
      </c>
      <c r="G682" s="5">
        <v>212.5</v>
      </c>
      <c r="H682" t="str">
        <f>"19-20022"</f>
        <v>19-20022</v>
      </c>
    </row>
    <row r="683" spans="1:8" x14ac:dyDescent="0.25">
      <c r="E683" t="str">
        <f>"202003165988"</f>
        <v>202003165988</v>
      </c>
      <c r="F683" t="str">
        <f>"19-19537"</f>
        <v>19-19537</v>
      </c>
      <c r="G683" s="5">
        <v>187.5</v>
      </c>
      <c r="H683" t="str">
        <f>"19-19537"</f>
        <v>19-19537</v>
      </c>
    </row>
    <row r="684" spans="1:8" x14ac:dyDescent="0.25">
      <c r="E684" t="str">
        <f>"202003165989"</f>
        <v>202003165989</v>
      </c>
      <c r="F684" t="str">
        <f>"19-19741"</f>
        <v>19-19741</v>
      </c>
      <c r="G684" s="5">
        <v>225</v>
      </c>
      <c r="H684" t="str">
        <f>"19-19741"</f>
        <v>19-19741</v>
      </c>
    </row>
    <row r="685" spans="1:8" x14ac:dyDescent="0.25">
      <c r="E685" t="str">
        <f>"202003165990"</f>
        <v>202003165990</v>
      </c>
      <c r="F685" t="str">
        <f>"19-19862"</f>
        <v>19-19862</v>
      </c>
      <c r="G685" s="5">
        <v>325</v>
      </c>
      <c r="H685" t="str">
        <f>"19-19862"</f>
        <v>19-19862</v>
      </c>
    </row>
    <row r="686" spans="1:8" x14ac:dyDescent="0.25">
      <c r="E686" t="str">
        <f>"202003165991"</f>
        <v>202003165991</v>
      </c>
      <c r="F686" t="str">
        <f>"19-19632"</f>
        <v>19-19632</v>
      </c>
      <c r="G686" s="5">
        <v>175</v>
      </c>
      <c r="H686" t="str">
        <f>"19-19632"</f>
        <v>19-19632</v>
      </c>
    </row>
    <row r="687" spans="1:8" x14ac:dyDescent="0.25">
      <c r="E687" t="str">
        <f>"202003165992"</f>
        <v>202003165992</v>
      </c>
      <c r="F687" t="str">
        <f>"19-19864"</f>
        <v>19-19864</v>
      </c>
      <c r="G687" s="5">
        <v>250</v>
      </c>
      <c r="H687" t="str">
        <f>"19-19864"</f>
        <v>19-19864</v>
      </c>
    </row>
    <row r="688" spans="1:8" x14ac:dyDescent="0.25">
      <c r="A688" t="s">
        <v>191</v>
      </c>
      <c r="B688">
        <v>2260</v>
      </c>
      <c r="C688" s="5">
        <v>650</v>
      </c>
      <c r="D688" s="1">
        <v>43900</v>
      </c>
      <c r="E688" t="str">
        <f>"202002265505"</f>
        <v>202002265505</v>
      </c>
      <c r="F688" t="str">
        <f>"TOWER MOWING MAINTENANCE"</f>
        <v>TOWER MOWING MAINTENANCE</v>
      </c>
      <c r="G688" s="5">
        <v>650</v>
      </c>
      <c r="H688" t="str">
        <f>"TOWER MOWING MAINTENANCE"</f>
        <v>TOWER MOWING MAINTENANCE</v>
      </c>
    </row>
    <row r="689" spans="1:8" x14ac:dyDescent="0.25">
      <c r="A689" t="s">
        <v>192</v>
      </c>
      <c r="B689">
        <v>2318</v>
      </c>
      <c r="C689" s="5">
        <v>5625</v>
      </c>
      <c r="D689" s="1">
        <v>43900</v>
      </c>
      <c r="E689" t="str">
        <f>"202002265486"</f>
        <v>202002265486</v>
      </c>
      <c r="F689" t="str">
        <f>"423-7082"</f>
        <v>423-7082</v>
      </c>
      <c r="G689" s="5">
        <v>100</v>
      </c>
      <c r="H689" t="str">
        <f>"423-7082"</f>
        <v>423-7082</v>
      </c>
    </row>
    <row r="690" spans="1:8" x14ac:dyDescent="0.25">
      <c r="E690" t="str">
        <f>"202002265487"</f>
        <v>202002265487</v>
      </c>
      <c r="F690" t="str">
        <f>"17036  20190265B 20190265A"</f>
        <v>17036  20190265B 20190265A</v>
      </c>
      <c r="G690" s="5">
        <v>1200</v>
      </c>
      <c r="H690" t="str">
        <f>"17036  20190265B 20190265A"</f>
        <v>17036  20190265B 20190265A</v>
      </c>
    </row>
    <row r="691" spans="1:8" x14ac:dyDescent="0.25">
      <c r="E691" t="str">
        <f>"202002265488"</f>
        <v>202002265488</v>
      </c>
      <c r="F691" t="str">
        <f>"DCPC-19-099  DCPC-19-100"</f>
        <v>DCPC-19-099  DCPC-19-100</v>
      </c>
      <c r="G691" s="5">
        <v>800</v>
      </c>
      <c r="H691" t="str">
        <f>"DCPC-19-099  DCPC-19-100"</f>
        <v>DCPC-19-099  DCPC-19-100</v>
      </c>
    </row>
    <row r="692" spans="1:8" x14ac:dyDescent="0.25">
      <c r="E692" t="str">
        <f>"202002265489"</f>
        <v>202002265489</v>
      </c>
      <c r="F692" t="str">
        <f>"16784"</f>
        <v>16784</v>
      </c>
      <c r="G692" s="5">
        <v>600</v>
      </c>
      <c r="H692" t="str">
        <f>"16784"</f>
        <v>16784</v>
      </c>
    </row>
    <row r="693" spans="1:8" x14ac:dyDescent="0.25">
      <c r="E693" t="str">
        <f>"202002275522"</f>
        <v>202002275522</v>
      </c>
      <c r="F693" t="str">
        <f>"56887  1JP113018A"</f>
        <v>56887  1JP113018A</v>
      </c>
      <c r="G693" s="5">
        <v>375</v>
      </c>
      <c r="H693" t="str">
        <f>"56887  1JP113018A"</f>
        <v>56887  1JP113018A</v>
      </c>
    </row>
    <row r="694" spans="1:8" x14ac:dyDescent="0.25">
      <c r="E694" t="str">
        <f>"202002275523"</f>
        <v>202002275523</v>
      </c>
      <c r="F694" t="str">
        <f>"57370"</f>
        <v>57370</v>
      </c>
      <c r="G694" s="5">
        <v>250</v>
      </c>
      <c r="H694" t="str">
        <f>"57370"</f>
        <v>57370</v>
      </c>
    </row>
    <row r="695" spans="1:8" x14ac:dyDescent="0.25">
      <c r="E695" t="str">
        <f>"202002275524"</f>
        <v>202002275524</v>
      </c>
      <c r="F695" t="str">
        <f>"DCPC-19-141 BC-20200121B C20-0"</f>
        <v>DCPC-19-141 BC-20200121B C20-0</v>
      </c>
      <c r="G695" s="5">
        <v>500</v>
      </c>
      <c r="H695" t="str">
        <f>"DCPC-19-141 BC-20200121B C20-0"</f>
        <v>DCPC-19-141 BC-20200121B C20-0</v>
      </c>
    </row>
    <row r="696" spans="1:8" x14ac:dyDescent="0.25">
      <c r="E696" t="str">
        <f>"202002275542"</f>
        <v>202002275542</v>
      </c>
      <c r="F696" t="str">
        <f>"16895  02-0726-6"</f>
        <v>16895  02-0726-6</v>
      </c>
      <c r="G696" s="5">
        <v>600</v>
      </c>
      <c r="H696" t="str">
        <f>"16895  02-0726-6"</f>
        <v>16895  02-0726-6</v>
      </c>
    </row>
    <row r="697" spans="1:8" x14ac:dyDescent="0.25">
      <c r="E697" t="str">
        <f>"202002275543"</f>
        <v>202002275543</v>
      </c>
      <c r="F697" t="str">
        <f>"16846"</f>
        <v>16846</v>
      </c>
      <c r="G697" s="5">
        <v>400</v>
      </c>
      <c r="H697" t="str">
        <f>"16846"</f>
        <v>16846</v>
      </c>
    </row>
    <row r="698" spans="1:8" x14ac:dyDescent="0.25">
      <c r="E698" t="str">
        <f>"202002275544"</f>
        <v>202002275544</v>
      </c>
      <c r="F698" t="str">
        <f>"17077"</f>
        <v>17077</v>
      </c>
      <c r="G698" s="5">
        <v>400</v>
      </c>
      <c r="H698" t="str">
        <f>"17077"</f>
        <v>17077</v>
      </c>
    </row>
    <row r="699" spans="1:8" x14ac:dyDescent="0.25">
      <c r="E699" t="str">
        <f>"202002275545"</f>
        <v>202002275545</v>
      </c>
      <c r="F699" t="str">
        <f>"1046-21"</f>
        <v>1046-21</v>
      </c>
      <c r="G699" s="5">
        <v>100</v>
      </c>
      <c r="H699" t="str">
        <f>"1046-21"</f>
        <v>1046-21</v>
      </c>
    </row>
    <row r="700" spans="1:8" x14ac:dyDescent="0.25">
      <c r="E700" t="str">
        <f>"202002275546"</f>
        <v>202002275546</v>
      </c>
      <c r="F700" t="str">
        <f>"423-7132"</f>
        <v>423-7132</v>
      </c>
      <c r="G700" s="5">
        <v>100</v>
      </c>
      <c r="H700" t="str">
        <f>"423-7132"</f>
        <v>423-7132</v>
      </c>
    </row>
    <row r="701" spans="1:8" x14ac:dyDescent="0.25">
      <c r="E701" t="str">
        <f>"202003035630"</f>
        <v>202003035630</v>
      </c>
      <c r="F701" t="str">
        <f>"20-20132  20-19460"</f>
        <v>20-20132  20-19460</v>
      </c>
      <c r="G701" s="5">
        <v>200</v>
      </c>
      <c r="H701" t="str">
        <f>"20-20132  20-19460"</f>
        <v>20-20132  20-19460</v>
      </c>
    </row>
    <row r="702" spans="1:8" x14ac:dyDescent="0.25">
      <c r="A702" t="s">
        <v>193</v>
      </c>
      <c r="B702">
        <v>131164</v>
      </c>
      <c r="C702" s="5">
        <v>105</v>
      </c>
      <c r="D702" s="1">
        <v>43899</v>
      </c>
      <c r="E702" t="str">
        <f>"202003035697"</f>
        <v>202003035697</v>
      </c>
      <c r="F702" t="str">
        <f>"PER DIEM"</f>
        <v>PER DIEM</v>
      </c>
      <c r="G702" s="5">
        <v>105</v>
      </c>
      <c r="H702" t="str">
        <f>"PER DIEM"</f>
        <v>PER DIEM</v>
      </c>
    </row>
    <row r="703" spans="1:8" x14ac:dyDescent="0.25">
      <c r="A703" t="s">
        <v>194</v>
      </c>
      <c r="B703">
        <v>131165</v>
      </c>
      <c r="C703" s="5">
        <v>3023.8</v>
      </c>
      <c r="D703" s="1">
        <v>43899</v>
      </c>
      <c r="E703" t="str">
        <f>"202003035673"</f>
        <v>202003035673</v>
      </c>
      <c r="F703" t="str">
        <f>"19-19739"</f>
        <v>19-19739</v>
      </c>
      <c r="G703" s="5">
        <v>138.80000000000001</v>
      </c>
      <c r="H703" t="str">
        <f>"19-19739"</f>
        <v>19-19739</v>
      </c>
    </row>
    <row r="704" spans="1:8" x14ac:dyDescent="0.25">
      <c r="E704" t="str">
        <f>"202003035674"</f>
        <v>202003035674</v>
      </c>
      <c r="F704" t="str">
        <f>"57 290"</f>
        <v>57 290</v>
      </c>
      <c r="G704" s="5">
        <v>250</v>
      </c>
      <c r="H704" t="str">
        <f>"57 290"</f>
        <v>57 290</v>
      </c>
    </row>
    <row r="705" spans="1:8" x14ac:dyDescent="0.25">
      <c r="E705" t="str">
        <f>"202003035675"</f>
        <v>202003035675</v>
      </c>
      <c r="F705" t="str">
        <f>"02.1206.2"</f>
        <v>02.1206.2</v>
      </c>
      <c r="G705" s="5">
        <v>125</v>
      </c>
      <c r="H705" t="str">
        <f>"02.1206.2"</f>
        <v>02.1206.2</v>
      </c>
    </row>
    <row r="706" spans="1:8" x14ac:dyDescent="0.25">
      <c r="E706" t="str">
        <f>"202003035676"</f>
        <v>202003035676</v>
      </c>
      <c r="F706" t="str">
        <f>"20-20060"</f>
        <v>20-20060</v>
      </c>
      <c r="G706" s="5">
        <v>1077.5</v>
      </c>
      <c r="H706" t="str">
        <f>"20-20060"</f>
        <v>20-20060</v>
      </c>
    </row>
    <row r="707" spans="1:8" x14ac:dyDescent="0.25">
      <c r="E707" t="str">
        <f>"202003035677"</f>
        <v>202003035677</v>
      </c>
      <c r="F707" t="str">
        <f>"19-20022"</f>
        <v>19-20022</v>
      </c>
      <c r="G707" s="5">
        <v>520</v>
      </c>
      <c r="H707" t="str">
        <f>"19-20022"</f>
        <v>19-20022</v>
      </c>
    </row>
    <row r="708" spans="1:8" x14ac:dyDescent="0.25">
      <c r="E708" t="str">
        <f>"202003035678"</f>
        <v>202003035678</v>
      </c>
      <c r="F708" t="str">
        <f>"19-19465"</f>
        <v>19-19465</v>
      </c>
      <c r="G708" s="5">
        <v>575</v>
      </c>
      <c r="H708" t="str">
        <f>"19-19465"</f>
        <v>19-19465</v>
      </c>
    </row>
    <row r="709" spans="1:8" x14ac:dyDescent="0.25">
      <c r="E709" t="str">
        <f>"202003045718"</f>
        <v>202003045718</v>
      </c>
      <c r="F709" t="str">
        <f>"423-2327"</f>
        <v>423-2327</v>
      </c>
      <c r="G709" s="5">
        <v>337.5</v>
      </c>
      <c r="H709" t="str">
        <f>"423-2327"</f>
        <v>423-2327</v>
      </c>
    </row>
    <row r="710" spans="1:8" x14ac:dyDescent="0.25">
      <c r="A710" t="s">
        <v>195</v>
      </c>
      <c r="B710">
        <v>131166</v>
      </c>
      <c r="C710" s="5">
        <v>105</v>
      </c>
      <c r="D710" s="1">
        <v>43899</v>
      </c>
      <c r="E710" t="str">
        <f>"202003035695"</f>
        <v>202003035695</v>
      </c>
      <c r="F710" t="str">
        <f>"PER DIEM"</f>
        <v>PER DIEM</v>
      </c>
      <c r="G710" s="5">
        <v>105</v>
      </c>
      <c r="H710" t="str">
        <f>"PER DIEM"</f>
        <v>PER DIEM</v>
      </c>
    </row>
    <row r="711" spans="1:8" x14ac:dyDescent="0.25">
      <c r="A711" t="s">
        <v>196</v>
      </c>
      <c r="B711">
        <v>131167</v>
      </c>
      <c r="C711" s="5">
        <v>162.78</v>
      </c>
      <c r="D711" s="1">
        <v>43899</v>
      </c>
      <c r="E711" t="str">
        <f>"1520-00000162152"</f>
        <v>1520-00000162152</v>
      </c>
      <c r="F711" t="str">
        <f>"INV 1520-00000162152"</f>
        <v>INV 1520-00000162152</v>
      </c>
      <c r="G711" s="5">
        <v>162.78</v>
      </c>
      <c r="H711" t="str">
        <f>"INV 1520-00000162152"</f>
        <v>INV 1520-00000162152</v>
      </c>
    </row>
    <row r="712" spans="1:8" x14ac:dyDescent="0.25">
      <c r="A712" t="s">
        <v>197</v>
      </c>
      <c r="B712">
        <v>2306</v>
      </c>
      <c r="C712" s="5">
        <v>2717</v>
      </c>
      <c r="D712" s="1">
        <v>43900</v>
      </c>
      <c r="E712" t="str">
        <f>"292"</f>
        <v>292</v>
      </c>
      <c r="F712" t="str">
        <f>"TOWER RENT"</f>
        <v>TOWER RENT</v>
      </c>
      <c r="G712" s="5">
        <v>2717</v>
      </c>
      <c r="H712" t="str">
        <f>"TOWER RENT"</f>
        <v>TOWER RENT</v>
      </c>
    </row>
    <row r="713" spans="1:8" x14ac:dyDescent="0.25">
      <c r="A713" t="s">
        <v>198</v>
      </c>
      <c r="B713">
        <v>131366</v>
      </c>
      <c r="C713" s="5">
        <v>5583.5</v>
      </c>
      <c r="D713" s="1">
        <v>43913</v>
      </c>
      <c r="E713" t="str">
        <f>"202003135970"</f>
        <v>202003135970</v>
      </c>
      <c r="F713" t="str">
        <f>"15-914"</f>
        <v>15-914</v>
      </c>
      <c r="G713" s="5">
        <v>5583.5</v>
      </c>
      <c r="H713" t="str">
        <f>"15-914"</f>
        <v>15-914</v>
      </c>
    </row>
    <row r="714" spans="1:8" x14ac:dyDescent="0.25">
      <c r="A714" t="s">
        <v>199</v>
      </c>
      <c r="B714">
        <v>131168</v>
      </c>
      <c r="C714" s="5">
        <v>210</v>
      </c>
      <c r="D714" s="1">
        <v>43899</v>
      </c>
      <c r="E714" t="str">
        <f>"2539"</f>
        <v>2539</v>
      </c>
      <c r="F714" t="str">
        <f>"PORTABLE TOILET/HANDICAP"</f>
        <v>PORTABLE TOILET/HANDICAP</v>
      </c>
      <c r="G714" s="5">
        <v>210</v>
      </c>
      <c r="H714" t="str">
        <f>"PORTABLE TOILET/HANDICAP"</f>
        <v>PORTABLE TOILET/HANDICAP</v>
      </c>
    </row>
    <row r="715" spans="1:8" x14ac:dyDescent="0.25">
      <c r="A715" t="s">
        <v>200</v>
      </c>
      <c r="B715">
        <v>131367</v>
      </c>
      <c r="C715" s="5">
        <v>387</v>
      </c>
      <c r="D715" s="1">
        <v>43913</v>
      </c>
      <c r="E715" t="str">
        <f>"817607"</f>
        <v>817607</v>
      </c>
      <c r="F715" t="str">
        <f>"CUST#10222"</f>
        <v>CUST#10222</v>
      </c>
      <c r="G715" s="5">
        <v>387</v>
      </c>
      <c r="H715" t="str">
        <f>"CUST#10222"</f>
        <v>CUST#10222</v>
      </c>
    </row>
    <row r="716" spans="1:8" x14ac:dyDescent="0.25">
      <c r="A716" t="s">
        <v>201</v>
      </c>
      <c r="B716">
        <v>131169</v>
      </c>
      <c r="C716" s="5">
        <v>372.29</v>
      </c>
      <c r="D716" s="1">
        <v>43899</v>
      </c>
      <c r="E716" t="str">
        <f>"R3010101788"</f>
        <v>R3010101788</v>
      </c>
      <c r="F716" t="str">
        <f>"JOB#1 20-A2/PCT#1"</f>
        <v>JOB#1 20-A2/PCT#1</v>
      </c>
      <c r="G716" s="5">
        <v>372.29</v>
      </c>
      <c r="H716" t="str">
        <f>"JOB#1 20-A2/PCT#1"</f>
        <v>JOB#1 20-A2/PCT#1</v>
      </c>
    </row>
    <row r="717" spans="1:8" x14ac:dyDescent="0.25">
      <c r="A717" t="s">
        <v>201</v>
      </c>
      <c r="B717">
        <v>131368</v>
      </c>
      <c r="C717" s="5">
        <v>2988.63</v>
      </c>
      <c r="D717" s="1">
        <v>43913</v>
      </c>
      <c r="E717" t="str">
        <f>"202003135956"</f>
        <v>202003135956</v>
      </c>
      <c r="F717" t="str">
        <f>"ACCT#104992/PCT#1"</f>
        <v>ACCT#104992/PCT#1</v>
      </c>
      <c r="G717" s="5">
        <v>2988.63</v>
      </c>
      <c r="H717" t="str">
        <f>"ACCT#104992/PCT#1"</f>
        <v>ACCT#104992/PCT#1</v>
      </c>
    </row>
    <row r="718" spans="1:8" x14ac:dyDescent="0.25">
      <c r="A718" t="s">
        <v>202</v>
      </c>
      <c r="B718">
        <v>131170</v>
      </c>
      <c r="C718" s="5">
        <v>85</v>
      </c>
      <c r="D718" s="1">
        <v>43899</v>
      </c>
      <c r="E718" t="str">
        <f>"FOCS162836"</f>
        <v>FOCS162836</v>
      </c>
      <c r="F718" t="str">
        <f>"INV FOCS162836 /UNIT 0116"</f>
        <v>INV FOCS162836 /UNIT 0116</v>
      </c>
      <c r="G718" s="5">
        <v>85</v>
      </c>
      <c r="H718" t="str">
        <f>"INV FOCS162836 /UNIT 0116"</f>
        <v>INV FOCS162836 /UNIT 0116</v>
      </c>
    </row>
    <row r="719" spans="1:8" x14ac:dyDescent="0.25">
      <c r="A719" t="s">
        <v>203</v>
      </c>
      <c r="B719">
        <v>131171</v>
      </c>
      <c r="C719" s="5">
        <v>2226.5700000000002</v>
      </c>
      <c r="D719" s="1">
        <v>43899</v>
      </c>
      <c r="E719" t="str">
        <f>"202003035663"</f>
        <v>202003035663</v>
      </c>
      <c r="F719" t="str">
        <f>"ACCT#1650/PCT#1"</f>
        <v>ACCT#1650/PCT#1</v>
      </c>
      <c r="G719" s="5">
        <v>602.92999999999995</v>
      </c>
      <c r="H719" t="str">
        <f>"ACCT#1650/PCT#1"</f>
        <v>ACCT#1650/PCT#1</v>
      </c>
    </row>
    <row r="720" spans="1:8" x14ac:dyDescent="0.25">
      <c r="E720" t="str">
        <f>"202003035664"</f>
        <v>202003035664</v>
      </c>
      <c r="F720" t="str">
        <f>"ACCT#1750/PCT#3"</f>
        <v>ACCT#1750/PCT#3</v>
      </c>
      <c r="G720" s="5">
        <v>992.21</v>
      </c>
      <c r="H720" t="str">
        <f>"ACCT#1750/PCT#3"</f>
        <v>ACCT#1750/PCT#3</v>
      </c>
    </row>
    <row r="721" spans="1:8" x14ac:dyDescent="0.25">
      <c r="E721" t="str">
        <f>"202003035665"</f>
        <v>202003035665</v>
      </c>
      <c r="F721" t="str">
        <f>"ACCT#1800/PCT#4"</f>
        <v>ACCT#1800/PCT#4</v>
      </c>
      <c r="G721" s="5">
        <v>5.0999999999999996</v>
      </c>
      <c r="H721" t="str">
        <f>"ACCT#1800/PCT#4"</f>
        <v>ACCT#1800/PCT#4</v>
      </c>
    </row>
    <row r="722" spans="1:8" x14ac:dyDescent="0.25">
      <c r="E722" t="str">
        <f>"202003035666"</f>
        <v>202003035666</v>
      </c>
      <c r="F722" t="str">
        <f>"ACCT#1645/WILDFIRE MITIGATION"</f>
        <v>ACCT#1645/WILDFIRE MITIGATION</v>
      </c>
      <c r="G722" s="5">
        <v>626.33000000000004</v>
      </c>
      <c r="H722" t="str">
        <f>"ACCT#1645/WILDFIRE MITIGATION"</f>
        <v>ACCT#1645/WILDFIRE MITIGATION</v>
      </c>
    </row>
    <row r="723" spans="1:8" x14ac:dyDescent="0.25">
      <c r="E723" t="str">
        <f>""</f>
        <v/>
      </c>
      <c r="F723" t="str">
        <f>""</f>
        <v/>
      </c>
      <c r="H723" t="str">
        <f>"ACCT#1645/WILDFIRE MITIGATION"</f>
        <v>ACCT#1645/WILDFIRE MITIGATION</v>
      </c>
    </row>
    <row r="724" spans="1:8" x14ac:dyDescent="0.25">
      <c r="E724" t="str">
        <f>""</f>
        <v/>
      </c>
      <c r="F724" t="str">
        <f>""</f>
        <v/>
      </c>
      <c r="H724" t="str">
        <f>"ACCT#1645/WILDFIRE MITIGATION"</f>
        <v>ACCT#1645/WILDFIRE MITIGATION</v>
      </c>
    </row>
    <row r="725" spans="1:8" x14ac:dyDescent="0.25">
      <c r="E725" t="str">
        <f>""</f>
        <v/>
      </c>
      <c r="F725" t="str">
        <f>""</f>
        <v/>
      </c>
      <c r="H725" t="str">
        <f>"ACCT#1645/WILDFIRE MITIGATION"</f>
        <v>ACCT#1645/WILDFIRE MITIGATION</v>
      </c>
    </row>
    <row r="726" spans="1:8" x14ac:dyDescent="0.25">
      <c r="A726" t="s">
        <v>204</v>
      </c>
      <c r="B726">
        <v>2254</v>
      </c>
      <c r="C726" s="5">
        <v>2062.4699999999998</v>
      </c>
      <c r="D726" s="1">
        <v>43893</v>
      </c>
      <c r="E726" t="str">
        <f>"12049744"</f>
        <v>12049744</v>
      </c>
      <c r="F726" t="str">
        <f>"INV 12049744"</f>
        <v>INV 12049744</v>
      </c>
      <c r="G726" s="5">
        <v>1135.3399999999999</v>
      </c>
      <c r="H726" t="str">
        <f>"INV 12049744"</f>
        <v>INV 12049744</v>
      </c>
    </row>
    <row r="727" spans="1:8" x14ac:dyDescent="0.25">
      <c r="E727" t="str">
        <f>"12110568"</f>
        <v>12110568</v>
      </c>
      <c r="F727" t="str">
        <f>"INV 12110568"</f>
        <v>INV 12110568</v>
      </c>
      <c r="G727" s="5">
        <v>927.13</v>
      </c>
      <c r="H727" t="str">
        <f>"INV 12110568"</f>
        <v>INV 12110568</v>
      </c>
    </row>
    <row r="728" spans="1:8" x14ac:dyDescent="0.25">
      <c r="A728" t="s">
        <v>204</v>
      </c>
      <c r="B728">
        <v>2259</v>
      </c>
      <c r="C728" s="5">
        <v>875.55</v>
      </c>
      <c r="D728" s="1">
        <v>43900</v>
      </c>
      <c r="E728" t="str">
        <f>"202003045713"</f>
        <v>202003045713</v>
      </c>
      <c r="F728" t="str">
        <f>"INV 02197787"</f>
        <v>INV 02197787</v>
      </c>
      <c r="G728" s="5">
        <v>875.55</v>
      </c>
      <c r="H728" t="str">
        <f>"INV 02197787"</f>
        <v>INV 02197787</v>
      </c>
    </row>
    <row r="729" spans="1:8" x14ac:dyDescent="0.25">
      <c r="E729" t="str">
        <f>""</f>
        <v/>
      </c>
      <c r="F729" t="str">
        <f>""</f>
        <v/>
      </c>
      <c r="H729" t="str">
        <f>"INV 02268495"</f>
        <v>INV 02268495</v>
      </c>
    </row>
    <row r="730" spans="1:8" x14ac:dyDescent="0.25">
      <c r="E730" t="str">
        <f>""</f>
        <v/>
      </c>
      <c r="F730" t="str">
        <f>""</f>
        <v/>
      </c>
      <c r="H730" t="str">
        <f>"PU INV 02137230"</f>
        <v>PU INV 02137230</v>
      </c>
    </row>
    <row r="731" spans="1:8" x14ac:dyDescent="0.25">
      <c r="E731" t="str">
        <f>""</f>
        <v/>
      </c>
      <c r="F731" t="str">
        <f>""</f>
        <v/>
      </c>
      <c r="H731" t="str">
        <f>"CRED FOR INV08012139"</f>
        <v>CRED FOR INV08012139</v>
      </c>
    </row>
    <row r="732" spans="1:8" x14ac:dyDescent="0.25">
      <c r="A732" t="s">
        <v>204</v>
      </c>
      <c r="B732">
        <v>2342</v>
      </c>
      <c r="C732" s="5">
        <v>2013.21</v>
      </c>
      <c r="D732" s="1">
        <v>43914</v>
      </c>
      <c r="E732" t="str">
        <f>"03049755  03115593"</f>
        <v>03049755  03115593</v>
      </c>
      <c r="F732" t="str">
        <f>"INV 03049755"</f>
        <v>INV 03049755</v>
      </c>
      <c r="G732" s="5">
        <v>2013.21</v>
      </c>
      <c r="H732" t="str">
        <f>"INV 03049755"</f>
        <v>INV 03049755</v>
      </c>
    </row>
    <row r="733" spans="1:8" x14ac:dyDescent="0.25">
      <c r="E733" t="str">
        <f>""</f>
        <v/>
      </c>
      <c r="F733" t="str">
        <f>""</f>
        <v/>
      </c>
      <c r="H733" t="str">
        <f>"INV 03115593"</f>
        <v>INV 03115593</v>
      </c>
    </row>
    <row r="734" spans="1:8" x14ac:dyDescent="0.25">
      <c r="A734" t="s">
        <v>205</v>
      </c>
      <c r="B734">
        <v>131296</v>
      </c>
      <c r="C734" s="5">
        <v>73764</v>
      </c>
      <c r="D734" s="1">
        <v>43906</v>
      </c>
      <c r="E734" t="str">
        <f>"3891"</f>
        <v>3891</v>
      </c>
      <c r="F734" t="str">
        <f>"ADMIN FEES"</f>
        <v>ADMIN FEES</v>
      </c>
      <c r="G734" s="5">
        <v>73764</v>
      </c>
      <c r="H734" t="str">
        <f>"ADMIN FEES"</f>
        <v>ADMIN FEES</v>
      </c>
    </row>
    <row r="735" spans="1:8" x14ac:dyDescent="0.25">
      <c r="E735" t="str">
        <f>""</f>
        <v/>
      </c>
      <c r="F735" t="str">
        <f>""</f>
        <v/>
      </c>
      <c r="H735" t="str">
        <f>"ADMIN FEES"</f>
        <v>ADMIN FEES</v>
      </c>
    </row>
    <row r="736" spans="1:8" x14ac:dyDescent="0.25">
      <c r="A736" t="s">
        <v>206</v>
      </c>
      <c r="B736">
        <v>2295</v>
      </c>
      <c r="C736" s="5">
        <v>300</v>
      </c>
      <c r="D736" s="1">
        <v>43900</v>
      </c>
      <c r="E736" t="str">
        <f>"202003035640"</f>
        <v>202003035640</v>
      </c>
      <c r="F736" t="str">
        <f>"CLEANING SVCS/PCT#2"</f>
        <v>CLEANING SVCS/PCT#2</v>
      </c>
      <c r="G736" s="5">
        <v>150</v>
      </c>
      <c r="H736" t="str">
        <f>"CLEANING SVCS/PCT#2"</f>
        <v>CLEANING SVCS/PCT#2</v>
      </c>
    </row>
    <row r="737" spans="1:8" x14ac:dyDescent="0.25">
      <c r="E737" t="str">
        <f>"202003035641"</f>
        <v>202003035641</v>
      </c>
      <c r="F737" t="str">
        <f>"CLEANING SVC/PCT#2"</f>
        <v>CLEANING SVC/PCT#2</v>
      </c>
      <c r="G737" s="5">
        <v>150</v>
      </c>
      <c r="H737" t="str">
        <f>"CLEANING SVC/PCT#2"</f>
        <v>CLEANING SVC/PCT#2</v>
      </c>
    </row>
    <row r="738" spans="1:8" x14ac:dyDescent="0.25">
      <c r="A738" t="s">
        <v>206</v>
      </c>
      <c r="B738">
        <v>2374</v>
      </c>
      <c r="C738" s="5">
        <v>200</v>
      </c>
      <c r="D738" s="1">
        <v>43914</v>
      </c>
      <c r="E738" t="str">
        <f>"202003176010"</f>
        <v>202003176010</v>
      </c>
      <c r="F738" t="str">
        <f>"DEEP CLEAN/PCT#2"</f>
        <v>DEEP CLEAN/PCT#2</v>
      </c>
      <c r="G738" s="5">
        <v>200</v>
      </c>
      <c r="H738" t="str">
        <f>"DEEP CLEAN/PCT#2"</f>
        <v>DEEP CLEAN/PCT#2</v>
      </c>
    </row>
    <row r="739" spans="1:8" x14ac:dyDescent="0.25">
      <c r="E739" t="str">
        <f>"INV-00003-000246"</f>
        <v>INV-00003-000246</v>
      </c>
      <c r="F739" t="str">
        <f>"REGISTRATION-RACHEL ETHEREDGE"</f>
        <v>REGISTRATION-RACHEL ETHEREDGE</v>
      </c>
      <c r="G739" s="5">
        <v>320</v>
      </c>
    </row>
    <row r="740" spans="1:8" x14ac:dyDescent="0.25">
      <c r="E740" t="str">
        <f>"INV-00003-000247"</f>
        <v>INV-00003-000247</v>
      </c>
      <c r="F740" t="str">
        <f>"REGISTRATION-AMBER QUINLEY"</f>
        <v>REGISTRATION-AMBER QUINLEY</v>
      </c>
      <c r="G740" s="5">
        <v>320</v>
      </c>
    </row>
    <row r="741" spans="1:8" x14ac:dyDescent="0.25">
      <c r="A741" t="s">
        <v>207</v>
      </c>
      <c r="B741">
        <v>131079</v>
      </c>
      <c r="C741" s="5">
        <v>50.25</v>
      </c>
      <c r="D741" s="1">
        <v>43895</v>
      </c>
      <c r="E741" t="str">
        <f>"202003055748"</f>
        <v>202003055748</v>
      </c>
      <c r="F741" t="str">
        <f>"ACCT#1-09-00072-02 1/02252020"</f>
        <v>ACCT#1-09-00072-02 1/02252020</v>
      </c>
      <c r="G741" s="5">
        <v>50.25</v>
      </c>
      <c r="H741" t="str">
        <f>"ACCT#1-09-00072-02 1/02252020"</f>
        <v>ACCT#1-09-00072-02 1/02252020</v>
      </c>
    </row>
    <row r="742" spans="1:8" x14ac:dyDescent="0.25">
      <c r="A742" t="s">
        <v>208</v>
      </c>
      <c r="B742">
        <v>131173</v>
      </c>
      <c r="C742" s="5">
        <v>87.45</v>
      </c>
      <c r="D742" s="1">
        <v>43899</v>
      </c>
      <c r="E742" t="str">
        <f>"0558647337"</f>
        <v>0558647337</v>
      </c>
      <c r="F742" t="str">
        <f>"INV 0558647337"</f>
        <v>INV 0558647337</v>
      </c>
      <c r="G742" s="5">
        <v>87.45</v>
      </c>
      <c r="H742" t="str">
        <f>"INV 0558647337"</f>
        <v>INV 0558647337</v>
      </c>
    </row>
    <row r="743" spans="1:8" x14ac:dyDescent="0.25">
      <c r="A743" t="s">
        <v>209</v>
      </c>
      <c r="B743">
        <v>131174</v>
      </c>
      <c r="C743" s="5">
        <v>225</v>
      </c>
      <c r="D743" s="1">
        <v>43899</v>
      </c>
      <c r="E743" t="str">
        <f>"20466"</f>
        <v>20466</v>
      </c>
      <c r="F743" t="str">
        <f>"INTERPRETING SVCS/1DC-0072-19"</f>
        <v>INTERPRETING SVCS/1DC-0072-19</v>
      </c>
      <c r="G743" s="5">
        <v>225</v>
      </c>
      <c r="H743" t="str">
        <f>"INTERPRETING SVCS/1DC-0072-19"</f>
        <v>INTERPRETING SVCS/1DC-0072-19</v>
      </c>
    </row>
    <row r="744" spans="1:8" x14ac:dyDescent="0.25">
      <c r="A744" t="s">
        <v>210</v>
      </c>
      <c r="B744">
        <v>131175</v>
      </c>
      <c r="C744" s="5">
        <v>333.15</v>
      </c>
      <c r="D744" s="1">
        <v>43899</v>
      </c>
      <c r="E744" t="str">
        <f>"1211621-20200229"</f>
        <v>1211621-20200229</v>
      </c>
      <c r="F744" t="str">
        <f>"BILL ID:1211621/HEALTH SVCS"</f>
        <v>BILL ID:1211621/HEALTH SVCS</v>
      </c>
      <c r="G744" s="5">
        <v>333.15</v>
      </c>
      <c r="H744" t="str">
        <f>"BILL ID:1211621/HEALTH SVCS"</f>
        <v>BILL ID:1211621/HEALTH SVCS</v>
      </c>
    </row>
    <row r="745" spans="1:8" x14ac:dyDescent="0.25">
      <c r="A745" t="s">
        <v>210</v>
      </c>
      <c r="B745">
        <v>131369</v>
      </c>
      <c r="C745" s="5">
        <v>625.45000000000005</v>
      </c>
      <c r="D745" s="1">
        <v>43913</v>
      </c>
      <c r="E745" t="str">
        <f>"1361725-20200229"</f>
        <v>1361725-20200229</v>
      </c>
      <c r="F745" t="str">
        <f>"BILL ID:1361725/INDIGENT HLTH"</f>
        <v>BILL ID:1361725/INDIGENT HLTH</v>
      </c>
      <c r="G745" s="5">
        <v>150</v>
      </c>
      <c r="H745" t="str">
        <f>"BILL ID:1361725/INDIGENT HLTH"</f>
        <v>BILL ID:1361725/INDIGENT HLTH</v>
      </c>
    </row>
    <row r="746" spans="1:8" x14ac:dyDescent="0.25">
      <c r="E746" t="str">
        <f>"1394645-20200229"</f>
        <v>1394645-20200229</v>
      </c>
      <c r="F746" t="str">
        <f>"BILL ID:1394645/COUNTY CLERK"</f>
        <v>BILL ID:1394645/COUNTY CLERK</v>
      </c>
      <c r="G746" s="5">
        <v>128.35</v>
      </c>
      <c r="H746" t="str">
        <f>"BILL ID:1394645/COUNTY CLERK"</f>
        <v>BILL ID:1394645/COUNTY CLERK</v>
      </c>
    </row>
    <row r="747" spans="1:8" x14ac:dyDescent="0.25">
      <c r="E747" t="str">
        <f>"1420944-20200229"</f>
        <v>1420944-20200229</v>
      </c>
      <c r="F747" t="str">
        <f>"BILL ID:1420944/SHERIFF'S OFF"</f>
        <v>BILL ID:1420944/SHERIFF'S OFF</v>
      </c>
      <c r="G747" s="5">
        <v>297.10000000000002</v>
      </c>
      <c r="H747" t="str">
        <f>"BILL ID:1420944/SHERIFF'S OFF"</f>
        <v>BILL ID:1420944/SHERIFF'S OFF</v>
      </c>
    </row>
    <row r="748" spans="1:8" x14ac:dyDescent="0.25">
      <c r="E748" t="str">
        <f>"1489870-20200229"</f>
        <v>1489870-20200229</v>
      </c>
      <c r="F748" t="str">
        <f>"BILL ID:1489870/DISTRICT CLERK"</f>
        <v>BILL ID:1489870/DISTRICT CLERK</v>
      </c>
      <c r="G748" s="5">
        <v>50</v>
      </c>
      <c r="H748" t="str">
        <f>"BILL ID:1489870/DISTRICT CLERK"</f>
        <v>BILL ID:1489870/DISTRICT CLERK</v>
      </c>
    </row>
    <row r="749" spans="1:8" x14ac:dyDescent="0.25">
      <c r="A749" t="s">
        <v>211</v>
      </c>
      <c r="B749">
        <v>131176</v>
      </c>
      <c r="C749" s="5">
        <v>1445.47</v>
      </c>
      <c r="D749" s="1">
        <v>43899</v>
      </c>
      <c r="E749" t="str">
        <f>"1762086"</f>
        <v>1762086</v>
      </c>
      <c r="F749" t="str">
        <f>"ACCT#15717/TIRE SVCS"</f>
        <v>ACCT#15717/TIRE SVCS</v>
      </c>
      <c r="G749" s="5">
        <v>1445.47</v>
      </c>
      <c r="H749" t="str">
        <f>"ACCT#15717/TIRE SVCS"</f>
        <v>ACCT#15717/TIRE SVCS</v>
      </c>
    </row>
    <row r="750" spans="1:8" x14ac:dyDescent="0.25">
      <c r="A750" t="s">
        <v>211</v>
      </c>
      <c r="B750">
        <v>131370</v>
      </c>
      <c r="C750" s="5">
        <v>1304.25</v>
      </c>
      <c r="D750" s="1">
        <v>43913</v>
      </c>
      <c r="E750" t="str">
        <f>"1771693"</f>
        <v>1771693</v>
      </c>
      <c r="F750" t="str">
        <f>"ACCT#15717/TIRE SVCS"</f>
        <v>ACCT#15717/TIRE SVCS</v>
      </c>
      <c r="G750" s="5">
        <v>1304.25</v>
      </c>
      <c r="H750" t="str">
        <f>"ACCT#15717/TIRE SVCS"</f>
        <v>ACCT#15717/TIRE SVCS</v>
      </c>
    </row>
    <row r="751" spans="1:8" x14ac:dyDescent="0.25">
      <c r="A751" t="s">
        <v>212</v>
      </c>
      <c r="B751">
        <v>2310</v>
      </c>
      <c r="C751" s="5">
        <v>45</v>
      </c>
      <c r="D751" s="1">
        <v>43900</v>
      </c>
      <c r="E751" t="str">
        <f>"202002265495"</f>
        <v>202002265495</v>
      </c>
      <c r="F751" t="str">
        <f>"2015 CAND/UT REGISTRATION"</f>
        <v>2015 CAND/UT REGISTRATION</v>
      </c>
      <c r="G751" s="5">
        <v>7.5</v>
      </c>
      <c r="H751" t="str">
        <f>"2015 CAND/UT REGISTRATION"</f>
        <v>2015 CAND/UT REGISTRATION</v>
      </c>
    </row>
    <row r="752" spans="1:8" x14ac:dyDescent="0.25">
      <c r="E752" t="str">
        <f>"202003045703"</f>
        <v>202003045703</v>
      </c>
      <c r="F752" t="str">
        <f>"2018 ECONONLINE REG/PCT#1"</f>
        <v>2018 ECONONLINE REG/PCT#1</v>
      </c>
      <c r="G752" s="5">
        <v>7.5</v>
      </c>
      <c r="H752" t="str">
        <f>"2018 ECONONLINE REG/PCT#1"</f>
        <v>2018 ECONONLINE REG/PCT#1</v>
      </c>
    </row>
    <row r="753" spans="1:8" x14ac:dyDescent="0.25">
      <c r="E753" t="str">
        <f>"202003045714"</f>
        <v>202003045714</v>
      </c>
      <c r="F753" t="str">
        <f>"VEHICLE REGISTRATIONS/SHERIFF"</f>
        <v>VEHICLE REGISTRATIONS/SHERIFF</v>
      </c>
      <c r="G753" s="5">
        <v>30</v>
      </c>
      <c r="H753" t="str">
        <f>"VEHICLE REGISTRATIONS/SHERIFF"</f>
        <v>VEHICLE REGISTRATIONS/SHERIFF</v>
      </c>
    </row>
    <row r="754" spans="1:8" x14ac:dyDescent="0.25">
      <c r="A754" t="s">
        <v>212</v>
      </c>
      <c r="B754">
        <v>2385</v>
      </c>
      <c r="C754" s="5">
        <v>97.5</v>
      </c>
      <c r="D754" s="1">
        <v>43914</v>
      </c>
      <c r="E754" t="str">
        <f>"202003135961"</f>
        <v>202003135961</v>
      </c>
      <c r="F754" t="str">
        <f>"TITLE TRANSFER/PCT#1"</f>
        <v>TITLE TRANSFER/PCT#1</v>
      </c>
      <c r="G754" s="5">
        <v>7.5</v>
      </c>
      <c r="H754" t="str">
        <f>"TITLE TRANSFER/PCT#1"</f>
        <v>TITLE TRANSFER/PCT#1</v>
      </c>
    </row>
    <row r="755" spans="1:8" x14ac:dyDescent="0.25">
      <c r="E755" t="str">
        <f>"202003135962"</f>
        <v>202003135962</v>
      </c>
      <c r="F755" t="str">
        <f>"2016 TRAILER REGISTRATION/IT"</f>
        <v>2016 TRAILER REGISTRATION/IT</v>
      </c>
      <c r="G755" s="5">
        <v>7.5</v>
      </c>
      <c r="H755" t="str">
        <f>"2016 TRAILER REGISTRATION/IT"</f>
        <v>2016 TRAILER REGISTRATION/IT</v>
      </c>
    </row>
    <row r="756" spans="1:8" x14ac:dyDescent="0.25">
      <c r="E756" t="str">
        <f>"202003135963"</f>
        <v>202003135963</v>
      </c>
      <c r="F756" t="str">
        <f>"REGISTRATIONS/GEN SVCS"</f>
        <v>REGISTRATIONS/GEN SVCS</v>
      </c>
      <c r="G756" s="5">
        <v>15</v>
      </c>
      <c r="H756" t="str">
        <f>"REGISTRATIONS/GEN SVCS"</f>
        <v>REGISTRATIONS/GEN SVCS</v>
      </c>
    </row>
    <row r="757" spans="1:8" x14ac:dyDescent="0.25">
      <c r="E757" t="str">
        <f>"202003135964"</f>
        <v>202003135964</v>
      </c>
      <c r="F757" t="str">
        <f>"REGISTRATIONS/PCT#2"</f>
        <v>REGISTRATIONS/PCT#2</v>
      </c>
      <c r="G757" s="5">
        <v>22.5</v>
      </c>
      <c r="H757" t="str">
        <f>"REGISTRATIONS/PCT#2"</f>
        <v>REGISTRATIONS/PCT#2</v>
      </c>
    </row>
    <row r="758" spans="1:8" x14ac:dyDescent="0.25">
      <c r="E758" t="str">
        <f>"202003196061"</f>
        <v>202003196061</v>
      </c>
      <c r="F758" t="str">
        <f>"VEHICLE REGISTRATIONS/SHERIFF"</f>
        <v>VEHICLE REGISTRATIONS/SHERIFF</v>
      </c>
      <c r="G758" s="5">
        <v>45</v>
      </c>
      <c r="H758" t="str">
        <f>"VEHICLE REGISTRATIONS/SHERIFF"</f>
        <v>VEHICLE REGISTRATIONS/SHERIFF</v>
      </c>
    </row>
    <row r="759" spans="1:8" x14ac:dyDescent="0.25">
      <c r="A759" t="s">
        <v>212</v>
      </c>
      <c r="B759">
        <v>131371</v>
      </c>
      <c r="C759" s="5">
        <v>50</v>
      </c>
      <c r="D759" s="1">
        <v>43913</v>
      </c>
      <c r="E759" t="str">
        <f>"202003125944"</f>
        <v>202003125944</v>
      </c>
      <c r="F759" t="str">
        <f>"REIMBURSEMENT FOR COUNTERFEIT"</f>
        <v>REIMBURSEMENT FOR COUNTERFEIT</v>
      </c>
      <c r="G759" s="5">
        <v>50</v>
      </c>
      <c r="H759" t="str">
        <f>"REIMBURSEMENT FOR COUNTERFEIT"</f>
        <v>REIMBURSEMENT FOR COUNTERFEIT</v>
      </c>
    </row>
    <row r="760" spans="1:8" x14ac:dyDescent="0.25">
      <c r="A760" t="s">
        <v>213</v>
      </c>
      <c r="B760">
        <v>2362</v>
      </c>
      <c r="C760" s="5">
        <v>15417.27</v>
      </c>
      <c r="D760" s="1">
        <v>43914</v>
      </c>
      <c r="E760" t="str">
        <f>"202003125933"</f>
        <v>202003125933</v>
      </c>
      <c r="F760" t="str">
        <f>"GRANT REIMBURSEMENT"</f>
        <v>GRANT REIMBURSEMENT</v>
      </c>
      <c r="G760" s="5">
        <v>14348.81</v>
      </c>
      <c r="H760" t="str">
        <f>"GRANT REIMBURSEMENT"</f>
        <v>GRANT REIMBURSEMENT</v>
      </c>
    </row>
    <row r="761" spans="1:8" x14ac:dyDescent="0.25">
      <c r="E761" t="str">
        <f>"202003176030"</f>
        <v>202003176030</v>
      </c>
      <c r="F761" t="str">
        <f>"INDIGENT HEALTH"</f>
        <v>INDIGENT HEALTH</v>
      </c>
      <c r="G761" s="5">
        <v>1068.46</v>
      </c>
      <c r="H761" t="str">
        <f>"INDIGENT HEALTH"</f>
        <v>INDIGENT HEALTH</v>
      </c>
    </row>
    <row r="762" spans="1:8" x14ac:dyDescent="0.25">
      <c r="E762" t="str">
        <f>""</f>
        <v/>
      </c>
      <c r="F762" t="str">
        <f>""</f>
        <v/>
      </c>
      <c r="H762" t="str">
        <f>"INDIGENT HEALTH"</f>
        <v>INDIGENT HEALTH</v>
      </c>
    </row>
    <row r="763" spans="1:8" x14ac:dyDescent="0.25">
      <c r="E763" t="str">
        <f>""</f>
        <v/>
      </c>
      <c r="F763" t="str">
        <f>""</f>
        <v/>
      </c>
      <c r="H763" t="str">
        <f>"INDIGENT HEALTH"</f>
        <v>INDIGENT HEALTH</v>
      </c>
    </row>
    <row r="764" spans="1:8" x14ac:dyDescent="0.25">
      <c r="A764" t="s">
        <v>214</v>
      </c>
      <c r="B764">
        <v>131177</v>
      </c>
      <c r="C764" s="5">
        <v>300</v>
      </c>
      <c r="D764" s="1">
        <v>43899</v>
      </c>
      <c r="E764" t="str">
        <f>"1293"</f>
        <v>1293</v>
      </c>
      <c r="F764" t="str">
        <f>"INTERPRETING SVCS 16-363"</f>
        <v>INTERPRETING SVCS 16-363</v>
      </c>
      <c r="G764" s="5">
        <v>300</v>
      </c>
      <c r="H764" t="str">
        <f>"INTERPRETING SVCS 16-363"</f>
        <v>INTERPRETING SVCS 16-363</v>
      </c>
    </row>
    <row r="765" spans="1:8" x14ac:dyDescent="0.25">
      <c r="A765" t="s">
        <v>215</v>
      </c>
      <c r="B765">
        <v>131372</v>
      </c>
      <c r="C765" s="5">
        <v>275</v>
      </c>
      <c r="D765" s="1">
        <v>43913</v>
      </c>
      <c r="E765" t="str">
        <f>"105181"</f>
        <v>105181</v>
      </c>
      <c r="F765" t="str">
        <f>"INTALL GLASS/PCT#2"</f>
        <v>INTALL GLASS/PCT#2</v>
      </c>
      <c r="G765" s="5">
        <v>275</v>
      </c>
      <c r="H765" t="str">
        <f>"INTALL GLASS/PCT#2"</f>
        <v>INTALL GLASS/PCT#2</v>
      </c>
    </row>
    <row r="766" spans="1:8" x14ac:dyDescent="0.25">
      <c r="A766" t="s">
        <v>216</v>
      </c>
      <c r="B766">
        <v>2289</v>
      </c>
      <c r="C766" s="5">
        <v>838.5</v>
      </c>
      <c r="D766" s="1">
        <v>43900</v>
      </c>
      <c r="E766" t="str">
        <f>"202003025563"</f>
        <v>202003025563</v>
      </c>
      <c r="F766" t="str">
        <f>"TRASH REMOVAL 02/24-02/28/P4"</f>
        <v>TRASH REMOVAL 02/24-02/28/P4</v>
      </c>
      <c r="G766" s="5">
        <v>351</v>
      </c>
      <c r="H766" t="str">
        <f>"TRASH REMOVAL 02/24-02/28/P4"</f>
        <v>TRASH REMOVAL 02/24-02/28/P4</v>
      </c>
    </row>
    <row r="767" spans="1:8" x14ac:dyDescent="0.25">
      <c r="E767" t="str">
        <f>"202003025564"</f>
        <v>202003025564</v>
      </c>
      <c r="F767" t="str">
        <f>"TRASH REMOVAL 03/02-03/06/P4"</f>
        <v>TRASH REMOVAL 03/02-03/06/P4</v>
      </c>
      <c r="G767" s="5">
        <v>487.5</v>
      </c>
      <c r="H767" t="str">
        <f>"TRASH REMOVAL 03/02-03/06/P4"</f>
        <v>TRASH REMOVAL 03/02-03/06/P4</v>
      </c>
    </row>
    <row r="768" spans="1:8" x14ac:dyDescent="0.25">
      <c r="A768" t="s">
        <v>216</v>
      </c>
      <c r="B768">
        <v>2370</v>
      </c>
      <c r="C768" s="5">
        <v>773.5</v>
      </c>
      <c r="D768" s="1">
        <v>43914</v>
      </c>
      <c r="E768" t="str">
        <f>"202003176001"</f>
        <v>202003176001</v>
      </c>
      <c r="F768" t="str">
        <f>"TRASH REMOVAL 03/09-03/20/P4"</f>
        <v>TRASH REMOVAL 03/09-03/20/P4</v>
      </c>
      <c r="G768" s="5">
        <v>773.5</v>
      </c>
      <c r="H768" t="str">
        <f>"TRASH REMOVAL 03/09-03/20/P4"</f>
        <v>TRASH REMOVAL 03/09-03/20/P4</v>
      </c>
    </row>
    <row r="769" spans="1:8" x14ac:dyDescent="0.25">
      <c r="A769" t="s">
        <v>217</v>
      </c>
      <c r="B769">
        <v>2316</v>
      </c>
      <c r="C769" s="5">
        <v>240</v>
      </c>
      <c r="D769" s="1">
        <v>43900</v>
      </c>
      <c r="E769" t="str">
        <f>"202003035691"</f>
        <v>202003035691</v>
      </c>
      <c r="F769" t="str">
        <f>"STATEMENT 10-000416"</f>
        <v>STATEMENT 10-000416</v>
      </c>
      <c r="G769" s="5">
        <v>240</v>
      </c>
      <c r="H769" t="str">
        <f>"INV 10-0084332"</f>
        <v>INV 10-0084332</v>
      </c>
    </row>
    <row r="770" spans="1:8" x14ac:dyDescent="0.25">
      <c r="E770" t="str">
        <f>""</f>
        <v/>
      </c>
      <c r="F770" t="str">
        <f>""</f>
        <v/>
      </c>
      <c r="H770" t="str">
        <f>"INV 10-0084404"</f>
        <v>INV 10-0084404</v>
      </c>
    </row>
    <row r="771" spans="1:8" x14ac:dyDescent="0.25">
      <c r="E771" t="str">
        <f>""</f>
        <v/>
      </c>
      <c r="F771" t="str">
        <f>""</f>
        <v/>
      </c>
      <c r="H771" t="str">
        <f>"INV 10-0085388"</f>
        <v>INV 10-0085388</v>
      </c>
    </row>
    <row r="772" spans="1:8" x14ac:dyDescent="0.25">
      <c r="E772" t="str">
        <f>""</f>
        <v/>
      </c>
      <c r="F772" t="str">
        <f>""</f>
        <v/>
      </c>
      <c r="H772" t="str">
        <f>"INV 10-0086271"</f>
        <v>INV 10-0086271</v>
      </c>
    </row>
    <row r="773" spans="1:8" x14ac:dyDescent="0.25">
      <c r="E773" t="str">
        <f>""</f>
        <v/>
      </c>
      <c r="F773" t="str">
        <f>""</f>
        <v/>
      </c>
      <c r="H773" t="str">
        <f>"INV 10-0087124"</f>
        <v>INV 10-0087124</v>
      </c>
    </row>
    <row r="774" spans="1:8" x14ac:dyDescent="0.25">
      <c r="E774" t="str">
        <f>""</f>
        <v/>
      </c>
      <c r="F774" t="str">
        <f>""</f>
        <v/>
      </c>
      <c r="H774" t="str">
        <f>"INV 10-0088345"</f>
        <v>INV 10-0088345</v>
      </c>
    </row>
    <row r="775" spans="1:8" x14ac:dyDescent="0.25">
      <c r="E775" t="str">
        <f>""</f>
        <v/>
      </c>
      <c r="F775" t="str">
        <f>""</f>
        <v/>
      </c>
      <c r="H775" t="str">
        <f>"ADJUSTMENT 01/05/202"</f>
        <v>ADJUSTMENT 01/05/202</v>
      </c>
    </row>
    <row r="776" spans="1:8" x14ac:dyDescent="0.25">
      <c r="A776" t="s">
        <v>218</v>
      </c>
      <c r="B776">
        <v>131178</v>
      </c>
      <c r="C776" s="5">
        <v>67.319999999999993</v>
      </c>
      <c r="D776" s="1">
        <v>43899</v>
      </c>
      <c r="E776" t="str">
        <f>"910077"</f>
        <v>910077</v>
      </c>
      <c r="F776" t="str">
        <f>"acct# 8692"</f>
        <v>acct# 8692</v>
      </c>
      <c r="G776" s="5">
        <v>67.319999999999993</v>
      </c>
      <c r="H776" t="str">
        <f>"Inv# 910077"</f>
        <v>Inv# 910077</v>
      </c>
    </row>
    <row r="777" spans="1:8" x14ac:dyDescent="0.25">
      <c r="A777" t="s">
        <v>219</v>
      </c>
      <c r="B777">
        <v>131373</v>
      </c>
      <c r="C777" s="5">
        <v>25</v>
      </c>
      <c r="D777" s="1">
        <v>43913</v>
      </c>
      <c r="E777" t="str">
        <f>"202003135975"</f>
        <v>202003135975</v>
      </c>
      <c r="F777" t="str">
        <f>"REFUND- DRIVEWAY PERMIT"</f>
        <v>REFUND- DRIVEWAY PERMIT</v>
      </c>
      <c r="G777" s="5">
        <v>25</v>
      </c>
      <c r="H777" t="str">
        <f>"REFUND- DRIVEWAY PERMIT"</f>
        <v>REFUND- DRIVEWAY PERMIT</v>
      </c>
    </row>
    <row r="778" spans="1:8" x14ac:dyDescent="0.25">
      <c r="A778" t="s">
        <v>220</v>
      </c>
      <c r="B778">
        <v>131374</v>
      </c>
      <c r="C778" s="5">
        <v>135</v>
      </c>
      <c r="D778" s="1">
        <v>43913</v>
      </c>
      <c r="E778" t="s">
        <v>146</v>
      </c>
      <c r="F778" t="str">
        <f>"RESTITUTION - L. SADECKY"</f>
        <v>RESTITUTION - L. SADECKY</v>
      </c>
      <c r="G778" s="5">
        <v>135</v>
      </c>
      <c r="H778" t="str">
        <f>"RESTITUTION - L. SADECKY"</f>
        <v>RESTITUTION - L. SADECKY</v>
      </c>
    </row>
    <row r="779" spans="1:8" x14ac:dyDescent="0.25">
      <c r="A779" t="s">
        <v>221</v>
      </c>
      <c r="B779">
        <v>131179</v>
      </c>
      <c r="C779" s="5">
        <v>43419.040000000001</v>
      </c>
      <c r="D779" s="1">
        <v>43899</v>
      </c>
      <c r="E779" t="str">
        <f>"INVC060954"</f>
        <v>INVC060954</v>
      </c>
      <c r="F779" t="str">
        <f>"ACCT#4301300/APR31423A/19018"</f>
        <v>ACCT#4301300/APR31423A/19018</v>
      </c>
      <c r="G779" s="5">
        <v>43419.040000000001</v>
      </c>
      <c r="H779" t="str">
        <f>"ACCT#4301300/APR31423A/19018"</f>
        <v>ACCT#4301300/APR31423A/19018</v>
      </c>
    </row>
    <row r="780" spans="1:8" x14ac:dyDescent="0.25">
      <c r="A780" t="s">
        <v>222</v>
      </c>
      <c r="B780">
        <v>131375</v>
      </c>
      <c r="C780" s="5">
        <v>170</v>
      </c>
      <c r="D780" s="1">
        <v>43913</v>
      </c>
      <c r="E780" t="str">
        <f>"0036476"</f>
        <v>0036476</v>
      </c>
      <c r="F780" t="str">
        <f>"INV 0036476"</f>
        <v>INV 0036476</v>
      </c>
      <c r="G780" s="5">
        <v>170</v>
      </c>
      <c r="H780" t="str">
        <f>"INV 0036476"</f>
        <v>INV 0036476</v>
      </c>
    </row>
    <row r="781" spans="1:8" x14ac:dyDescent="0.25">
      <c r="A781" t="s">
        <v>223</v>
      </c>
      <c r="B781">
        <v>2357</v>
      </c>
      <c r="C781" s="5">
        <v>97.35</v>
      </c>
      <c r="D781" s="1">
        <v>43914</v>
      </c>
      <c r="E781" t="str">
        <f>"202003125880"</f>
        <v>202003125880</v>
      </c>
      <c r="F781" t="str">
        <f>"AG COURT"</f>
        <v>AG COURT</v>
      </c>
      <c r="G781" s="5">
        <v>97.35</v>
      </c>
      <c r="H781" t="str">
        <f>"AG COURT"</f>
        <v>AG COURT</v>
      </c>
    </row>
    <row r="782" spans="1:8" x14ac:dyDescent="0.25">
      <c r="A782" t="s">
        <v>224</v>
      </c>
      <c r="B782">
        <v>131376</v>
      </c>
      <c r="C782" s="5">
        <v>5320</v>
      </c>
      <c r="D782" s="1">
        <v>43913</v>
      </c>
      <c r="E782" t="str">
        <f>"174"</f>
        <v>174</v>
      </c>
      <c r="F782" t="str">
        <f>"IT SERVICES"</f>
        <v>IT SERVICES</v>
      </c>
      <c r="G782" s="5">
        <v>5320</v>
      </c>
      <c r="H782" t="str">
        <f>"IT SERVICES"</f>
        <v>IT SERVICES</v>
      </c>
    </row>
    <row r="783" spans="1:8" x14ac:dyDescent="0.25">
      <c r="A783" t="s">
        <v>225</v>
      </c>
      <c r="B783">
        <v>131377</v>
      </c>
      <c r="C783" s="5">
        <v>920.3</v>
      </c>
      <c r="D783" s="1">
        <v>43913</v>
      </c>
      <c r="E783" t="str">
        <f>"202003176031"</f>
        <v>202003176031</v>
      </c>
      <c r="F783" t="str">
        <f>"INDIGENT HEALTH"</f>
        <v>INDIGENT HEALTH</v>
      </c>
      <c r="G783" s="5">
        <v>920.3</v>
      </c>
      <c r="H783" t="str">
        <f>"INDIGENT HEALTH"</f>
        <v>INDIGENT HEALTH</v>
      </c>
    </row>
    <row r="784" spans="1:8" x14ac:dyDescent="0.25">
      <c r="E784" t="str">
        <f>""</f>
        <v/>
      </c>
      <c r="F784" t="str">
        <f>""</f>
        <v/>
      </c>
      <c r="H784" t="str">
        <f>"INDIGENT HEALTH"</f>
        <v>INDIGENT HEALTH</v>
      </c>
    </row>
    <row r="785" spans="1:8" x14ac:dyDescent="0.25">
      <c r="A785" t="s">
        <v>226</v>
      </c>
      <c r="B785">
        <v>131378</v>
      </c>
      <c r="C785" s="5">
        <v>71.319999999999993</v>
      </c>
      <c r="D785" s="1">
        <v>43913</v>
      </c>
      <c r="E785" t="str">
        <f>"INV001866392"</f>
        <v>INV001866392</v>
      </c>
      <c r="F785" t="str">
        <f>"INV001866392"</f>
        <v>INV001866392</v>
      </c>
      <c r="G785" s="5">
        <v>71.319999999999993</v>
      </c>
      <c r="H785" t="str">
        <f>"INV001866392"</f>
        <v>INV001866392</v>
      </c>
    </row>
    <row r="786" spans="1:8" x14ac:dyDescent="0.25">
      <c r="A786" t="s">
        <v>227</v>
      </c>
      <c r="B786">
        <v>2277</v>
      </c>
      <c r="C786" s="5">
        <v>2108.75</v>
      </c>
      <c r="D786" s="1">
        <v>43900</v>
      </c>
      <c r="E786" t="str">
        <f>"202002275525"</f>
        <v>202002275525</v>
      </c>
      <c r="F786" t="str">
        <f>"57 207"</f>
        <v>57 207</v>
      </c>
      <c r="G786" s="5">
        <v>250</v>
      </c>
      <c r="H786" t="str">
        <f>"57 207"</f>
        <v>57 207</v>
      </c>
    </row>
    <row r="787" spans="1:8" x14ac:dyDescent="0.25">
      <c r="E787" t="str">
        <f>"202002275526"</f>
        <v>202002275526</v>
      </c>
      <c r="F787" t="str">
        <f>"4123073  925-347-8357-A001"</f>
        <v>4123073  925-347-8357-A001</v>
      </c>
      <c r="G787" s="5">
        <v>125</v>
      </c>
      <c r="H787" t="str">
        <f>"4123073  925-347-8357-A001"</f>
        <v>4123073  925-347-8357-A001</v>
      </c>
    </row>
    <row r="788" spans="1:8" x14ac:dyDescent="0.25">
      <c r="E788" t="str">
        <f>"202003035603"</f>
        <v>202003035603</v>
      </c>
      <c r="F788" t="str">
        <f>"19-19857"</f>
        <v>19-19857</v>
      </c>
      <c r="G788" s="5">
        <v>100</v>
      </c>
      <c r="H788" t="str">
        <f>"19-19857"</f>
        <v>19-19857</v>
      </c>
    </row>
    <row r="789" spans="1:8" x14ac:dyDescent="0.25">
      <c r="E789" t="str">
        <f>"202003035604"</f>
        <v>202003035604</v>
      </c>
      <c r="F789" t="str">
        <f>"19-19849"</f>
        <v>19-19849</v>
      </c>
      <c r="G789" s="5">
        <v>100</v>
      </c>
      <c r="H789" t="str">
        <f>"19-19849"</f>
        <v>19-19849</v>
      </c>
    </row>
    <row r="790" spans="1:8" x14ac:dyDescent="0.25">
      <c r="E790" t="str">
        <f>"202003035606"</f>
        <v>202003035606</v>
      </c>
      <c r="F790" t="str">
        <f>"20-20098"</f>
        <v>20-20098</v>
      </c>
      <c r="G790" s="5">
        <v>100</v>
      </c>
      <c r="H790" t="str">
        <f>"20-20098"</f>
        <v>20-20098</v>
      </c>
    </row>
    <row r="791" spans="1:8" x14ac:dyDescent="0.25">
      <c r="E791" t="str">
        <f>"202003035607"</f>
        <v>202003035607</v>
      </c>
      <c r="F791" t="str">
        <f>"DETENTION HEARING"</f>
        <v>DETENTION HEARING</v>
      </c>
      <c r="G791" s="5">
        <v>100</v>
      </c>
      <c r="H791" t="str">
        <f>"DETENTION HEARING"</f>
        <v>DETENTION HEARING</v>
      </c>
    </row>
    <row r="792" spans="1:8" x14ac:dyDescent="0.25">
      <c r="E792" t="str">
        <f>"202003035608"</f>
        <v>202003035608</v>
      </c>
      <c r="F792" t="str">
        <f>"56 148"</f>
        <v>56 148</v>
      </c>
      <c r="G792" s="5">
        <v>250</v>
      </c>
      <c r="H792" t="str">
        <f>"56 148"</f>
        <v>56 148</v>
      </c>
    </row>
    <row r="793" spans="1:8" x14ac:dyDescent="0.25">
      <c r="E793" t="str">
        <f>"202003035609"</f>
        <v>202003035609</v>
      </c>
      <c r="F793" t="str">
        <f>"56 074"</f>
        <v>56 074</v>
      </c>
      <c r="G793" s="5">
        <v>250</v>
      </c>
      <c r="H793" t="str">
        <f>"56 074"</f>
        <v>56 074</v>
      </c>
    </row>
    <row r="794" spans="1:8" x14ac:dyDescent="0.25">
      <c r="E794" t="str">
        <f>"202003035682"</f>
        <v>202003035682</v>
      </c>
      <c r="F794" t="str">
        <f>"20-20056"</f>
        <v>20-20056</v>
      </c>
      <c r="G794" s="5">
        <v>100</v>
      </c>
      <c r="H794" t="str">
        <f>"20-20056"</f>
        <v>20-20056</v>
      </c>
    </row>
    <row r="795" spans="1:8" x14ac:dyDescent="0.25">
      <c r="E795" t="str">
        <f>"202003035683"</f>
        <v>202003035683</v>
      </c>
      <c r="F795" t="str">
        <f>"19-19499"</f>
        <v>19-19499</v>
      </c>
      <c r="G795" s="5">
        <v>733.75</v>
      </c>
      <c r="H795" t="str">
        <f>"19-19499"</f>
        <v>19-19499</v>
      </c>
    </row>
    <row r="796" spans="1:8" x14ac:dyDescent="0.25">
      <c r="A796" t="s">
        <v>227</v>
      </c>
      <c r="B796">
        <v>2359</v>
      </c>
      <c r="C796" s="5">
        <v>2443.75</v>
      </c>
      <c r="D796" s="1">
        <v>43914</v>
      </c>
      <c r="E796" t="str">
        <f>"202003125915"</f>
        <v>202003125915</v>
      </c>
      <c r="F796" t="str">
        <f>"56 761"</f>
        <v>56 761</v>
      </c>
      <c r="G796" s="5">
        <v>250</v>
      </c>
      <c r="H796" t="str">
        <f>"56 761"</f>
        <v>56 761</v>
      </c>
    </row>
    <row r="797" spans="1:8" x14ac:dyDescent="0.25">
      <c r="E797" t="str">
        <f>"202003176040"</f>
        <v>202003176040</v>
      </c>
      <c r="F797" t="str">
        <f>"19-19849"</f>
        <v>19-19849</v>
      </c>
      <c r="G797" s="5">
        <v>581.25</v>
      </c>
      <c r="H797" t="str">
        <f>"19-19849"</f>
        <v>19-19849</v>
      </c>
    </row>
    <row r="798" spans="1:8" x14ac:dyDescent="0.25">
      <c r="E798" t="str">
        <f>"202003176041"</f>
        <v>202003176041</v>
      </c>
      <c r="F798" t="str">
        <f>"06-11334"</f>
        <v>06-11334</v>
      </c>
      <c r="G798" s="5">
        <v>1000</v>
      </c>
      <c r="H798" t="str">
        <f>"06-11334"</f>
        <v>06-11334</v>
      </c>
    </row>
    <row r="799" spans="1:8" x14ac:dyDescent="0.25">
      <c r="E799" t="str">
        <f>"202003176042"</f>
        <v>202003176042</v>
      </c>
      <c r="F799" t="str">
        <f>"19-19847"</f>
        <v>19-19847</v>
      </c>
      <c r="G799" s="5">
        <v>487.5</v>
      </c>
      <c r="H799" t="str">
        <f>"19-19847"</f>
        <v>19-19847</v>
      </c>
    </row>
    <row r="800" spans="1:8" x14ac:dyDescent="0.25">
      <c r="E800" t="str">
        <f>"202003176043"</f>
        <v>202003176043</v>
      </c>
      <c r="F800" t="str">
        <f>"1JP130186  9253481315A002"</f>
        <v>1JP130186  9253481315A002</v>
      </c>
      <c r="G800" s="5">
        <v>125</v>
      </c>
      <c r="H800" t="str">
        <f>"1JP130186  9253481315A002"</f>
        <v>1JP130186  9253481315A002</v>
      </c>
    </row>
    <row r="801" spans="1:8" x14ac:dyDescent="0.25">
      <c r="A801" t="s">
        <v>228</v>
      </c>
      <c r="B801">
        <v>131379</v>
      </c>
      <c r="C801" s="5">
        <v>487.11</v>
      </c>
      <c r="D801" s="1">
        <v>43913</v>
      </c>
      <c r="E801" t="str">
        <f>"21298247"</f>
        <v>21298247</v>
      </c>
      <c r="F801" t="str">
        <f>"ACCT#41472/PCT#1"</f>
        <v>ACCT#41472/PCT#1</v>
      </c>
      <c r="G801" s="5">
        <v>26.73</v>
      </c>
      <c r="H801" t="str">
        <f>"ACCT#41472/PCT#1"</f>
        <v>ACCT#41472/PCT#1</v>
      </c>
    </row>
    <row r="802" spans="1:8" x14ac:dyDescent="0.25">
      <c r="E802" t="str">
        <f>"21298326"</f>
        <v>21298326</v>
      </c>
      <c r="F802" t="str">
        <f>"ACCT#45057/PCT#4"</f>
        <v>ACCT#45057/PCT#4</v>
      </c>
      <c r="G802" s="5">
        <v>48.73</v>
      </c>
      <c r="H802" t="str">
        <f>"ACCT#45057/PCT#4"</f>
        <v>ACCT#45057/PCT#4</v>
      </c>
    </row>
    <row r="803" spans="1:8" x14ac:dyDescent="0.25">
      <c r="E803" t="str">
        <f>"21298382"</f>
        <v>21298382</v>
      </c>
      <c r="F803" t="str">
        <f>"INV 21298382"</f>
        <v>INV 21298382</v>
      </c>
      <c r="G803" s="5">
        <v>54.86</v>
      </c>
      <c r="H803" t="str">
        <f>"INV 21298382"</f>
        <v>INV 21298382</v>
      </c>
    </row>
    <row r="804" spans="1:8" x14ac:dyDescent="0.25">
      <c r="E804" t="str">
        <f>"21305923"</f>
        <v>21305923</v>
      </c>
      <c r="F804" t="str">
        <f>"ACCT#S9549/PCT#1"</f>
        <v>ACCT#S9549/PCT#1</v>
      </c>
      <c r="G804" s="5">
        <v>150</v>
      </c>
      <c r="H804" t="str">
        <f>"ACCT#S9549/PCT#1"</f>
        <v>ACCT#S9549/PCT#1</v>
      </c>
    </row>
    <row r="805" spans="1:8" x14ac:dyDescent="0.25">
      <c r="E805" t="str">
        <f>"21319722"</f>
        <v>21319722</v>
      </c>
      <c r="F805" t="str">
        <f>"INV 21319722"</f>
        <v>INV 21319722</v>
      </c>
      <c r="G805" s="5">
        <v>206.79</v>
      </c>
      <c r="H805" t="str">
        <f>"INV 21319722"</f>
        <v>INV 21319722</v>
      </c>
    </row>
    <row r="806" spans="1:8" x14ac:dyDescent="0.25">
      <c r="A806" t="s">
        <v>229</v>
      </c>
      <c r="B806">
        <v>2382</v>
      </c>
      <c r="C806" s="5">
        <v>29.47</v>
      </c>
      <c r="D806" s="1">
        <v>43914</v>
      </c>
      <c r="E806" t="str">
        <f>"685868"</f>
        <v>685868</v>
      </c>
      <c r="F806" t="str">
        <f>"ACCT#0900-98011130-001"</f>
        <v>ACCT#0900-98011130-001</v>
      </c>
      <c r="G806" s="5">
        <v>29.47</v>
      </c>
      <c r="H806" t="str">
        <f>"ACCT#0900-98011130-001"</f>
        <v>ACCT#0900-98011130-001</v>
      </c>
    </row>
    <row r="807" spans="1:8" x14ac:dyDescent="0.25">
      <c r="A807" t="s">
        <v>230</v>
      </c>
      <c r="B807">
        <v>131180</v>
      </c>
      <c r="C807" s="5">
        <v>11257.89</v>
      </c>
      <c r="D807" s="1">
        <v>43899</v>
      </c>
      <c r="E807" t="s">
        <v>231</v>
      </c>
      <c r="F807" t="str">
        <f>"ABST FEE"</f>
        <v>ABST FEE</v>
      </c>
      <c r="G807" s="5">
        <v>150</v>
      </c>
      <c r="H807" t="str">
        <f>"ABST FEE"</f>
        <v>ABST FEE</v>
      </c>
    </row>
    <row r="808" spans="1:8" x14ac:dyDescent="0.25">
      <c r="E808" t="str">
        <f>"11328"</f>
        <v>11328</v>
      </c>
      <c r="F808" t="str">
        <f>"SERVICE"</f>
        <v>SERVICE</v>
      </c>
      <c r="G808" s="5">
        <v>10</v>
      </c>
      <c r="H808" t="str">
        <f>"SERVICE"</f>
        <v>SERVICE</v>
      </c>
    </row>
    <row r="809" spans="1:8" x14ac:dyDescent="0.25">
      <c r="E809" t="str">
        <f>"12810"</f>
        <v>12810</v>
      </c>
      <c r="F809" t="str">
        <f>"ABST FEE"</f>
        <v>ABST FEE</v>
      </c>
      <c r="G809" s="5">
        <v>225</v>
      </c>
      <c r="H809" t="str">
        <f>"ABST FEE"</f>
        <v>ABST FEE</v>
      </c>
    </row>
    <row r="810" spans="1:8" x14ac:dyDescent="0.25">
      <c r="E810" t="str">
        <f>"13122"</f>
        <v>13122</v>
      </c>
      <c r="F810" t="str">
        <f>"ABST FEE"</f>
        <v>ABST FEE</v>
      </c>
      <c r="G810" s="5">
        <v>225</v>
      </c>
      <c r="H810" t="str">
        <f>"ABST FEE"</f>
        <v>ABST FEE</v>
      </c>
    </row>
    <row r="811" spans="1:8" x14ac:dyDescent="0.25">
      <c r="E811" t="str">
        <f>"13193"</f>
        <v>13193</v>
      </c>
      <c r="F811" t="str">
        <f>"ABST FEE"</f>
        <v>ABST FEE</v>
      </c>
      <c r="G811" s="5">
        <v>225</v>
      </c>
      <c r="H811" t="str">
        <f>"ABST FEE"</f>
        <v>ABST FEE</v>
      </c>
    </row>
    <row r="812" spans="1:8" x14ac:dyDescent="0.25">
      <c r="E812" t="str">
        <f>"13225"</f>
        <v>13225</v>
      </c>
      <c r="F812" t="str">
        <f>"ABST FEE"</f>
        <v>ABST FEE</v>
      </c>
      <c r="G812" s="5">
        <v>225</v>
      </c>
      <c r="H812" t="str">
        <f>"ABST FEE"</f>
        <v>ABST FEE</v>
      </c>
    </row>
    <row r="813" spans="1:8" x14ac:dyDescent="0.25">
      <c r="E813" t="str">
        <f>"13365"</f>
        <v>13365</v>
      </c>
      <c r="F813" t="str">
        <f>"ABST FEE"</f>
        <v>ABST FEE</v>
      </c>
      <c r="G813" s="5">
        <v>225</v>
      </c>
      <c r="H813" t="str">
        <f>"ABST FEE"</f>
        <v>ABST FEE</v>
      </c>
    </row>
    <row r="814" spans="1:8" x14ac:dyDescent="0.25">
      <c r="E814" t="str">
        <f>"202003035637"</f>
        <v>202003035637</v>
      </c>
      <c r="F814" t="str">
        <f>"COLL OF DELINQ TAXES-FEB 2020"</f>
        <v>COLL OF DELINQ TAXES-FEB 2020</v>
      </c>
      <c r="G814" s="5">
        <v>9972.89</v>
      </c>
      <c r="H814" t="str">
        <f>"COLL OF DELINQ TAXES-FEB 2020"</f>
        <v>COLL OF DELINQ TAXES-FEB 2020</v>
      </c>
    </row>
    <row r="815" spans="1:8" x14ac:dyDescent="0.25">
      <c r="A815" t="s">
        <v>230</v>
      </c>
      <c r="B815">
        <v>131380</v>
      </c>
      <c r="C815" s="5">
        <v>2766</v>
      </c>
      <c r="D815" s="1">
        <v>43913</v>
      </c>
      <c r="E815" t="str">
        <f>"12609"</f>
        <v>12609</v>
      </c>
      <c r="F815" t="str">
        <f>"ABST FEE"</f>
        <v>ABST FEE</v>
      </c>
      <c r="G815" s="5">
        <v>225</v>
      </c>
      <c r="H815" t="str">
        <f>"ABST FEE"</f>
        <v>ABST FEE</v>
      </c>
    </row>
    <row r="816" spans="1:8" x14ac:dyDescent="0.25">
      <c r="E816" t="str">
        <f>"12875  02/18/2020"</f>
        <v>12875  02/18/2020</v>
      </c>
      <c r="F816" t="str">
        <f>"ABST FEE"</f>
        <v>ABST FEE</v>
      </c>
      <c r="G816" s="5">
        <v>55</v>
      </c>
      <c r="H816" t="str">
        <f>"ABST FEE"</f>
        <v>ABST FEE</v>
      </c>
    </row>
    <row r="817" spans="1:8" x14ac:dyDescent="0.25">
      <c r="E817" t="str">
        <f>"12900"</f>
        <v>12900</v>
      </c>
      <c r="F817" t="str">
        <f>"ABST FEE"</f>
        <v>ABST FEE</v>
      </c>
      <c r="G817" s="5">
        <v>217</v>
      </c>
      <c r="H817" t="str">
        <f>"ABST FEE"</f>
        <v>ABST FEE</v>
      </c>
    </row>
    <row r="818" spans="1:8" x14ac:dyDescent="0.25">
      <c r="E818" t="str">
        <f>"12903"</f>
        <v>12903</v>
      </c>
      <c r="F818" t="str">
        <f>"ABST FEE 12/19/19"</f>
        <v>ABST FEE 12/19/19</v>
      </c>
      <c r="G818" s="5">
        <v>225</v>
      </c>
      <c r="H818" t="str">
        <f>"ABST FEE 12/19/19"</f>
        <v>ABST FEE 12/19/19</v>
      </c>
    </row>
    <row r="819" spans="1:8" x14ac:dyDescent="0.25">
      <c r="E819" t="str">
        <f>"13037"</f>
        <v>13037</v>
      </c>
      <c r="F819" t="str">
        <f>"ABST FEE-$225 / SERVICE-$55"</f>
        <v>ABST FEE-$225 / SERVICE-$55</v>
      </c>
      <c r="G819" s="5">
        <v>280</v>
      </c>
      <c r="H819" t="str">
        <f>"ABST FEE-$225 / SERVICE-$55"</f>
        <v>ABST FEE-$225 / SERVICE-$55</v>
      </c>
    </row>
    <row r="820" spans="1:8" x14ac:dyDescent="0.25">
      <c r="E820" t="str">
        <f>"13038"</f>
        <v>13038</v>
      </c>
      <c r="F820" t="str">
        <f>"ABST FEE  12/19/19"</f>
        <v>ABST FEE  12/19/19</v>
      </c>
      <c r="G820" s="5">
        <v>225</v>
      </c>
      <c r="H820" t="str">
        <f>"ABST FEE  12/19/19"</f>
        <v>ABST FEE  12/19/19</v>
      </c>
    </row>
    <row r="821" spans="1:8" x14ac:dyDescent="0.25">
      <c r="E821" t="str">
        <f>"13062"</f>
        <v>13062</v>
      </c>
      <c r="F821" t="str">
        <f>"ABST FEE-$225 / SERVICE-$55"</f>
        <v>ABST FEE-$225 / SERVICE-$55</v>
      </c>
      <c r="G821" s="5">
        <v>280</v>
      </c>
      <c r="H821" t="str">
        <f>"ABST FEE-$225 / SERVICE-$55"</f>
        <v>ABST FEE-$225 / SERVICE-$55</v>
      </c>
    </row>
    <row r="822" spans="1:8" x14ac:dyDescent="0.25">
      <c r="E822" t="str">
        <f>"13063"</f>
        <v>13063</v>
      </c>
      <c r="F822" t="str">
        <f>"ABST FEE  12/19/19"</f>
        <v>ABST FEE  12/19/19</v>
      </c>
      <c r="G822" s="5">
        <v>225</v>
      </c>
      <c r="H822" t="str">
        <f>"McCREARY  VESELKA  BRAGG &amp; ALL"</f>
        <v>McCREARY  VESELKA  BRAGG &amp; ALL</v>
      </c>
    </row>
    <row r="823" spans="1:8" x14ac:dyDescent="0.25">
      <c r="E823" t="str">
        <f>"13064"</f>
        <v>13064</v>
      </c>
      <c r="F823" t="str">
        <f>"ABST FEE  12/19/19"</f>
        <v>ABST FEE  12/19/19</v>
      </c>
      <c r="G823" s="5">
        <v>225</v>
      </c>
      <c r="H823" t="str">
        <f>"ABST FEE  12/19/19"</f>
        <v>ABST FEE  12/19/19</v>
      </c>
    </row>
    <row r="824" spans="1:8" x14ac:dyDescent="0.25">
      <c r="E824" t="str">
        <f>"13109"</f>
        <v>13109</v>
      </c>
      <c r="F824" t="str">
        <f>"ABST FEE-$225 &amp; SERVICE-$110"</f>
        <v>ABST FEE-$225 &amp; SERVICE-$110</v>
      </c>
      <c r="G824" s="5">
        <v>335</v>
      </c>
      <c r="H824" t="str">
        <f>"ABST FEE-$225 &amp; SERVICE-$110"</f>
        <v>ABST FEE-$225 &amp; SERVICE-$110</v>
      </c>
    </row>
    <row r="825" spans="1:8" x14ac:dyDescent="0.25">
      <c r="E825" t="str">
        <f>"13156"</f>
        <v>13156</v>
      </c>
      <c r="F825" t="str">
        <f>"ABST FEE  12/19/19"</f>
        <v>ABST FEE  12/19/19</v>
      </c>
      <c r="G825" s="5">
        <v>225</v>
      </c>
      <c r="H825" t="str">
        <f>"ABST FEE  12/19/19"</f>
        <v>ABST FEE  12/19/19</v>
      </c>
    </row>
    <row r="826" spans="1:8" x14ac:dyDescent="0.25">
      <c r="E826" t="str">
        <f>"13370"</f>
        <v>13370</v>
      </c>
      <c r="F826" t="str">
        <f>"ABST FEE"</f>
        <v>ABST FEE</v>
      </c>
      <c r="G826" s="5">
        <v>24</v>
      </c>
      <c r="H826" t="str">
        <f>"ABST FEE"</f>
        <v>ABST FEE</v>
      </c>
    </row>
    <row r="827" spans="1:8" x14ac:dyDescent="0.25">
      <c r="E827" t="str">
        <f>"13371"</f>
        <v>13371</v>
      </c>
      <c r="F827" t="str">
        <f>"ABST FEE"</f>
        <v>ABST FEE</v>
      </c>
      <c r="G827" s="5">
        <v>225</v>
      </c>
      <c r="H827" t="str">
        <f>"ABST FEE"</f>
        <v>ABST FEE</v>
      </c>
    </row>
    <row r="828" spans="1:8" x14ac:dyDescent="0.25">
      <c r="A828" t="s">
        <v>232</v>
      </c>
      <c r="B828">
        <v>131181</v>
      </c>
      <c r="C828" s="5">
        <v>489</v>
      </c>
      <c r="D828" s="1">
        <v>43899</v>
      </c>
      <c r="E828" t="str">
        <f>"202003045704"</f>
        <v>202003045704</v>
      </c>
      <c r="F828" t="str">
        <f>"INV 76750747"</f>
        <v>INV 76750747</v>
      </c>
      <c r="G828" s="5">
        <v>489</v>
      </c>
      <c r="H828" t="str">
        <f>"INV 76750747"</f>
        <v>INV 76750747</v>
      </c>
    </row>
    <row r="829" spans="1:8" x14ac:dyDescent="0.25">
      <c r="E829" t="str">
        <f>""</f>
        <v/>
      </c>
      <c r="F829" t="str">
        <f>""</f>
        <v/>
      </c>
      <c r="H829" t="str">
        <f>"INV 76752989"</f>
        <v>INV 76752989</v>
      </c>
    </row>
    <row r="830" spans="1:8" x14ac:dyDescent="0.25">
      <c r="E830" t="str">
        <f>""</f>
        <v/>
      </c>
      <c r="F830" t="str">
        <f>""</f>
        <v/>
      </c>
      <c r="H830" t="str">
        <f>"INV 76761431"</f>
        <v>INV 76761431</v>
      </c>
    </row>
    <row r="831" spans="1:8" x14ac:dyDescent="0.25">
      <c r="E831" t="str">
        <f>""</f>
        <v/>
      </c>
      <c r="F831" t="str">
        <f>""</f>
        <v/>
      </c>
      <c r="H831" t="str">
        <f>"INV 76789549"</f>
        <v>INV 76789549</v>
      </c>
    </row>
    <row r="832" spans="1:8" x14ac:dyDescent="0.25">
      <c r="E832" t="str">
        <f>""</f>
        <v/>
      </c>
      <c r="F832" t="str">
        <f>""</f>
        <v/>
      </c>
      <c r="H832" t="str">
        <f>"INV 77723752"</f>
        <v>INV 77723752</v>
      </c>
    </row>
    <row r="833" spans="1:8" x14ac:dyDescent="0.25">
      <c r="E833" t="str">
        <f>""</f>
        <v/>
      </c>
      <c r="F833" t="str">
        <f>""</f>
        <v/>
      </c>
      <c r="H833" t="str">
        <f>"INV 77992616"</f>
        <v>INV 77992616</v>
      </c>
    </row>
    <row r="834" spans="1:8" x14ac:dyDescent="0.25">
      <c r="A834" t="s">
        <v>232</v>
      </c>
      <c r="B834">
        <v>131381</v>
      </c>
      <c r="C834" s="5">
        <v>978.37</v>
      </c>
      <c r="D834" s="1">
        <v>43913</v>
      </c>
      <c r="E834" t="str">
        <f>"78696121"</f>
        <v>78696121</v>
      </c>
      <c r="F834" t="str">
        <f>"INV 78696121"</f>
        <v>INV 78696121</v>
      </c>
      <c r="G834" s="5">
        <v>978.37</v>
      </c>
      <c r="H834" t="str">
        <f>"INV 78696121"</f>
        <v>INV 78696121</v>
      </c>
    </row>
    <row r="835" spans="1:8" x14ac:dyDescent="0.25">
      <c r="A835" t="s">
        <v>233</v>
      </c>
      <c r="B835">
        <v>131182</v>
      </c>
      <c r="C835" s="5">
        <v>57.98</v>
      </c>
      <c r="D835" s="1">
        <v>43899</v>
      </c>
      <c r="E835" t="str">
        <f>"13069027-1-1"</f>
        <v>13069027-1-1</v>
      </c>
      <c r="F835" t="str">
        <f>"CUST#235716/ANIMAL SHELTER"</f>
        <v>CUST#235716/ANIMAL SHELTER</v>
      </c>
      <c r="G835" s="5">
        <v>57.98</v>
      </c>
      <c r="H835" t="str">
        <f>"CUST#235716/ANIMAL SHELTER"</f>
        <v>CUST#235716/ANIMAL SHELTER</v>
      </c>
    </row>
    <row r="836" spans="1:8" x14ac:dyDescent="0.25">
      <c r="A836" t="s">
        <v>234</v>
      </c>
      <c r="B836">
        <v>131382</v>
      </c>
      <c r="C836" s="5">
        <v>1340.48</v>
      </c>
      <c r="D836" s="1">
        <v>43913</v>
      </c>
      <c r="E836" t="str">
        <f>"202003176032"</f>
        <v>202003176032</v>
      </c>
      <c r="F836" t="str">
        <f>"INDIGENT HEALTH"</f>
        <v>INDIGENT HEALTH</v>
      </c>
      <c r="G836" s="5">
        <v>1340.48</v>
      </c>
      <c r="H836" t="str">
        <f>"INDIGENT HEALTH"</f>
        <v>INDIGENT HEALTH</v>
      </c>
    </row>
    <row r="837" spans="1:8" x14ac:dyDescent="0.25">
      <c r="E837" t="str">
        <f>""</f>
        <v/>
      </c>
      <c r="F837" t="str">
        <f>""</f>
        <v/>
      </c>
      <c r="H837" t="str">
        <f>"INDIGENT HEALTH"</f>
        <v>INDIGENT HEALTH</v>
      </c>
    </row>
    <row r="838" spans="1:8" x14ac:dyDescent="0.25">
      <c r="A838" t="s">
        <v>235</v>
      </c>
      <c r="B838">
        <v>131383</v>
      </c>
      <c r="C838" s="5">
        <v>200</v>
      </c>
      <c r="D838" s="1">
        <v>43913</v>
      </c>
      <c r="E838" t="str">
        <f>"13064"</f>
        <v>13064</v>
      </c>
      <c r="F838" t="str">
        <f>"SERVICE  12/19/19"</f>
        <v>SERVICE  12/19/19</v>
      </c>
      <c r="G838" s="5">
        <v>200</v>
      </c>
      <c r="H838" t="str">
        <f>"SERVICE  12/19/19"</f>
        <v>SERVICE  12/19/19</v>
      </c>
    </row>
    <row r="839" spans="1:8" x14ac:dyDescent="0.25">
      <c r="A839" t="s">
        <v>236</v>
      </c>
      <c r="B839">
        <v>2293</v>
      </c>
      <c r="C839" s="5">
        <v>2000</v>
      </c>
      <c r="D839" s="1">
        <v>43900</v>
      </c>
      <c r="E839" t="str">
        <f>"202003045728"</f>
        <v>202003045728</v>
      </c>
      <c r="F839" t="str">
        <f>"VET SURG SVC FEB 20 24 27 MAR2"</f>
        <v>VET SURG SVC FEB 20 24 27 MAR2</v>
      </c>
      <c r="G839" s="5">
        <v>2000</v>
      </c>
      <c r="H839" t="str">
        <f>"VET SURG SVC FEB 20 24 27 MAR2"</f>
        <v>VET SURG SVC FEB 20 24 27 MAR2</v>
      </c>
    </row>
    <row r="840" spans="1:8" x14ac:dyDescent="0.25">
      <c r="A840" t="s">
        <v>237</v>
      </c>
      <c r="B840">
        <v>2363</v>
      </c>
      <c r="C840" s="5">
        <v>250</v>
      </c>
      <c r="D840" s="1">
        <v>43914</v>
      </c>
      <c r="E840" t="str">
        <f>"202003125939"</f>
        <v>202003125939</v>
      </c>
      <c r="F840" t="str">
        <f>"REIMBURSEMENT - CONFERENCE FEE"</f>
        <v>REIMBURSEMENT - CONFERENCE FEE</v>
      </c>
      <c r="G840" s="5">
        <v>250</v>
      </c>
      <c r="H840" t="str">
        <f>"REIMBURSEMENT - CONFERENCE FEE"</f>
        <v>REIMBURSEMENT - CONFERENCE FEE</v>
      </c>
    </row>
    <row r="841" spans="1:8" x14ac:dyDescent="0.25">
      <c r="A841" t="s">
        <v>238</v>
      </c>
      <c r="B841">
        <v>2296</v>
      </c>
      <c r="C841" s="5">
        <v>1522.93</v>
      </c>
      <c r="D841" s="1">
        <v>43900</v>
      </c>
      <c r="E841" t="str">
        <f>"202003035661"</f>
        <v>202003035661</v>
      </c>
      <c r="F841" t="str">
        <f>"REIMBURSE LODGING/MEAL"</f>
        <v>REIMBURSE LODGING/MEAL</v>
      </c>
      <c r="G841" s="5">
        <v>1064.6500000000001</v>
      </c>
      <c r="H841" t="str">
        <f>"REIMBURSE LODGING/MEAL"</f>
        <v>REIMBURSE LODGING/MEAL</v>
      </c>
    </row>
    <row r="842" spans="1:8" x14ac:dyDescent="0.25">
      <c r="E842" t="str">
        <f>""</f>
        <v/>
      </c>
      <c r="F842" t="str">
        <f>""</f>
        <v/>
      </c>
      <c r="H842" t="str">
        <f>"REIMBURSE LODGING/MEAL"</f>
        <v>REIMBURSE LODGING/MEAL</v>
      </c>
    </row>
    <row r="843" spans="1:8" x14ac:dyDescent="0.25">
      <c r="E843" t="str">
        <f>"202003035662"</f>
        <v>202003035662</v>
      </c>
      <c r="F843" t="str">
        <f>"MILEAGE REIMBURSEMENT"</f>
        <v>MILEAGE REIMBURSEMENT</v>
      </c>
      <c r="G843" s="5">
        <v>458.28</v>
      </c>
      <c r="H843" t="str">
        <f>"MILEAGE REIMBURSEMENT"</f>
        <v>MILEAGE REIMBURSEMENT</v>
      </c>
    </row>
    <row r="844" spans="1:8" x14ac:dyDescent="0.25">
      <c r="A844" t="s">
        <v>239</v>
      </c>
      <c r="B844">
        <v>131183</v>
      </c>
      <c r="C844" s="5">
        <v>300</v>
      </c>
      <c r="D844" s="1">
        <v>43899</v>
      </c>
      <c r="E844" t="str">
        <f>"202003035692"</f>
        <v>202003035692</v>
      </c>
      <c r="F844" t="str">
        <f>"TRAINING REIMBURSEMENT"</f>
        <v>TRAINING REIMBURSEMENT</v>
      </c>
      <c r="G844" s="5">
        <v>300</v>
      </c>
      <c r="H844" t="str">
        <f>"TRAINING REIMBURSEMENT"</f>
        <v>TRAINING REIMBURSEMENT</v>
      </c>
    </row>
    <row r="845" spans="1:8" x14ac:dyDescent="0.25">
      <c r="A845" t="s">
        <v>240</v>
      </c>
      <c r="B845">
        <v>2264</v>
      </c>
      <c r="C845" s="5">
        <v>5436.95</v>
      </c>
      <c r="D845" s="1">
        <v>43900</v>
      </c>
      <c r="E845" t="str">
        <f>"21515"</f>
        <v>21515</v>
      </c>
      <c r="F845" t="str">
        <f>"FREIGHT SALES/PCT#2"</f>
        <v>FREIGHT SALES/PCT#2</v>
      </c>
      <c r="G845" s="5">
        <v>3886.75</v>
      </c>
      <c r="H845" t="str">
        <f>"FREIGHT SALES/PCT#2"</f>
        <v>FREIGHT SALES/PCT#2</v>
      </c>
    </row>
    <row r="846" spans="1:8" x14ac:dyDescent="0.25">
      <c r="E846" t="str">
        <f>"21564"</f>
        <v>21564</v>
      </c>
      <c r="F846" t="str">
        <f>"FREIGHT SALES/PCT#2"</f>
        <v>FREIGHT SALES/PCT#2</v>
      </c>
      <c r="G846" s="5">
        <v>1550.2</v>
      </c>
      <c r="H846" t="str">
        <f>"FREIGHT SALES/PCT#2"</f>
        <v>FREIGHT SALES/PCT#2</v>
      </c>
    </row>
    <row r="847" spans="1:8" x14ac:dyDescent="0.25">
      <c r="A847" t="s">
        <v>240</v>
      </c>
      <c r="B847">
        <v>2346</v>
      </c>
      <c r="C847" s="5">
        <v>10493.6</v>
      </c>
      <c r="D847" s="1">
        <v>43914</v>
      </c>
      <c r="E847" t="str">
        <f>"21630"</f>
        <v>21630</v>
      </c>
      <c r="F847" t="str">
        <f>"FREIGHT SALES/PCT#2"</f>
        <v>FREIGHT SALES/PCT#2</v>
      </c>
      <c r="G847" s="5">
        <v>3164.55</v>
      </c>
      <c r="H847" t="str">
        <f>"FREIGHT SALES/PCT#2"</f>
        <v>FREIGHT SALES/PCT#2</v>
      </c>
    </row>
    <row r="848" spans="1:8" x14ac:dyDescent="0.25">
      <c r="E848" t="str">
        <f>"21682"</f>
        <v>21682</v>
      </c>
      <c r="F848" t="str">
        <f>"FREIGHT SALES/PCT#2"</f>
        <v>FREIGHT SALES/PCT#2</v>
      </c>
      <c r="G848" s="5">
        <v>3772.3</v>
      </c>
      <c r="H848" t="str">
        <f>"FREIGHT SALES/PCT#2"</f>
        <v>FREIGHT SALES/PCT#2</v>
      </c>
    </row>
    <row r="849" spans="1:8" x14ac:dyDescent="0.25">
      <c r="E849" t="str">
        <f>"21725"</f>
        <v>21725</v>
      </c>
      <c r="F849" t="str">
        <f>"FREIGHT SALES/PCT#2"</f>
        <v>FREIGHT SALES/PCT#2</v>
      </c>
      <c r="G849" s="5">
        <v>3556.75</v>
      </c>
      <c r="H849" t="str">
        <f>"FREIGHT SALES/PCT#2"</f>
        <v>FREIGHT SALES/PCT#2</v>
      </c>
    </row>
    <row r="850" spans="1:8" x14ac:dyDescent="0.25">
      <c r="A850" t="s">
        <v>241</v>
      </c>
      <c r="B850">
        <v>131184</v>
      </c>
      <c r="C850" s="5">
        <v>599.5</v>
      </c>
      <c r="D850" s="1">
        <v>43899</v>
      </c>
      <c r="E850" t="str">
        <f>"202003025574"</f>
        <v>202003025574</v>
      </c>
      <c r="F850" t="str">
        <f>"TRANSLATION SVCS"</f>
        <v>TRANSLATION SVCS</v>
      </c>
      <c r="G850" s="5">
        <v>599.5</v>
      </c>
      <c r="H850" t="str">
        <f>"TRANSLATION SVCS"</f>
        <v>TRANSLATION SVCS</v>
      </c>
    </row>
    <row r="851" spans="1:8" x14ac:dyDescent="0.25">
      <c r="A851" t="s">
        <v>242</v>
      </c>
      <c r="B851">
        <v>131242</v>
      </c>
      <c r="C851" s="5">
        <v>84</v>
      </c>
      <c r="D851" s="1">
        <v>43900</v>
      </c>
      <c r="E851" t="str">
        <f>"202003105822"</f>
        <v>202003105822</v>
      </c>
      <c r="F851" t="str">
        <f>"Miscell"</f>
        <v>Miscell</v>
      </c>
      <c r="G851" s="5">
        <v>84</v>
      </c>
      <c r="H851" t="str">
        <f>"Family Crisis Center"</f>
        <v>Family Crisis Center</v>
      </c>
    </row>
    <row r="852" spans="1:8" x14ac:dyDescent="0.25">
      <c r="A852" t="s">
        <v>243</v>
      </c>
      <c r="B852">
        <v>131243</v>
      </c>
      <c r="C852" s="5">
        <v>78</v>
      </c>
      <c r="D852" s="1">
        <v>43900</v>
      </c>
      <c r="E852" t="str">
        <f>"202003105823"</f>
        <v>202003105823</v>
      </c>
      <c r="F852" t="str">
        <f>"M"</f>
        <v>M</v>
      </c>
      <c r="G852" s="5">
        <v>78</v>
      </c>
      <c r="H852" t="str">
        <f>"Children's Advocacy Center"</f>
        <v>Children's Advocacy Center</v>
      </c>
    </row>
    <row r="853" spans="1:8" x14ac:dyDescent="0.25">
      <c r="A853" t="s">
        <v>244</v>
      </c>
      <c r="B853">
        <v>131244</v>
      </c>
      <c r="C853" s="5">
        <v>54</v>
      </c>
      <c r="D853" s="1">
        <v>43900</v>
      </c>
      <c r="E853" t="str">
        <f>"202003105824"</f>
        <v>202003105824</v>
      </c>
      <c r="F853" t="str">
        <f>""</f>
        <v/>
      </c>
      <c r="G853" s="5">
        <v>54</v>
      </c>
      <c r="H853" t="str">
        <f>"COURT APPOINTED SPECIAL ADVOCA"</f>
        <v>COURT APPOINTED SPECIAL ADVOCA</v>
      </c>
    </row>
    <row r="854" spans="1:8" x14ac:dyDescent="0.25">
      <c r="A854" t="s">
        <v>245</v>
      </c>
      <c r="B854">
        <v>131245</v>
      </c>
      <c r="C854" s="5">
        <v>42</v>
      </c>
      <c r="D854" s="1">
        <v>43900</v>
      </c>
      <c r="E854" t="str">
        <f>"202003105825"</f>
        <v>202003105825</v>
      </c>
      <c r="F854" t="str">
        <f>"Mi"</f>
        <v>Mi</v>
      </c>
      <c r="G854" s="5">
        <v>42</v>
      </c>
      <c r="H854" t="str">
        <f>"Child Protective Services"</f>
        <v>Child Protective Services</v>
      </c>
    </row>
    <row r="855" spans="1:8" x14ac:dyDescent="0.25">
      <c r="A855" t="s">
        <v>246</v>
      </c>
      <c r="B855">
        <v>131247</v>
      </c>
      <c r="C855" s="5">
        <v>6</v>
      </c>
      <c r="D855" s="1">
        <v>43900</v>
      </c>
      <c r="E855" t="str">
        <f>"202003105827"</f>
        <v>202003105827</v>
      </c>
      <c r="F855" t="str">
        <f>"Misce"</f>
        <v>Misce</v>
      </c>
      <c r="G855" s="5">
        <v>6</v>
      </c>
      <c r="H855" t="str">
        <f>"JUAN FRANCISCO PRUNEDA"</f>
        <v>JUAN FRANCISCO PRUNEDA</v>
      </c>
    </row>
    <row r="856" spans="1:8" x14ac:dyDescent="0.25">
      <c r="A856" t="s">
        <v>247</v>
      </c>
      <c r="B856">
        <v>131248</v>
      </c>
      <c r="C856" s="5">
        <v>6</v>
      </c>
      <c r="D856" s="1">
        <v>43900</v>
      </c>
      <c r="E856" t="str">
        <f>"202003105828"</f>
        <v>202003105828</v>
      </c>
      <c r="F856" t="str">
        <f>"Miscellan"</f>
        <v>Miscellan</v>
      </c>
      <c r="G856" s="5">
        <v>6</v>
      </c>
      <c r="H856" t="str">
        <f>"KALI JO MONTGOMERY"</f>
        <v>KALI JO MONTGOMERY</v>
      </c>
    </row>
    <row r="857" spans="1:8" x14ac:dyDescent="0.25">
      <c r="A857" t="s">
        <v>248</v>
      </c>
      <c r="B857">
        <v>131249</v>
      </c>
      <c r="C857" s="5">
        <v>6</v>
      </c>
      <c r="D857" s="1">
        <v>43900</v>
      </c>
      <c r="E857" t="str">
        <f>"202003105829"</f>
        <v>202003105829</v>
      </c>
      <c r="F857" t="str">
        <f>"Misc"</f>
        <v>Misc</v>
      </c>
      <c r="G857" s="5">
        <v>6</v>
      </c>
      <c r="H857" t="str">
        <f>"PATRICIA HOPKINS MATHIS"</f>
        <v>PATRICIA HOPKINS MATHIS</v>
      </c>
    </row>
    <row r="858" spans="1:8" x14ac:dyDescent="0.25">
      <c r="A858" t="s">
        <v>249</v>
      </c>
      <c r="B858">
        <v>131250</v>
      </c>
      <c r="C858" s="5">
        <v>6</v>
      </c>
      <c r="D858" s="1">
        <v>43900</v>
      </c>
      <c r="E858" t="str">
        <f>"202003105830"</f>
        <v>202003105830</v>
      </c>
      <c r="F858" t="str">
        <f>"Mis"</f>
        <v>Mis</v>
      </c>
      <c r="G858" s="5">
        <v>6</v>
      </c>
      <c r="H858" t="str">
        <f>"LUKE ALEXANDER PATTERSON"</f>
        <v>LUKE ALEXANDER PATTERSON</v>
      </c>
    </row>
    <row r="859" spans="1:8" x14ac:dyDescent="0.25">
      <c r="A859" t="s">
        <v>250</v>
      </c>
      <c r="B859">
        <v>131251</v>
      </c>
      <c r="C859" s="5">
        <v>6</v>
      </c>
      <c r="D859" s="1">
        <v>43900</v>
      </c>
      <c r="E859" t="str">
        <f>"202003105831"</f>
        <v>202003105831</v>
      </c>
      <c r="F859" t="str">
        <f>"Misce"</f>
        <v>Misce</v>
      </c>
      <c r="G859" s="5">
        <v>6</v>
      </c>
      <c r="H859" t="str">
        <f>"LUIS CHRISTIAN ALVITER"</f>
        <v>LUIS CHRISTIAN ALVITER</v>
      </c>
    </row>
    <row r="860" spans="1:8" x14ac:dyDescent="0.25">
      <c r="A860" t="s">
        <v>251</v>
      </c>
      <c r="B860">
        <v>131252</v>
      </c>
      <c r="C860" s="5">
        <v>6</v>
      </c>
      <c r="D860" s="1">
        <v>43900</v>
      </c>
      <c r="E860" t="str">
        <f>"202003105832"</f>
        <v>202003105832</v>
      </c>
      <c r="F860" t="str">
        <f>"Miscel"</f>
        <v>Miscel</v>
      </c>
      <c r="G860" s="5">
        <v>6</v>
      </c>
      <c r="H860" t="str">
        <f>"CLAUDIA JOSE THOMPSON"</f>
        <v>CLAUDIA JOSE THOMPSON</v>
      </c>
    </row>
    <row r="861" spans="1:8" x14ac:dyDescent="0.25">
      <c r="A861" t="s">
        <v>252</v>
      </c>
      <c r="B861">
        <v>131253</v>
      </c>
      <c r="C861" s="5">
        <v>6</v>
      </c>
      <c r="D861" s="1">
        <v>43900</v>
      </c>
      <c r="E861" t="str">
        <f>"202003105833"</f>
        <v>202003105833</v>
      </c>
      <c r="F861" t="str">
        <f>"Miscellaneo"</f>
        <v>Miscellaneo</v>
      </c>
      <c r="G861" s="5">
        <v>6</v>
      </c>
      <c r="H861" t="str">
        <f>"TRAVIS ALAN WARD"</f>
        <v>TRAVIS ALAN WARD</v>
      </c>
    </row>
    <row r="862" spans="1:8" x14ac:dyDescent="0.25">
      <c r="A862" t="s">
        <v>253</v>
      </c>
      <c r="B862">
        <v>131254</v>
      </c>
      <c r="C862" s="5">
        <v>6</v>
      </c>
      <c r="D862" s="1">
        <v>43900</v>
      </c>
      <c r="E862" t="str">
        <f>"202003105834"</f>
        <v>202003105834</v>
      </c>
      <c r="F862" t="str">
        <f>"Miscel"</f>
        <v>Miscel</v>
      </c>
      <c r="G862" s="5">
        <v>6</v>
      </c>
      <c r="H862" t="str">
        <f>"BONARD CHARLES NORTON"</f>
        <v>BONARD CHARLES NORTON</v>
      </c>
    </row>
    <row r="863" spans="1:8" x14ac:dyDescent="0.25">
      <c r="A863" t="s">
        <v>254</v>
      </c>
      <c r="B863">
        <v>131255</v>
      </c>
      <c r="C863" s="5">
        <v>6</v>
      </c>
      <c r="D863" s="1">
        <v>43900</v>
      </c>
      <c r="E863" t="str">
        <f>"202003105835"</f>
        <v>202003105835</v>
      </c>
      <c r="F863" t="str">
        <f>"Miscell"</f>
        <v>Miscell</v>
      </c>
      <c r="G863" s="5">
        <v>6</v>
      </c>
      <c r="H863" t="str">
        <f>"TROY EUGENE SCHUELKE"</f>
        <v>TROY EUGENE SCHUELKE</v>
      </c>
    </row>
    <row r="864" spans="1:8" x14ac:dyDescent="0.25">
      <c r="A864" t="s">
        <v>255</v>
      </c>
      <c r="B864">
        <v>131256</v>
      </c>
      <c r="C864" s="5">
        <v>6</v>
      </c>
      <c r="D864" s="1">
        <v>43900</v>
      </c>
      <c r="E864" t="str">
        <f>"202003105836"</f>
        <v>202003105836</v>
      </c>
      <c r="F864" t="str">
        <f>"Misce"</f>
        <v>Misce</v>
      </c>
      <c r="G864" s="5">
        <v>6</v>
      </c>
      <c r="H864" t="str">
        <f>"DEBRA JOHNSON REYNOLDS"</f>
        <v>DEBRA JOHNSON REYNOLDS</v>
      </c>
    </row>
    <row r="865" spans="1:8" x14ac:dyDescent="0.25">
      <c r="A865" t="s">
        <v>256</v>
      </c>
      <c r="B865">
        <v>131257</v>
      </c>
      <c r="C865" s="5">
        <v>6</v>
      </c>
      <c r="D865" s="1">
        <v>43900</v>
      </c>
      <c r="E865" t="str">
        <f>"202003105837"</f>
        <v>202003105837</v>
      </c>
      <c r="F865" t="str">
        <f>"Miscellaneou"</f>
        <v>Miscellaneou</v>
      </c>
      <c r="G865" s="5">
        <v>6</v>
      </c>
      <c r="H865" t="str">
        <f>"JANE VOGEL DYAL"</f>
        <v>JANE VOGEL DYAL</v>
      </c>
    </row>
    <row r="866" spans="1:8" x14ac:dyDescent="0.25">
      <c r="A866" t="s">
        <v>257</v>
      </c>
      <c r="B866">
        <v>131258</v>
      </c>
      <c r="C866" s="5">
        <v>6</v>
      </c>
      <c r="D866" s="1">
        <v>43900</v>
      </c>
      <c r="E866" t="str">
        <f>"202003105838"</f>
        <v>202003105838</v>
      </c>
      <c r="F866" t="str">
        <f>""</f>
        <v/>
      </c>
      <c r="G866" s="5">
        <v>6</v>
      </c>
      <c r="H866" t="str">
        <f>"EMILIANO CRUCIOFICIO PUENTE"</f>
        <v>EMILIANO CRUCIOFICIO PUENTE</v>
      </c>
    </row>
    <row r="867" spans="1:8" x14ac:dyDescent="0.25">
      <c r="A867" t="s">
        <v>258</v>
      </c>
      <c r="B867">
        <v>131259</v>
      </c>
      <c r="C867" s="5">
        <v>6</v>
      </c>
      <c r="D867" s="1">
        <v>43900</v>
      </c>
      <c r="E867" t="str">
        <f>"202003105839"</f>
        <v>202003105839</v>
      </c>
      <c r="F867" t="str">
        <f>"Miscel"</f>
        <v>Miscel</v>
      </c>
      <c r="G867" s="5">
        <v>6</v>
      </c>
      <c r="H867" t="str">
        <f>"JACQUELINE J TOMPKINS"</f>
        <v>JACQUELINE J TOMPKINS</v>
      </c>
    </row>
    <row r="868" spans="1:8" x14ac:dyDescent="0.25">
      <c r="A868" t="s">
        <v>259</v>
      </c>
      <c r="B868">
        <v>131260</v>
      </c>
      <c r="C868" s="5">
        <v>6</v>
      </c>
      <c r="D868" s="1">
        <v>43900</v>
      </c>
      <c r="E868" t="str">
        <f>"202003105840"</f>
        <v>202003105840</v>
      </c>
      <c r="F868" t="str">
        <f>""</f>
        <v/>
      </c>
      <c r="G868" s="5">
        <v>6</v>
      </c>
      <c r="H868" t="str">
        <f>"MARGARITA ESPERANZA PLEITEZ"</f>
        <v>MARGARITA ESPERANZA PLEITEZ</v>
      </c>
    </row>
    <row r="869" spans="1:8" x14ac:dyDescent="0.25">
      <c r="A869" t="s">
        <v>260</v>
      </c>
      <c r="B869">
        <v>131261</v>
      </c>
      <c r="C869" s="5">
        <v>6</v>
      </c>
      <c r="D869" s="1">
        <v>43900</v>
      </c>
      <c r="E869" t="str">
        <f>"202003105841"</f>
        <v>202003105841</v>
      </c>
      <c r="F869" t="str">
        <f>"Miscella"</f>
        <v>Miscella</v>
      </c>
      <c r="G869" s="5">
        <v>6</v>
      </c>
      <c r="H869" t="str">
        <f>"JOSHUA DANIEL HAYES"</f>
        <v>JOSHUA DANIEL HAYES</v>
      </c>
    </row>
    <row r="870" spans="1:8" x14ac:dyDescent="0.25">
      <c r="A870" t="s">
        <v>261</v>
      </c>
      <c r="B870">
        <v>131262</v>
      </c>
      <c r="C870" s="5">
        <v>6</v>
      </c>
      <c r="D870" s="1">
        <v>43900</v>
      </c>
      <c r="E870" t="str">
        <f>"202003105842"</f>
        <v>202003105842</v>
      </c>
      <c r="F870" t="str">
        <f>"Miscellane"</f>
        <v>Miscellane</v>
      </c>
      <c r="G870" s="5">
        <v>6</v>
      </c>
      <c r="H870" t="str">
        <f>"SAMMY JAY BRANDON"</f>
        <v>SAMMY JAY BRANDON</v>
      </c>
    </row>
    <row r="871" spans="1:8" x14ac:dyDescent="0.25">
      <c r="A871" t="s">
        <v>262</v>
      </c>
      <c r="B871">
        <v>131263</v>
      </c>
      <c r="C871" s="5">
        <v>6</v>
      </c>
      <c r="D871" s="1">
        <v>43900</v>
      </c>
      <c r="E871" t="str">
        <f>"202003105843"</f>
        <v>202003105843</v>
      </c>
      <c r="F871" t="str">
        <f>"Miscel"</f>
        <v>Miscel</v>
      </c>
      <c r="G871" s="5">
        <v>6</v>
      </c>
      <c r="H871" t="str">
        <f>"MICHAEL POWELL KRESGE"</f>
        <v>MICHAEL POWELL KRESGE</v>
      </c>
    </row>
    <row r="872" spans="1:8" x14ac:dyDescent="0.25">
      <c r="A872" t="s">
        <v>263</v>
      </c>
      <c r="B872">
        <v>131264</v>
      </c>
      <c r="C872" s="5">
        <v>6</v>
      </c>
      <c r="D872" s="1">
        <v>43900</v>
      </c>
      <c r="E872" t="str">
        <f>"202003105844"</f>
        <v>202003105844</v>
      </c>
      <c r="F872" t="str">
        <f>"Miscellane"</f>
        <v>Miscellane</v>
      </c>
      <c r="G872" s="5">
        <v>6</v>
      </c>
      <c r="H872" t="str">
        <f>"JO ANN SMOTHERMAN"</f>
        <v>JO ANN SMOTHERMAN</v>
      </c>
    </row>
    <row r="873" spans="1:8" x14ac:dyDescent="0.25">
      <c r="A873" t="s">
        <v>264</v>
      </c>
      <c r="B873">
        <v>131265</v>
      </c>
      <c r="C873" s="5">
        <v>6</v>
      </c>
      <c r="D873" s="1">
        <v>43900</v>
      </c>
      <c r="E873" t="str">
        <f>"202003105845"</f>
        <v>202003105845</v>
      </c>
      <c r="F873" t="str">
        <f>"Miscel"</f>
        <v>Miscel</v>
      </c>
      <c r="G873" s="5">
        <v>6</v>
      </c>
      <c r="H873" t="str">
        <f>"JOHN WESLEY SUMMARELL"</f>
        <v>JOHN WESLEY SUMMARELL</v>
      </c>
    </row>
    <row r="874" spans="1:8" x14ac:dyDescent="0.25">
      <c r="A874" t="s">
        <v>265</v>
      </c>
      <c r="B874">
        <v>131266</v>
      </c>
      <c r="C874" s="5">
        <v>6</v>
      </c>
      <c r="D874" s="1">
        <v>43900</v>
      </c>
      <c r="E874" t="str">
        <f>"202003105846"</f>
        <v>202003105846</v>
      </c>
      <c r="F874" t="str">
        <f>"Miscellan"</f>
        <v>Miscellan</v>
      </c>
      <c r="G874" s="5">
        <v>6</v>
      </c>
      <c r="H874" t="str">
        <f>"BARBARA ANN KNAPEK"</f>
        <v>BARBARA ANN KNAPEK</v>
      </c>
    </row>
    <row r="875" spans="1:8" x14ac:dyDescent="0.25">
      <c r="A875" t="s">
        <v>266</v>
      </c>
      <c r="B875">
        <v>131267</v>
      </c>
      <c r="C875" s="5">
        <v>6</v>
      </c>
      <c r="D875" s="1">
        <v>43900</v>
      </c>
      <c r="E875" t="str">
        <f>"202003105847"</f>
        <v>202003105847</v>
      </c>
      <c r="F875" t="str">
        <f>"Miscellane"</f>
        <v>Miscellane</v>
      </c>
      <c r="G875" s="5">
        <v>6</v>
      </c>
      <c r="H875" t="str">
        <f>"ZANE KENAN VERSYP"</f>
        <v>ZANE KENAN VERSYP</v>
      </c>
    </row>
    <row r="876" spans="1:8" x14ac:dyDescent="0.25">
      <c r="A876" t="s">
        <v>267</v>
      </c>
      <c r="B876">
        <v>131268</v>
      </c>
      <c r="C876" s="5">
        <v>6</v>
      </c>
      <c r="D876" s="1">
        <v>43900</v>
      </c>
      <c r="E876" t="str">
        <f>"202003105848"</f>
        <v>202003105848</v>
      </c>
      <c r="F876" t="str">
        <f>"Mis"</f>
        <v>Mis</v>
      </c>
      <c r="G876" s="5">
        <v>6</v>
      </c>
      <c r="H876" t="str">
        <f>"MICHAEL SHAWN BACH-LESAK"</f>
        <v>MICHAEL SHAWN BACH-LESAK</v>
      </c>
    </row>
    <row r="877" spans="1:8" x14ac:dyDescent="0.25">
      <c r="A877" t="s">
        <v>268</v>
      </c>
      <c r="B877">
        <v>131269</v>
      </c>
      <c r="C877" s="5">
        <v>6</v>
      </c>
      <c r="D877" s="1">
        <v>43900</v>
      </c>
      <c r="E877" t="str">
        <f>"202003105849"</f>
        <v>202003105849</v>
      </c>
      <c r="F877" t="str">
        <f>"Miscellane"</f>
        <v>Miscellane</v>
      </c>
      <c r="G877" s="5">
        <v>6</v>
      </c>
      <c r="H877" t="str">
        <f>"WADE EDWARD SELBY"</f>
        <v>WADE EDWARD SELBY</v>
      </c>
    </row>
    <row r="878" spans="1:8" x14ac:dyDescent="0.25">
      <c r="A878" t="s">
        <v>269</v>
      </c>
      <c r="B878">
        <v>131270</v>
      </c>
      <c r="C878" s="5">
        <v>6</v>
      </c>
      <c r="D878" s="1">
        <v>43900</v>
      </c>
      <c r="E878" t="str">
        <f>"202003105850"</f>
        <v>202003105850</v>
      </c>
      <c r="F878" t="str">
        <f>"Miscella"</f>
        <v>Miscella</v>
      </c>
      <c r="G878" s="5">
        <v>6</v>
      </c>
      <c r="H878" t="str">
        <f>"GLORIA R VILLALOBOS"</f>
        <v>GLORIA R VILLALOBOS</v>
      </c>
    </row>
    <row r="879" spans="1:8" x14ac:dyDescent="0.25">
      <c r="A879" t="s">
        <v>270</v>
      </c>
      <c r="B879">
        <v>131271</v>
      </c>
      <c r="C879" s="5">
        <v>6</v>
      </c>
      <c r="D879" s="1">
        <v>43900</v>
      </c>
      <c r="E879" t="str">
        <f>"202003105851"</f>
        <v>202003105851</v>
      </c>
      <c r="F879" t="str">
        <f>"Miscellan"</f>
        <v>Miscellan</v>
      </c>
      <c r="G879" s="5">
        <v>6</v>
      </c>
      <c r="H879" t="str">
        <f>"JEREMY RYAN JENSON"</f>
        <v>JEREMY RYAN JENSON</v>
      </c>
    </row>
    <row r="880" spans="1:8" x14ac:dyDescent="0.25">
      <c r="A880" t="s">
        <v>271</v>
      </c>
      <c r="B880">
        <v>131272</v>
      </c>
      <c r="C880" s="5">
        <v>6</v>
      </c>
      <c r="D880" s="1">
        <v>43900</v>
      </c>
      <c r="E880" t="str">
        <f>"202003105852"</f>
        <v>202003105852</v>
      </c>
      <c r="F880" t="str">
        <f>"Miscellaneous"</f>
        <v>Miscellaneous</v>
      </c>
      <c r="G880" s="5">
        <v>6</v>
      </c>
      <c r="H880" t="str">
        <f>"MINETTE M HATT"</f>
        <v>MINETTE M HATT</v>
      </c>
    </row>
    <row r="881" spans="1:8" x14ac:dyDescent="0.25">
      <c r="A881" t="s">
        <v>272</v>
      </c>
      <c r="B881">
        <v>131273</v>
      </c>
      <c r="C881" s="5">
        <v>6</v>
      </c>
      <c r="D881" s="1">
        <v>43900</v>
      </c>
      <c r="E881" t="str">
        <f>"202003105853"</f>
        <v>202003105853</v>
      </c>
      <c r="F881" t="str">
        <f>"Miscellan"</f>
        <v>Miscellan</v>
      </c>
      <c r="G881" s="5">
        <v>6</v>
      </c>
      <c r="H881" t="str">
        <f>"MARK ALLEN BARRELL"</f>
        <v>MARK ALLEN BARRELL</v>
      </c>
    </row>
    <row r="882" spans="1:8" x14ac:dyDescent="0.25">
      <c r="A882" t="s">
        <v>273</v>
      </c>
      <c r="B882">
        <v>131274</v>
      </c>
      <c r="C882" s="5">
        <v>6</v>
      </c>
      <c r="D882" s="1">
        <v>43900</v>
      </c>
      <c r="E882" t="str">
        <f>"202003105854"</f>
        <v>202003105854</v>
      </c>
      <c r="F882" t="str">
        <f>"Mi"</f>
        <v>Mi</v>
      </c>
      <c r="G882" s="5">
        <v>6</v>
      </c>
      <c r="H882" t="str">
        <f>"EDWARD CHRISTOPHER MURPHY"</f>
        <v>EDWARD CHRISTOPHER MURPHY</v>
      </c>
    </row>
    <row r="883" spans="1:8" x14ac:dyDescent="0.25">
      <c r="A883" t="s">
        <v>274</v>
      </c>
      <c r="B883">
        <v>131275</v>
      </c>
      <c r="C883" s="5">
        <v>6</v>
      </c>
      <c r="D883" s="1">
        <v>43900</v>
      </c>
      <c r="E883" t="str">
        <f>"202003105855"</f>
        <v>202003105855</v>
      </c>
      <c r="F883" t="str">
        <f>"Miscell"</f>
        <v>Miscell</v>
      </c>
      <c r="G883" s="5">
        <v>6</v>
      </c>
      <c r="H883" t="str">
        <f>"JOSE REYNA SEPULVEDA"</f>
        <v>JOSE REYNA SEPULVEDA</v>
      </c>
    </row>
    <row r="884" spans="1:8" x14ac:dyDescent="0.25">
      <c r="A884" t="s">
        <v>275</v>
      </c>
      <c r="B884">
        <v>131276</v>
      </c>
      <c r="C884" s="5">
        <v>6</v>
      </c>
      <c r="D884" s="1">
        <v>43900</v>
      </c>
      <c r="E884" t="str">
        <f>"202003105856"</f>
        <v>202003105856</v>
      </c>
      <c r="F884" t="str">
        <f>"Miscell"</f>
        <v>Miscell</v>
      </c>
      <c r="G884" s="5">
        <v>6</v>
      </c>
      <c r="H884" t="str">
        <f>"RANELDA RENEE CRANEY"</f>
        <v>RANELDA RENEE CRANEY</v>
      </c>
    </row>
    <row r="885" spans="1:8" x14ac:dyDescent="0.25">
      <c r="A885" t="s">
        <v>276</v>
      </c>
      <c r="B885">
        <v>131277</v>
      </c>
      <c r="C885" s="5">
        <v>6</v>
      </c>
      <c r="D885" s="1">
        <v>43900</v>
      </c>
      <c r="E885" t="str">
        <f>"202003105857"</f>
        <v>202003105857</v>
      </c>
      <c r="F885" t="str">
        <f>"Miscellan"</f>
        <v>Miscellan</v>
      </c>
      <c r="G885" s="5">
        <v>6</v>
      </c>
      <c r="H885" t="str">
        <f>"QUENTIN RAY JORDAN"</f>
        <v>QUENTIN RAY JORDAN</v>
      </c>
    </row>
    <row r="886" spans="1:8" x14ac:dyDescent="0.25">
      <c r="A886" t="s">
        <v>277</v>
      </c>
      <c r="B886">
        <v>131278</v>
      </c>
      <c r="C886" s="5">
        <v>6</v>
      </c>
      <c r="D886" s="1">
        <v>43900</v>
      </c>
      <c r="E886" t="str">
        <f>"202003105858"</f>
        <v>202003105858</v>
      </c>
      <c r="F886" t="str">
        <f>"Miscellaneous"</f>
        <v>Miscellaneous</v>
      </c>
      <c r="G886" s="5">
        <v>6</v>
      </c>
      <c r="H886" t="str">
        <f>"NAN NETA BECK"</f>
        <v>NAN NETA BECK</v>
      </c>
    </row>
    <row r="887" spans="1:8" x14ac:dyDescent="0.25">
      <c r="A887" t="s">
        <v>278</v>
      </c>
      <c r="B887">
        <v>131279</v>
      </c>
      <c r="C887" s="5">
        <v>6</v>
      </c>
      <c r="D887" s="1">
        <v>43900</v>
      </c>
      <c r="E887" t="str">
        <f>"202003105859"</f>
        <v>202003105859</v>
      </c>
      <c r="F887" t="str">
        <f>"Miscell"</f>
        <v>Miscell</v>
      </c>
      <c r="G887" s="5">
        <v>6</v>
      </c>
      <c r="H887" t="str">
        <f>"SUSEN BARNETT EASTTY"</f>
        <v>SUSEN BARNETT EASTTY</v>
      </c>
    </row>
    <row r="888" spans="1:8" x14ac:dyDescent="0.25">
      <c r="A888" t="s">
        <v>279</v>
      </c>
      <c r="B888">
        <v>131280</v>
      </c>
      <c r="C888" s="5">
        <v>6</v>
      </c>
      <c r="D888" s="1">
        <v>43900</v>
      </c>
      <c r="E888" t="str">
        <f>"202003105860"</f>
        <v>202003105860</v>
      </c>
      <c r="F888" t="str">
        <f>"Miscellan"</f>
        <v>Miscellan</v>
      </c>
      <c r="G888" s="5">
        <v>6</v>
      </c>
      <c r="H888" t="str">
        <f>"NATHAN WADE WILCOX"</f>
        <v>NATHAN WADE WILCOX</v>
      </c>
    </row>
    <row r="889" spans="1:8" x14ac:dyDescent="0.25">
      <c r="A889" t="s">
        <v>280</v>
      </c>
      <c r="B889">
        <v>131281</v>
      </c>
      <c r="C889" s="5">
        <v>6</v>
      </c>
      <c r="D889" s="1">
        <v>43900</v>
      </c>
      <c r="E889" t="str">
        <f>"202003105861"</f>
        <v>202003105861</v>
      </c>
      <c r="F889" t="str">
        <f>"Miscellane"</f>
        <v>Miscellane</v>
      </c>
      <c r="G889" s="5">
        <v>6</v>
      </c>
      <c r="H889" t="str">
        <f>"ERIC MARTIN GROSE"</f>
        <v>ERIC MARTIN GROSE</v>
      </c>
    </row>
    <row r="890" spans="1:8" x14ac:dyDescent="0.25">
      <c r="A890" t="s">
        <v>281</v>
      </c>
      <c r="B890">
        <v>131282</v>
      </c>
      <c r="C890" s="5">
        <v>6</v>
      </c>
      <c r="D890" s="1">
        <v>43900</v>
      </c>
      <c r="E890" t="str">
        <f>"202003105862"</f>
        <v>202003105862</v>
      </c>
      <c r="F890" t="str">
        <f>"Miscellan"</f>
        <v>Miscellan</v>
      </c>
      <c r="G890" s="5">
        <v>6</v>
      </c>
      <c r="H890" t="str">
        <f>"JEFFREY WADE SCOTT"</f>
        <v>JEFFREY WADE SCOTT</v>
      </c>
    </row>
    <row r="891" spans="1:8" x14ac:dyDescent="0.25">
      <c r="A891" t="s">
        <v>282</v>
      </c>
      <c r="B891">
        <v>131283</v>
      </c>
      <c r="C891" s="5">
        <v>6</v>
      </c>
      <c r="D891" s="1">
        <v>43900</v>
      </c>
      <c r="E891" t="str">
        <f>"202003105863"</f>
        <v>202003105863</v>
      </c>
      <c r="F891" t="str">
        <f>"Miscell"</f>
        <v>Miscell</v>
      </c>
      <c r="G891" s="5">
        <v>6</v>
      </c>
      <c r="H891" t="str">
        <f>"HOSANNA KAY SULLIVAN"</f>
        <v>HOSANNA KAY SULLIVAN</v>
      </c>
    </row>
    <row r="892" spans="1:8" x14ac:dyDescent="0.25">
      <c r="A892" t="s">
        <v>283</v>
      </c>
      <c r="B892">
        <v>131284</v>
      </c>
      <c r="C892" s="5">
        <v>6</v>
      </c>
      <c r="D892" s="1">
        <v>43900</v>
      </c>
      <c r="E892" t="str">
        <f>"202003105864"</f>
        <v>202003105864</v>
      </c>
      <c r="F892" t="str">
        <f>"Miscellaneou"</f>
        <v>Miscellaneou</v>
      </c>
      <c r="G892" s="5">
        <v>6</v>
      </c>
      <c r="H892" t="str">
        <f>"MICHAEL MALAGON"</f>
        <v>MICHAEL MALAGON</v>
      </c>
    </row>
    <row r="893" spans="1:8" x14ac:dyDescent="0.25">
      <c r="A893" t="s">
        <v>284</v>
      </c>
      <c r="B893">
        <v>131285</v>
      </c>
      <c r="C893" s="5">
        <v>6</v>
      </c>
      <c r="D893" s="1">
        <v>43900</v>
      </c>
      <c r="E893" t="str">
        <f>"202003105865"</f>
        <v>202003105865</v>
      </c>
      <c r="F893" t="str">
        <f>"Miscellane"</f>
        <v>Miscellane</v>
      </c>
      <c r="G893" s="5">
        <v>6</v>
      </c>
      <c r="H893" t="str">
        <f>"JUSTIN TYLER PENA"</f>
        <v>JUSTIN TYLER PENA</v>
      </c>
    </row>
    <row r="894" spans="1:8" x14ac:dyDescent="0.25">
      <c r="A894" t="s">
        <v>285</v>
      </c>
      <c r="B894">
        <v>131286</v>
      </c>
      <c r="C894" s="5">
        <v>6</v>
      </c>
      <c r="D894" s="1">
        <v>43900</v>
      </c>
      <c r="E894" t="str">
        <f>"202003105866"</f>
        <v>202003105866</v>
      </c>
      <c r="F894" t="str">
        <f>"Miscell"</f>
        <v>Miscell</v>
      </c>
      <c r="G894" s="5">
        <v>6</v>
      </c>
      <c r="H894" t="str">
        <f>"HOWARD GAYLAN PUTMAN"</f>
        <v>HOWARD GAYLAN PUTMAN</v>
      </c>
    </row>
    <row r="895" spans="1:8" x14ac:dyDescent="0.25">
      <c r="A895" t="s">
        <v>286</v>
      </c>
      <c r="B895">
        <v>131287</v>
      </c>
      <c r="C895" s="5">
        <v>6</v>
      </c>
      <c r="D895" s="1">
        <v>43900</v>
      </c>
      <c r="E895" t="str">
        <f>"202003105867"</f>
        <v>202003105867</v>
      </c>
      <c r="F895" t="str">
        <f>"Miscellaneo"</f>
        <v>Miscellaneo</v>
      </c>
      <c r="G895" s="5">
        <v>6</v>
      </c>
      <c r="H895" t="str">
        <f>"FRED EDWARD ROSE"</f>
        <v>FRED EDWARD ROSE</v>
      </c>
    </row>
    <row r="896" spans="1:8" x14ac:dyDescent="0.25">
      <c r="A896" t="s">
        <v>287</v>
      </c>
      <c r="B896">
        <v>131288</v>
      </c>
      <c r="C896" s="5">
        <v>6</v>
      </c>
      <c r="D896" s="1">
        <v>43900</v>
      </c>
      <c r="E896" t="str">
        <f>"202003105868"</f>
        <v>202003105868</v>
      </c>
      <c r="F896" t="str">
        <f>"Miscellan"</f>
        <v>Miscellan</v>
      </c>
      <c r="G896" s="5">
        <v>6</v>
      </c>
      <c r="H896" t="str">
        <f>"BRANDI RENE BREWER"</f>
        <v>BRANDI RENE BREWER</v>
      </c>
    </row>
    <row r="897" spans="1:8" x14ac:dyDescent="0.25">
      <c r="A897" t="s">
        <v>288</v>
      </c>
      <c r="B897">
        <v>131289</v>
      </c>
      <c r="C897" s="5">
        <v>6</v>
      </c>
      <c r="D897" s="1">
        <v>43900</v>
      </c>
      <c r="E897" t="str">
        <f>"202003105869"</f>
        <v>202003105869</v>
      </c>
      <c r="F897" t="str">
        <f>"Miscellaneous"</f>
        <v>Miscellaneous</v>
      </c>
      <c r="G897" s="5">
        <v>6</v>
      </c>
      <c r="H897" t="str">
        <f>"SAMUEL LUVIANO"</f>
        <v>SAMUEL LUVIANO</v>
      </c>
    </row>
    <row r="898" spans="1:8" x14ac:dyDescent="0.25">
      <c r="A898" t="s">
        <v>289</v>
      </c>
      <c r="B898">
        <v>131455</v>
      </c>
      <c r="C898" s="5">
        <v>40</v>
      </c>
      <c r="D898" s="1">
        <v>43914</v>
      </c>
      <c r="E898" t="str">
        <f>"202003246062"</f>
        <v>202003246062</v>
      </c>
      <c r="F898" t="str">
        <f>"Mi"</f>
        <v>Mi</v>
      </c>
      <c r="G898" s="5">
        <v>40</v>
      </c>
      <c r="H898" t="str">
        <f>"TUCKER WITHINGTON BRISCOE"</f>
        <v>TUCKER WITHINGTON BRISCOE</v>
      </c>
    </row>
    <row r="899" spans="1:8" x14ac:dyDescent="0.25">
      <c r="A899" t="s">
        <v>290</v>
      </c>
      <c r="B899">
        <v>131456</v>
      </c>
      <c r="C899" s="5">
        <v>40</v>
      </c>
      <c r="D899" s="1">
        <v>43914</v>
      </c>
      <c r="E899" t="str">
        <f>"202003246063"</f>
        <v>202003246063</v>
      </c>
      <c r="F899" t="str">
        <f>"Misce"</f>
        <v>Misce</v>
      </c>
      <c r="G899" s="5">
        <v>40</v>
      </c>
      <c r="H899" t="str">
        <f>"BLAKE ROBERT CLAMPFFER"</f>
        <v>BLAKE ROBERT CLAMPFFER</v>
      </c>
    </row>
    <row r="900" spans="1:8" x14ac:dyDescent="0.25">
      <c r="A900" t="s">
        <v>291</v>
      </c>
      <c r="B900">
        <v>131457</v>
      </c>
      <c r="C900" s="5">
        <v>40</v>
      </c>
      <c r="D900" s="1">
        <v>43914</v>
      </c>
      <c r="E900" t="str">
        <f>"202003246064"</f>
        <v>202003246064</v>
      </c>
      <c r="F900" t="str">
        <f>""</f>
        <v/>
      </c>
      <c r="G900" s="5">
        <v>40</v>
      </c>
      <c r="H900" t="str">
        <f>"JONATHAN XAVIER CHAVEZ SANCHEZ"</f>
        <v>JONATHAN XAVIER CHAVEZ SANCHEZ</v>
      </c>
    </row>
    <row r="901" spans="1:8" x14ac:dyDescent="0.25">
      <c r="A901" t="s">
        <v>292</v>
      </c>
      <c r="B901">
        <v>131458</v>
      </c>
      <c r="C901" s="5">
        <v>40</v>
      </c>
      <c r="D901" s="1">
        <v>43914</v>
      </c>
      <c r="E901" t="str">
        <f>"202003246065"</f>
        <v>202003246065</v>
      </c>
      <c r="F901" t="str">
        <f>"Miscellaneo"</f>
        <v>Miscellaneo</v>
      </c>
      <c r="G901" s="5">
        <v>40</v>
      </c>
      <c r="H901" t="str">
        <f>"JACKIE VAN EVANS"</f>
        <v>JACKIE VAN EVANS</v>
      </c>
    </row>
    <row r="902" spans="1:8" x14ac:dyDescent="0.25">
      <c r="A902" t="s">
        <v>293</v>
      </c>
      <c r="B902">
        <v>131459</v>
      </c>
      <c r="C902" s="5">
        <v>40</v>
      </c>
      <c r="D902" s="1">
        <v>43914</v>
      </c>
      <c r="E902" t="str">
        <f>"202003246066"</f>
        <v>202003246066</v>
      </c>
      <c r="F902" t="str">
        <f>"Miscell"</f>
        <v>Miscell</v>
      </c>
      <c r="G902" s="5">
        <v>40</v>
      </c>
      <c r="H902" t="str">
        <f>"MARISA JANIRA GARCIA"</f>
        <v>MARISA JANIRA GARCIA</v>
      </c>
    </row>
    <row r="903" spans="1:8" x14ac:dyDescent="0.25">
      <c r="A903" t="s">
        <v>294</v>
      </c>
      <c r="B903">
        <v>131460</v>
      </c>
      <c r="C903" s="5">
        <v>40</v>
      </c>
      <c r="D903" s="1">
        <v>43914</v>
      </c>
      <c r="E903" t="str">
        <f>"202003246067"</f>
        <v>202003246067</v>
      </c>
      <c r="F903" t="str">
        <f>"Miscel"</f>
        <v>Miscel</v>
      </c>
      <c r="G903" s="5">
        <v>40</v>
      </c>
      <c r="H903" t="str">
        <f>"CRAIG EDWARD COSGROVE"</f>
        <v>CRAIG EDWARD COSGROVE</v>
      </c>
    </row>
    <row r="904" spans="1:8" x14ac:dyDescent="0.25">
      <c r="A904" t="s">
        <v>295</v>
      </c>
      <c r="B904">
        <v>131461</v>
      </c>
      <c r="C904" s="5">
        <v>40</v>
      </c>
      <c r="D904" s="1">
        <v>43914</v>
      </c>
      <c r="E904" t="str">
        <f>"202003246068"</f>
        <v>202003246068</v>
      </c>
      <c r="F904" t="str">
        <f>"Misce"</f>
        <v>Misce</v>
      </c>
      <c r="G904" s="5">
        <v>40</v>
      </c>
      <c r="H904" t="str">
        <f>"VICTORIA MAXWELL ALLEN"</f>
        <v>VICTORIA MAXWELL ALLEN</v>
      </c>
    </row>
    <row r="905" spans="1:8" x14ac:dyDescent="0.25">
      <c r="A905" t="s">
        <v>296</v>
      </c>
      <c r="B905">
        <v>131462</v>
      </c>
      <c r="C905" s="5">
        <v>40</v>
      </c>
      <c r="D905" s="1">
        <v>43914</v>
      </c>
      <c r="E905" t="str">
        <f>"202003246069"</f>
        <v>202003246069</v>
      </c>
      <c r="F905" t="str">
        <f>"Miscel"</f>
        <v>Miscel</v>
      </c>
      <c r="G905" s="5">
        <v>40</v>
      </c>
      <c r="H905" t="str">
        <f>"MIGUEL ANGEL DELACRUZ"</f>
        <v>MIGUEL ANGEL DELACRUZ</v>
      </c>
    </row>
    <row r="906" spans="1:8" x14ac:dyDescent="0.25">
      <c r="A906" t="s">
        <v>297</v>
      </c>
      <c r="B906">
        <v>131463</v>
      </c>
      <c r="C906" s="5">
        <v>40</v>
      </c>
      <c r="D906" s="1">
        <v>43914</v>
      </c>
      <c r="E906" t="str">
        <f>"202003246070"</f>
        <v>202003246070</v>
      </c>
      <c r="F906" t="str">
        <f>"Miscellaneous"</f>
        <v>Miscellaneous</v>
      </c>
      <c r="G906" s="5">
        <v>40</v>
      </c>
      <c r="H906" t="str">
        <f>"JO LYNN COHEN"</f>
        <v>JO LYNN COHEN</v>
      </c>
    </row>
    <row r="907" spans="1:8" x14ac:dyDescent="0.25">
      <c r="A907" t="s">
        <v>298</v>
      </c>
      <c r="B907">
        <v>131384</v>
      </c>
      <c r="C907" s="5">
        <v>75</v>
      </c>
      <c r="D907" s="1">
        <v>43913</v>
      </c>
      <c r="E907" t="str">
        <f>"12903"</f>
        <v>12903</v>
      </c>
      <c r="F907" t="str">
        <f>"SERVICE  12/19/19"</f>
        <v>SERVICE  12/19/19</v>
      </c>
      <c r="G907" s="5">
        <v>75</v>
      </c>
      <c r="H907" t="str">
        <f>"SERVICE  12/19/19"</f>
        <v>SERVICE  12/19/19</v>
      </c>
    </row>
    <row r="908" spans="1:8" x14ac:dyDescent="0.25">
      <c r="A908" t="s">
        <v>299</v>
      </c>
      <c r="B908">
        <v>131185</v>
      </c>
      <c r="C908" s="5">
        <v>46388.3</v>
      </c>
      <c r="D908" s="1">
        <v>43899</v>
      </c>
      <c r="E908" t="str">
        <f>"202003035656"</f>
        <v>202003035656</v>
      </c>
      <c r="F908" t="str">
        <f>"Radios for PCT 3"</f>
        <v>Radios for PCT 3</v>
      </c>
      <c r="G908" s="5">
        <v>46388.3</v>
      </c>
      <c r="H908" t="str">
        <f>"H51UCH9PW7 N"</f>
        <v>H51UCH9PW7 N</v>
      </c>
    </row>
    <row r="909" spans="1:8" x14ac:dyDescent="0.25">
      <c r="E909" t="str">
        <f>""</f>
        <v/>
      </c>
      <c r="F909" t="str">
        <f>""</f>
        <v/>
      </c>
      <c r="H909" t="str">
        <f>"QA02756"</f>
        <v>QA02756</v>
      </c>
    </row>
    <row r="910" spans="1:8" x14ac:dyDescent="0.25">
      <c r="E910" t="str">
        <f>""</f>
        <v/>
      </c>
      <c r="F910" t="str">
        <f>""</f>
        <v/>
      </c>
      <c r="H910" t="str">
        <f>" G996"</f>
        <v xml:space="preserve"> G996</v>
      </c>
    </row>
    <row r="911" spans="1:8" x14ac:dyDescent="0.25">
      <c r="E911" t="str">
        <f>""</f>
        <v/>
      </c>
      <c r="F911" t="str">
        <f>""</f>
        <v/>
      </c>
      <c r="H911" t="str">
        <f>"QA00580"</f>
        <v>QA00580</v>
      </c>
    </row>
    <row r="912" spans="1:8" x14ac:dyDescent="0.25">
      <c r="E912" t="str">
        <f>""</f>
        <v/>
      </c>
      <c r="F912" t="str">
        <f>""</f>
        <v/>
      </c>
      <c r="H912" t="str">
        <f>"QA01648"</f>
        <v>QA01648</v>
      </c>
    </row>
    <row r="913" spans="1:8" x14ac:dyDescent="0.25">
      <c r="E913" t="str">
        <f>""</f>
        <v/>
      </c>
      <c r="F913" t="str">
        <f>""</f>
        <v/>
      </c>
      <c r="H913" t="str">
        <f>"QA01767"</f>
        <v>QA01767</v>
      </c>
    </row>
    <row r="914" spans="1:8" x14ac:dyDescent="0.25">
      <c r="E914" t="str">
        <f>""</f>
        <v/>
      </c>
      <c r="F914" t="str">
        <f>""</f>
        <v/>
      </c>
      <c r="H914" t="str">
        <f>"QA01833"</f>
        <v>QA01833</v>
      </c>
    </row>
    <row r="915" spans="1:8" x14ac:dyDescent="0.25">
      <c r="E915" t="str">
        <f>""</f>
        <v/>
      </c>
      <c r="F915" t="str">
        <f>""</f>
        <v/>
      </c>
      <c r="H915" t="str">
        <f>"QA09008"</f>
        <v>QA09008</v>
      </c>
    </row>
    <row r="916" spans="1:8" x14ac:dyDescent="0.25">
      <c r="E916" t="str">
        <f>""</f>
        <v/>
      </c>
      <c r="F916" t="str">
        <f>""</f>
        <v/>
      </c>
      <c r="H916" t="str">
        <f>"QA00582"</f>
        <v>QA00582</v>
      </c>
    </row>
    <row r="917" spans="1:8" x14ac:dyDescent="0.25">
      <c r="E917" t="str">
        <f>""</f>
        <v/>
      </c>
      <c r="F917" t="str">
        <f>""</f>
        <v/>
      </c>
      <c r="H917" t="str">
        <f>"Q887"</f>
        <v>Q887</v>
      </c>
    </row>
    <row r="918" spans="1:8" x14ac:dyDescent="0.25">
      <c r="E918" t="str">
        <f>""</f>
        <v/>
      </c>
      <c r="F918" t="str">
        <f>""</f>
        <v/>
      </c>
      <c r="H918" t="str">
        <f>"T7914"</f>
        <v>T7914</v>
      </c>
    </row>
    <row r="919" spans="1:8" x14ac:dyDescent="0.25">
      <c r="E919" t="str">
        <f>""</f>
        <v/>
      </c>
      <c r="F919" t="str">
        <f>""</f>
        <v/>
      </c>
      <c r="H919" t="str">
        <f>"PMPN4284A"</f>
        <v>PMPN4284A</v>
      </c>
    </row>
    <row r="920" spans="1:8" x14ac:dyDescent="0.25">
      <c r="E920" t="str">
        <f>""</f>
        <v/>
      </c>
      <c r="F920" t="str">
        <f>""</f>
        <v/>
      </c>
      <c r="H920" t="str">
        <f>"NNTN8560A"</f>
        <v>NNTN8560A</v>
      </c>
    </row>
    <row r="921" spans="1:8" x14ac:dyDescent="0.25">
      <c r="E921" t="str">
        <f>""</f>
        <v/>
      </c>
      <c r="F921" t="str">
        <f>""</f>
        <v/>
      </c>
      <c r="H921" t="str">
        <f>"PMPN4174A"</f>
        <v>PMPN4174A</v>
      </c>
    </row>
    <row r="922" spans="1:8" x14ac:dyDescent="0.25">
      <c r="E922" t="str">
        <f>""</f>
        <v/>
      </c>
      <c r="F922" t="str">
        <f>""</f>
        <v/>
      </c>
      <c r="H922" t="str">
        <f>"PMMN4084A"</f>
        <v>PMMN4084A</v>
      </c>
    </row>
    <row r="923" spans="1:8" x14ac:dyDescent="0.25">
      <c r="E923" t="str">
        <f>""</f>
        <v/>
      </c>
      <c r="F923" t="str">
        <f>""</f>
        <v/>
      </c>
      <c r="H923" t="str">
        <f>"PROMO"</f>
        <v>PROMO</v>
      </c>
    </row>
    <row r="924" spans="1:8" x14ac:dyDescent="0.25">
      <c r="A924" t="s">
        <v>299</v>
      </c>
      <c r="B924">
        <v>131385</v>
      </c>
      <c r="C924" s="5">
        <v>20878.96</v>
      </c>
      <c r="D924" s="1">
        <v>43913</v>
      </c>
      <c r="E924" t="str">
        <f>"16095727"</f>
        <v>16095727</v>
      </c>
      <c r="F924" t="str">
        <f>"Antenna Kits"</f>
        <v>Antenna Kits</v>
      </c>
      <c r="G924" s="5">
        <v>109.65</v>
      </c>
      <c r="H924" t="str">
        <f>"HAF4013A"</f>
        <v>HAF4013A</v>
      </c>
    </row>
    <row r="925" spans="1:8" x14ac:dyDescent="0.25">
      <c r="E925" t="str">
        <f>"8230260991"</f>
        <v>8230260991</v>
      </c>
      <c r="F925" t="str">
        <f>"ACCT#1036215277"</f>
        <v>ACCT#1036215277</v>
      </c>
      <c r="G925" s="5">
        <v>20769.310000000001</v>
      </c>
      <c r="H925" t="str">
        <f>"ACCT#1036215277"</f>
        <v>ACCT#1036215277</v>
      </c>
    </row>
    <row r="926" spans="1:8" x14ac:dyDescent="0.25">
      <c r="A926" t="s">
        <v>300</v>
      </c>
      <c r="B926">
        <v>2279</v>
      </c>
      <c r="C926" s="5">
        <v>203.6</v>
      </c>
      <c r="D926" s="1">
        <v>43900</v>
      </c>
      <c r="E926" t="str">
        <f>"PART5151502"</f>
        <v>PART5151502</v>
      </c>
      <c r="F926" t="str">
        <f>"CUST#1006635/OEM"</f>
        <v>CUST#1006635/OEM</v>
      </c>
      <c r="G926" s="5">
        <v>203.6</v>
      </c>
      <c r="H926" t="str">
        <f>"CUST#1006635/OEM"</f>
        <v>CUST#1006635/OEM</v>
      </c>
    </row>
    <row r="927" spans="1:8" x14ac:dyDescent="0.25">
      <c r="A927" t="s">
        <v>301</v>
      </c>
      <c r="B927">
        <v>131186</v>
      </c>
      <c r="C927" s="5">
        <v>902.95</v>
      </c>
      <c r="D927" s="1">
        <v>43899</v>
      </c>
      <c r="E927" t="str">
        <f>"86803123"</f>
        <v>86803123</v>
      </c>
      <c r="F927" t="str">
        <f>"ACCT#150344157/WATER TRMT SVCS"</f>
        <v>ACCT#150344157/WATER TRMT SVCS</v>
      </c>
      <c r="G927" s="5">
        <v>902.95</v>
      </c>
      <c r="H927" t="str">
        <f>"ACCT#150344157/WATER TRMT SVCS"</f>
        <v>ACCT#150344157/WATER TRMT SVCS</v>
      </c>
    </row>
    <row r="928" spans="1:8" x14ac:dyDescent="0.25">
      <c r="A928" t="s">
        <v>301</v>
      </c>
      <c r="B928">
        <v>131386</v>
      </c>
      <c r="C928" s="5">
        <v>902.95</v>
      </c>
      <c r="D928" s="1">
        <v>43913</v>
      </c>
      <c r="E928" t="str">
        <f>"86818327"</f>
        <v>86818327</v>
      </c>
      <c r="F928" t="str">
        <f>"ACCT#150344157/GENERAL SVCS"</f>
        <v>ACCT#150344157/GENERAL SVCS</v>
      </c>
      <c r="G928" s="5">
        <v>902.95</v>
      </c>
      <c r="H928" t="str">
        <f>"ACCT#150344157/GENERAL SVCS"</f>
        <v>ACCT#150344157/GENERAL SVCS</v>
      </c>
    </row>
    <row r="929" spans="1:8" x14ac:dyDescent="0.25">
      <c r="A929" t="s">
        <v>302</v>
      </c>
      <c r="B929">
        <v>131187</v>
      </c>
      <c r="C929" s="5">
        <v>2465</v>
      </c>
      <c r="D929" s="1">
        <v>43899</v>
      </c>
      <c r="E929" t="str">
        <f>"02-20-20-01"</f>
        <v>02-20-20-01</v>
      </c>
      <c r="F929" t="str">
        <f>"JOB 02-20-20-01"</f>
        <v>JOB 02-20-20-01</v>
      </c>
      <c r="G929" s="5">
        <v>425</v>
      </c>
      <c r="H929" t="str">
        <f>"JOB 02-20-20-01"</f>
        <v>JOB 02-20-20-01</v>
      </c>
    </row>
    <row r="930" spans="1:8" x14ac:dyDescent="0.25">
      <c r="E930" t="str">
        <f>"1-27-20-04"</f>
        <v>1-27-20-04</v>
      </c>
      <c r="F930" t="str">
        <f>"JOB 1-27-20-04"</f>
        <v>JOB 1-27-20-04</v>
      </c>
      <c r="G930" s="5">
        <v>510</v>
      </c>
      <c r="H930" t="str">
        <f>"JOB 1-27-20-04"</f>
        <v>JOB 1-27-20-04</v>
      </c>
    </row>
    <row r="931" spans="1:8" x14ac:dyDescent="0.25">
      <c r="E931" t="str">
        <f>"2-24-20-1"</f>
        <v>2-24-20-1</v>
      </c>
      <c r="F931" t="str">
        <f>"JOB 2-24-20-1"</f>
        <v>JOB 2-24-20-1</v>
      </c>
      <c r="G931" s="5">
        <v>637.5</v>
      </c>
      <c r="H931" t="str">
        <f>"JOB 2-24-20-1"</f>
        <v>JOB 2-24-20-1</v>
      </c>
    </row>
    <row r="932" spans="1:8" x14ac:dyDescent="0.25">
      <c r="E932" t="str">
        <f>"202003045712"</f>
        <v>202003045712</v>
      </c>
      <c r="F932" t="str">
        <f>"JOB 2-26-20-03"</f>
        <v>JOB 2-26-20-03</v>
      </c>
      <c r="G932" s="5">
        <v>892.5</v>
      </c>
      <c r="H932" t="str">
        <f>"JOB 2-26-20-03"</f>
        <v>JOB 2-26-20-03</v>
      </c>
    </row>
    <row r="933" spans="1:8" x14ac:dyDescent="0.25">
      <c r="A933" t="s">
        <v>303</v>
      </c>
      <c r="B933">
        <v>131188</v>
      </c>
      <c r="C933" s="5">
        <v>25</v>
      </c>
      <c r="D933" s="1">
        <v>43899</v>
      </c>
      <c r="E933" t="str">
        <f>"202003025553"</f>
        <v>202003025553</v>
      </c>
      <c r="F933" t="str">
        <f>"REFUND DRIVEWAY PERMIT"</f>
        <v>REFUND DRIVEWAY PERMIT</v>
      </c>
      <c r="G933" s="5">
        <v>25</v>
      </c>
      <c r="H933" t="str">
        <f>"REFUND DRIVEWAY PERMIT"</f>
        <v>REFUND DRIVEWAY PERMIT</v>
      </c>
    </row>
    <row r="934" spans="1:8" x14ac:dyDescent="0.25">
      <c r="A934" t="s">
        <v>304</v>
      </c>
      <c r="B934">
        <v>2292</v>
      </c>
      <c r="C934" s="5">
        <v>286.47000000000003</v>
      </c>
      <c r="D934" s="1">
        <v>43900</v>
      </c>
      <c r="E934" t="str">
        <f>"47974"</f>
        <v>47974</v>
      </c>
      <c r="F934" t="str">
        <f>"ACCT#24367/ORD#117378"</f>
        <v>ACCT#24367/ORD#117378</v>
      </c>
      <c r="G934" s="5">
        <v>286.47000000000003</v>
      </c>
      <c r="H934" t="str">
        <f>"ACCT#24367/ORD#117378"</f>
        <v>ACCT#24367/ORD#117378</v>
      </c>
    </row>
    <row r="935" spans="1:8" x14ac:dyDescent="0.25">
      <c r="A935" t="s">
        <v>305</v>
      </c>
      <c r="B935">
        <v>2257</v>
      </c>
      <c r="C935" s="5">
        <v>13030.98</v>
      </c>
      <c r="D935" s="1">
        <v>43900</v>
      </c>
      <c r="E935" t="str">
        <f>"IN0837030"</f>
        <v>IN0837030</v>
      </c>
      <c r="F935" t="str">
        <f>"IN0837030"</f>
        <v>IN0837030</v>
      </c>
      <c r="G935" s="5">
        <v>3192</v>
      </c>
      <c r="H935" t="str">
        <f>"IN0837030"</f>
        <v>IN0837030</v>
      </c>
    </row>
    <row r="936" spans="1:8" x14ac:dyDescent="0.25">
      <c r="E936" t="str">
        <f>"IN0837207"</f>
        <v>IN0837207</v>
      </c>
      <c r="F936" t="str">
        <f>"IN0837207"</f>
        <v>IN0837207</v>
      </c>
      <c r="G936" s="5">
        <v>6078.58</v>
      </c>
      <c r="H936" t="str">
        <f>"IN0837207"</f>
        <v>IN0837207</v>
      </c>
    </row>
    <row r="937" spans="1:8" x14ac:dyDescent="0.25">
      <c r="E937" t="str">
        <f>"IN0837320"</f>
        <v>IN0837320</v>
      </c>
      <c r="F937" t="str">
        <f>"IN0837320"</f>
        <v>IN0837320</v>
      </c>
      <c r="G937" s="5">
        <v>3760.4</v>
      </c>
      <c r="H937" t="str">
        <f>"IN0837320"</f>
        <v>IN0837320</v>
      </c>
    </row>
    <row r="938" spans="1:8" x14ac:dyDescent="0.25">
      <c r="A938" t="s">
        <v>305</v>
      </c>
      <c r="B938">
        <v>2336</v>
      </c>
      <c r="C938" s="5">
        <v>18250.03</v>
      </c>
      <c r="D938" s="1">
        <v>43914</v>
      </c>
      <c r="E938" t="str">
        <f>"IN0837738"</f>
        <v>IN0837738</v>
      </c>
      <c r="F938" t="str">
        <f>"INV IN0837738"</f>
        <v>INV IN0837738</v>
      </c>
      <c r="G938" s="5">
        <v>3193</v>
      </c>
      <c r="H938" t="str">
        <f>"INV IN0837738"</f>
        <v>INV IN0837738</v>
      </c>
    </row>
    <row r="939" spans="1:8" x14ac:dyDescent="0.25">
      <c r="E939" t="str">
        <f>"IN0837740"</f>
        <v>IN0837740</v>
      </c>
      <c r="F939" t="str">
        <f>"INV IN0837740"</f>
        <v>INV IN0837740</v>
      </c>
      <c r="G939" s="5">
        <v>3326.25</v>
      </c>
      <c r="H939" t="str">
        <f>"INV IN0837740"</f>
        <v>INV IN0837740</v>
      </c>
    </row>
    <row r="940" spans="1:8" x14ac:dyDescent="0.25">
      <c r="E940" t="str">
        <f>"IN0838032"</f>
        <v>IN0838032</v>
      </c>
      <c r="F940" t="str">
        <f>"INV IN0838032"</f>
        <v>INV IN0838032</v>
      </c>
      <c r="G940" s="5">
        <v>7285.5</v>
      </c>
      <c r="H940" t="str">
        <f>"INV IN0838032"</f>
        <v>INV IN0838032</v>
      </c>
    </row>
    <row r="941" spans="1:8" x14ac:dyDescent="0.25">
      <c r="E941" t="str">
        <f>"IN0838127"</f>
        <v>IN0838127</v>
      </c>
      <c r="F941" t="str">
        <f>"INV IN0838127"</f>
        <v>INV IN0838127</v>
      </c>
      <c r="G941" s="5">
        <v>4445.28</v>
      </c>
      <c r="H941" t="str">
        <f>"INV IN0838127"</f>
        <v>INV IN0838127</v>
      </c>
    </row>
    <row r="942" spans="1:8" x14ac:dyDescent="0.25">
      <c r="A942" t="s">
        <v>306</v>
      </c>
      <c r="B942">
        <v>2322</v>
      </c>
      <c r="C942" s="5">
        <v>83.98</v>
      </c>
      <c r="D942" s="1">
        <v>43900</v>
      </c>
      <c r="E942" t="str">
        <f>"0581131494 0581135"</f>
        <v>0581131494 0581135</v>
      </c>
      <c r="F942" t="str">
        <f>"INV 0581131494/0581135755"</f>
        <v>INV 0581131494/0581135755</v>
      </c>
      <c r="G942" s="5">
        <v>83.98</v>
      </c>
      <c r="H942" t="str">
        <f>"INV 0581131494"</f>
        <v>INV 0581131494</v>
      </c>
    </row>
    <row r="943" spans="1:8" x14ac:dyDescent="0.25">
      <c r="E943" t="str">
        <f>""</f>
        <v/>
      </c>
      <c r="F943" t="str">
        <f>""</f>
        <v/>
      </c>
      <c r="H943" t="str">
        <f>"INV 0581135755"</f>
        <v>INV 0581135755</v>
      </c>
    </row>
    <row r="944" spans="1:8" x14ac:dyDescent="0.25">
      <c r="A944" t="s">
        <v>306</v>
      </c>
      <c r="B944">
        <v>2394</v>
      </c>
      <c r="C944" s="5">
        <v>733</v>
      </c>
      <c r="D944" s="1">
        <v>43914</v>
      </c>
      <c r="E944" t="str">
        <f>"0281-151554"</f>
        <v>0281-151554</v>
      </c>
      <c r="F944" t="str">
        <f>"INV 0281-151554"</f>
        <v>INV 0281-151554</v>
      </c>
      <c r="G944" s="5">
        <v>5.9</v>
      </c>
      <c r="H944" t="str">
        <f>"INV 0281-151554"</f>
        <v>INV 0281-151554</v>
      </c>
    </row>
    <row r="945" spans="1:8" x14ac:dyDescent="0.25">
      <c r="E945" t="str">
        <f>"0605342446"</f>
        <v>0605342446</v>
      </c>
      <c r="F945" t="str">
        <f>"CUST#1772018/PCT#4"</f>
        <v>CUST#1772018/PCT#4</v>
      </c>
      <c r="G945" s="5">
        <v>28.46</v>
      </c>
      <c r="H945" t="str">
        <f>"CUST#1772018/PCT#4"</f>
        <v>CUST#1772018/PCT#4</v>
      </c>
    </row>
    <row r="946" spans="1:8" x14ac:dyDescent="0.25">
      <c r="E946" t="str">
        <f>"202003125948"</f>
        <v>202003125948</v>
      </c>
      <c r="F946" t="str">
        <f>"CUST#99088/PCT#4"</f>
        <v>CUST#99088/PCT#4</v>
      </c>
      <c r="G946" s="5">
        <v>161.69</v>
      </c>
      <c r="H946" t="str">
        <f>"CUST#99088/PCT#4"</f>
        <v>CUST#99088/PCT#4</v>
      </c>
    </row>
    <row r="947" spans="1:8" x14ac:dyDescent="0.25">
      <c r="E947" t="str">
        <f>"202003135955"</f>
        <v>202003135955</v>
      </c>
      <c r="F947" t="str">
        <f>"CUST#1772018/PCT#1"</f>
        <v>CUST#1772018/PCT#1</v>
      </c>
      <c r="G947" s="5">
        <v>536.95000000000005</v>
      </c>
      <c r="H947" t="str">
        <f>"CUST#1772018/PCT#1"</f>
        <v>CUST#1772018/PCT#1</v>
      </c>
    </row>
    <row r="948" spans="1:8" x14ac:dyDescent="0.25">
      <c r="A948" t="s">
        <v>307</v>
      </c>
      <c r="B948">
        <v>131189</v>
      </c>
      <c r="C948" s="5">
        <v>894.24</v>
      </c>
      <c r="D948" s="1">
        <v>43899</v>
      </c>
      <c r="E948" t="str">
        <f>"1884523 1891182"</f>
        <v>1884523 1891182</v>
      </c>
      <c r="F948" t="str">
        <f>"INV 1884523"</f>
        <v>INV 1884523</v>
      </c>
      <c r="G948" s="5">
        <v>894.24</v>
      </c>
      <c r="H948" t="str">
        <f>"INV 1884523"</f>
        <v>INV 1884523</v>
      </c>
    </row>
    <row r="949" spans="1:8" x14ac:dyDescent="0.25">
      <c r="E949" t="str">
        <f>""</f>
        <v/>
      </c>
      <c r="F949" t="str">
        <f>""</f>
        <v/>
      </c>
      <c r="H949" t="str">
        <f>"INV 1891182"</f>
        <v>INV 1891182</v>
      </c>
    </row>
    <row r="950" spans="1:8" x14ac:dyDescent="0.25">
      <c r="A950" t="s">
        <v>307</v>
      </c>
      <c r="B950">
        <v>131387</v>
      </c>
      <c r="C950" s="5">
        <v>972</v>
      </c>
      <c r="D950" s="1">
        <v>43913</v>
      </c>
      <c r="E950" t="str">
        <f>"1898030  1904435"</f>
        <v>1898030  1904435</v>
      </c>
      <c r="F950" t="str">
        <f>"INV 1898030"</f>
        <v>INV 1898030</v>
      </c>
      <c r="G950" s="5">
        <v>972</v>
      </c>
      <c r="H950" t="str">
        <f>"INV 1898030"</f>
        <v>INV 1898030</v>
      </c>
    </row>
    <row r="951" spans="1:8" x14ac:dyDescent="0.25">
      <c r="E951" t="str">
        <f>""</f>
        <v/>
      </c>
      <c r="F951" t="str">
        <f>""</f>
        <v/>
      </c>
      <c r="H951" t="str">
        <f>"INV 1904435"</f>
        <v>INV 1904435</v>
      </c>
    </row>
    <row r="952" spans="1:8" x14ac:dyDescent="0.25">
      <c r="A952" t="s">
        <v>308</v>
      </c>
      <c r="B952">
        <v>131190</v>
      </c>
      <c r="C952" s="5">
        <v>1763.66</v>
      </c>
      <c r="D952" s="1">
        <v>43899</v>
      </c>
      <c r="E952" t="str">
        <f>"13969155"</f>
        <v>13969155</v>
      </c>
      <c r="F952" t="str">
        <f>"bill# 13969155"</f>
        <v>bill# 13969155</v>
      </c>
      <c r="G952" s="5">
        <v>1763.66</v>
      </c>
      <c r="H952" t="str">
        <f>"ord# 442816602001"</f>
        <v>ord# 442816602001</v>
      </c>
    </row>
    <row r="953" spans="1:8" x14ac:dyDescent="0.25">
      <c r="E953" t="str">
        <f>""</f>
        <v/>
      </c>
      <c r="F953" t="str">
        <f>""</f>
        <v/>
      </c>
      <c r="H953" t="str">
        <f>"ord# 442818160001"</f>
        <v>ord# 442818160001</v>
      </c>
    </row>
    <row r="954" spans="1:8" x14ac:dyDescent="0.25">
      <c r="E954" t="str">
        <f>""</f>
        <v/>
      </c>
      <c r="F954" t="str">
        <f>""</f>
        <v/>
      </c>
      <c r="H954" t="str">
        <f>"ord# 442715837001"</f>
        <v>ord# 442715837001</v>
      </c>
    </row>
    <row r="955" spans="1:8" x14ac:dyDescent="0.25">
      <c r="E955" t="str">
        <f>""</f>
        <v/>
      </c>
      <c r="F955" t="str">
        <f>""</f>
        <v/>
      </c>
      <c r="H955" t="str">
        <f>"ord# 442716982001"</f>
        <v>ord# 442716982001</v>
      </c>
    </row>
    <row r="956" spans="1:8" x14ac:dyDescent="0.25">
      <c r="E956" t="str">
        <f>""</f>
        <v/>
      </c>
      <c r="F956" t="str">
        <f>""</f>
        <v/>
      </c>
      <c r="H956" t="str">
        <f>"ord# 442958684001"</f>
        <v>ord# 442958684001</v>
      </c>
    </row>
    <row r="957" spans="1:8" x14ac:dyDescent="0.25">
      <c r="E957" t="str">
        <f>""</f>
        <v/>
      </c>
      <c r="F957" t="str">
        <f>""</f>
        <v/>
      </c>
      <c r="H957" t="str">
        <f>"ord# 442959669001"</f>
        <v>ord# 442959669001</v>
      </c>
    </row>
    <row r="958" spans="1:8" x14ac:dyDescent="0.25">
      <c r="E958" t="str">
        <f>""</f>
        <v/>
      </c>
      <c r="F958" t="str">
        <f>""</f>
        <v/>
      </c>
      <c r="H958" t="str">
        <f>"ord# 443521394001"</f>
        <v>ord# 443521394001</v>
      </c>
    </row>
    <row r="959" spans="1:8" x14ac:dyDescent="0.25">
      <c r="E959" t="str">
        <f>""</f>
        <v/>
      </c>
      <c r="F959" t="str">
        <f>""</f>
        <v/>
      </c>
      <c r="H959" t="str">
        <f>"ord# 439245088001"</f>
        <v>ord# 439245088001</v>
      </c>
    </row>
    <row r="960" spans="1:8" x14ac:dyDescent="0.25">
      <c r="A960" t="s">
        <v>308</v>
      </c>
      <c r="B960">
        <v>131388</v>
      </c>
      <c r="C960" s="5">
        <v>1978.13</v>
      </c>
      <c r="D960" s="1">
        <v>43913</v>
      </c>
      <c r="E960" t="str">
        <f>"14123000"</f>
        <v>14123000</v>
      </c>
      <c r="F960" t="str">
        <f>"bill# 14123000"</f>
        <v>bill# 14123000</v>
      </c>
      <c r="G960" s="5">
        <v>1978.13</v>
      </c>
      <c r="H960" t="str">
        <f>"Ord# 448761085001"</f>
        <v>Ord# 448761085001</v>
      </c>
    </row>
    <row r="961" spans="1:8" x14ac:dyDescent="0.25">
      <c r="E961" t="str">
        <f>""</f>
        <v/>
      </c>
      <c r="F961" t="str">
        <f>""</f>
        <v/>
      </c>
      <c r="H961" t="str">
        <f>"Ord# 448763055001"</f>
        <v>Ord# 448763055001</v>
      </c>
    </row>
    <row r="962" spans="1:8" x14ac:dyDescent="0.25">
      <c r="E962" t="str">
        <f>""</f>
        <v/>
      </c>
      <c r="F962" t="str">
        <f>""</f>
        <v/>
      </c>
      <c r="H962" t="str">
        <f>"Ord# 448763056001"</f>
        <v>Ord# 448763056001</v>
      </c>
    </row>
    <row r="963" spans="1:8" x14ac:dyDescent="0.25">
      <c r="E963" t="str">
        <f>""</f>
        <v/>
      </c>
      <c r="F963" t="str">
        <f>""</f>
        <v/>
      </c>
      <c r="H963" t="str">
        <f>"Ord# 448763057001"</f>
        <v>Ord# 448763057001</v>
      </c>
    </row>
    <row r="964" spans="1:8" x14ac:dyDescent="0.25">
      <c r="E964" t="str">
        <f>""</f>
        <v/>
      </c>
      <c r="F964" t="str">
        <f>""</f>
        <v/>
      </c>
      <c r="H964" t="str">
        <f>"Ord# 446532396001"</f>
        <v>Ord# 446532396001</v>
      </c>
    </row>
    <row r="965" spans="1:8" x14ac:dyDescent="0.25">
      <c r="E965" t="str">
        <f>""</f>
        <v/>
      </c>
      <c r="F965" t="str">
        <f>""</f>
        <v/>
      </c>
      <c r="H965" t="str">
        <f>"Ord# 446536047001"</f>
        <v>Ord# 446536047001</v>
      </c>
    </row>
    <row r="966" spans="1:8" x14ac:dyDescent="0.25">
      <c r="E966" t="str">
        <f>""</f>
        <v/>
      </c>
      <c r="F966" t="str">
        <f>""</f>
        <v/>
      </c>
      <c r="H966" t="str">
        <f>"Ord# 445971197001"</f>
        <v>Ord# 445971197001</v>
      </c>
    </row>
    <row r="967" spans="1:8" x14ac:dyDescent="0.25">
      <c r="E967" t="str">
        <f>""</f>
        <v/>
      </c>
      <c r="F967" t="str">
        <f>""</f>
        <v/>
      </c>
      <c r="H967" t="str">
        <f>"Ord# 450850969001"</f>
        <v>Ord# 450850969001</v>
      </c>
    </row>
    <row r="968" spans="1:8" x14ac:dyDescent="0.25">
      <c r="E968" t="str">
        <f>""</f>
        <v/>
      </c>
      <c r="F968" t="str">
        <f>""</f>
        <v/>
      </c>
      <c r="H968" t="str">
        <f>"Ord# 446550109001"</f>
        <v>Ord# 446550109001</v>
      </c>
    </row>
    <row r="969" spans="1:8" x14ac:dyDescent="0.25">
      <c r="E969" t="str">
        <f>""</f>
        <v/>
      </c>
      <c r="F969" t="str">
        <f>""</f>
        <v/>
      </c>
      <c r="H969" t="str">
        <f>"Ord# 446550597001"</f>
        <v>Ord# 446550597001</v>
      </c>
    </row>
    <row r="970" spans="1:8" x14ac:dyDescent="0.25">
      <c r="E970" t="str">
        <f>""</f>
        <v/>
      </c>
      <c r="F970" t="str">
        <f>""</f>
        <v/>
      </c>
      <c r="H970" t="str">
        <f>"Ord# 446550598001"</f>
        <v>Ord# 446550598001</v>
      </c>
    </row>
    <row r="971" spans="1:8" x14ac:dyDescent="0.25">
      <c r="E971" t="str">
        <f>""</f>
        <v/>
      </c>
      <c r="F971" t="str">
        <f>""</f>
        <v/>
      </c>
      <c r="H971" t="str">
        <f>"Ord# 446550599001"</f>
        <v>Ord# 446550599001</v>
      </c>
    </row>
    <row r="972" spans="1:8" x14ac:dyDescent="0.25">
      <c r="E972" t="str">
        <f>""</f>
        <v/>
      </c>
      <c r="F972" t="str">
        <f>""</f>
        <v/>
      </c>
      <c r="H972" t="str">
        <f>"Ord# 447676061001"</f>
        <v>Ord# 447676061001</v>
      </c>
    </row>
    <row r="973" spans="1:8" x14ac:dyDescent="0.25">
      <c r="E973" t="str">
        <f>""</f>
        <v/>
      </c>
      <c r="F973" t="str">
        <f>""</f>
        <v/>
      </c>
      <c r="H973" t="str">
        <f>"Ord# 447675463001"</f>
        <v>Ord# 447675463001</v>
      </c>
    </row>
    <row r="974" spans="1:8" x14ac:dyDescent="0.25">
      <c r="E974" t="str">
        <f>""</f>
        <v/>
      </c>
      <c r="F974" t="str">
        <f>""</f>
        <v/>
      </c>
      <c r="H974" t="str">
        <f>"Ord# 449377320001"</f>
        <v>Ord# 449377320001</v>
      </c>
    </row>
    <row r="975" spans="1:8" x14ac:dyDescent="0.25">
      <c r="E975" t="str">
        <f>""</f>
        <v/>
      </c>
      <c r="F975" t="str">
        <f>""</f>
        <v/>
      </c>
      <c r="H975" t="str">
        <f>"Ord# 445675326001"</f>
        <v>Ord# 445675326001</v>
      </c>
    </row>
    <row r="976" spans="1:8" x14ac:dyDescent="0.25">
      <c r="A976" t="s">
        <v>309</v>
      </c>
      <c r="B976">
        <v>131389</v>
      </c>
      <c r="C976" s="5">
        <v>25</v>
      </c>
      <c r="D976" s="1">
        <v>43913</v>
      </c>
      <c r="E976" t="str">
        <f>"287023"</f>
        <v>287023</v>
      </c>
      <c r="F976" t="str">
        <f>"CUST ID:BASCOU/DRUG SCREENING"</f>
        <v>CUST ID:BASCOU/DRUG SCREENING</v>
      </c>
      <c r="G976" s="5">
        <v>25</v>
      </c>
      <c r="H976" t="str">
        <f>"CUST ID:BASCOU/DRUG SCREENING"</f>
        <v>CUST ID:BASCOU/DRUG SCREENING</v>
      </c>
    </row>
    <row r="977" spans="1:8" x14ac:dyDescent="0.25">
      <c r="A977" t="s">
        <v>310</v>
      </c>
      <c r="B977">
        <v>131191</v>
      </c>
      <c r="C977" s="5">
        <v>1481</v>
      </c>
      <c r="D977" s="1">
        <v>43899</v>
      </c>
      <c r="E977" t="str">
        <f>"1057-1"</f>
        <v>1057-1</v>
      </c>
      <c r="F977" t="str">
        <f>"PLUMBING SVCS/104 LOOP 150 W"</f>
        <v>PLUMBING SVCS/104 LOOP 150 W</v>
      </c>
      <c r="G977" s="5">
        <v>1018</v>
      </c>
      <c r="H977" t="str">
        <f>"PLUMBING SVCS/104 LOOP 150 W"</f>
        <v>PLUMBING SVCS/104 LOOP 150 W</v>
      </c>
    </row>
    <row r="978" spans="1:8" x14ac:dyDescent="0.25">
      <c r="E978" t="str">
        <f>"1081"</f>
        <v>1081</v>
      </c>
      <c r="F978" t="str">
        <f>"PLUMBING SVCS/589 COOL WATER"</f>
        <v>PLUMBING SVCS/589 COOL WATER</v>
      </c>
      <c r="G978" s="5">
        <v>288</v>
      </c>
      <c r="H978" t="str">
        <f>"PLUMBING SVCS/589 COOL WATER"</f>
        <v>PLUMBING SVCS/589 COOL WATER</v>
      </c>
    </row>
    <row r="979" spans="1:8" x14ac:dyDescent="0.25">
      <c r="E979" t="str">
        <f>"891"</f>
        <v>891</v>
      </c>
      <c r="F979" t="str">
        <f>"PLUMBING SVCS/305 ESKEW"</f>
        <v>PLUMBING SVCS/305 ESKEW</v>
      </c>
      <c r="G979" s="5">
        <v>175</v>
      </c>
      <c r="H979" t="str">
        <f>"PLUMBING SVCS/305 ESKEW"</f>
        <v>PLUMBING SVCS/305 ESKEW</v>
      </c>
    </row>
    <row r="980" spans="1:8" x14ac:dyDescent="0.25">
      <c r="A980" t="s">
        <v>310</v>
      </c>
      <c r="B980">
        <v>131390</v>
      </c>
      <c r="C980" s="5">
        <v>7191</v>
      </c>
      <c r="D980" s="1">
        <v>43913</v>
      </c>
      <c r="E980" t="str">
        <f>"1025"</f>
        <v>1025</v>
      </c>
      <c r="F980" t="str">
        <f>"PLUMBING SVCS/804 PECAN"</f>
        <v>PLUMBING SVCS/804 PECAN</v>
      </c>
      <c r="G980" s="5">
        <v>1742</v>
      </c>
      <c r="H980" t="str">
        <f>"PLUMBING SVCS/804 PECAN"</f>
        <v>PLUMBING SVCS/804 PECAN</v>
      </c>
    </row>
    <row r="981" spans="1:8" x14ac:dyDescent="0.25">
      <c r="E981" t="str">
        <f>"1109"</f>
        <v>1109</v>
      </c>
      <c r="F981" t="str">
        <f>"INV 1109"</f>
        <v>INV 1109</v>
      </c>
      <c r="G981" s="5">
        <v>3768</v>
      </c>
      <c r="H981" t="str">
        <f>"INV 1109"</f>
        <v>INV 1109</v>
      </c>
    </row>
    <row r="982" spans="1:8" x14ac:dyDescent="0.25">
      <c r="E982" t="str">
        <f>"1145"</f>
        <v>1145</v>
      </c>
      <c r="F982" t="str">
        <f>"PLUMBING SVCS/104 LOOP 150 W"</f>
        <v>PLUMBING SVCS/104 LOOP 150 W</v>
      </c>
      <c r="G982" s="5">
        <v>404</v>
      </c>
      <c r="H982" t="str">
        <f>"PLUMBING SVCS/104 LOOP 150 W"</f>
        <v>PLUMBING SVCS/104 LOOP 150 W</v>
      </c>
    </row>
    <row r="983" spans="1:8" x14ac:dyDescent="0.25">
      <c r="E983" t="str">
        <f>"1157-1"</f>
        <v>1157-1</v>
      </c>
      <c r="F983" t="str">
        <f>"PLUMBING SVCS-104 LOOP 150 W"</f>
        <v>PLUMBING SVCS-104 LOOP 150 W</v>
      </c>
      <c r="G983" s="5">
        <v>977</v>
      </c>
      <c r="H983" t="str">
        <f>"PLUMBING SVCS-104 LOOP 150 W"</f>
        <v>PLUMBING SVCS-104 LOOP 150 W</v>
      </c>
    </row>
    <row r="984" spans="1:8" x14ac:dyDescent="0.25">
      <c r="E984" t="str">
        <f>"1164"</f>
        <v>1164</v>
      </c>
      <c r="F984" t="str">
        <f>"PLUMBING SVCS-1624 NE LOOP 230"</f>
        <v>PLUMBING SVCS-1624 NE LOOP 230</v>
      </c>
      <c r="G984" s="5">
        <v>300</v>
      </c>
      <c r="H984" t="str">
        <f>"PLUMBING SVCS-1624 NE LOOP 230"</f>
        <v>PLUMBING SVCS-1624 NE LOOP 230</v>
      </c>
    </row>
    <row r="985" spans="1:8" x14ac:dyDescent="0.25">
      <c r="A985" t="s">
        <v>311</v>
      </c>
      <c r="B985">
        <v>131391</v>
      </c>
      <c r="C985" s="5">
        <v>237</v>
      </c>
      <c r="D985" s="1">
        <v>43913</v>
      </c>
      <c r="E985" t="str">
        <f>"273247"</f>
        <v>273247</v>
      </c>
      <c r="F985" t="str">
        <f>"112258  112259 3M"</f>
        <v>112258  112259 3M</v>
      </c>
      <c r="G985" s="5">
        <v>237</v>
      </c>
      <c r="H985" t="str">
        <f>"112258  112259 3M"</f>
        <v>112258  112259 3M</v>
      </c>
    </row>
    <row r="986" spans="1:8" x14ac:dyDescent="0.25">
      <c r="A986" t="s">
        <v>312</v>
      </c>
      <c r="B986">
        <v>131192</v>
      </c>
      <c r="C986" s="5">
        <v>549</v>
      </c>
      <c r="D986" s="1">
        <v>43899</v>
      </c>
      <c r="E986" t="str">
        <f>"72881"</f>
        <v>72881</v>
      </c>
      <c r="F986" t="str">
        <f>"BACKPACK BLOWER/PCT#1"</f>
        <v>BACKPACK BLOWER/PCT#1</v>
      </c>
      <c r="G986" s="5">
        <v>549</v>
      </c>
      <c r="H986" t="str">
        <f>"BACKPACK BLOWER/PCT#1"</f>
        <v>BACKPACK BLOWER/PCT#1</v>
      </c>
    </row>
    <row r="987" spans="1:8" x14ac:dyDescent="0.25">
      <c r="A987" t="s">
        <v>312</v>
      </c>
      <c r="B987">
        <v>131392</v>
      </c>
      <c r="C987" s="5">
        <v>585.16</v>
      </c>
      <c r="D987" s="1">
        <v>43913</v>
      </c>
      <c r="E987" t="str">
        <f>"72968"</f>
        <v>72968</v>
      </c>
      <c r="F987" t="str">
        <f>"EQUIPMENT/PCT#4"</f>
        <v>EQUIPMENT/PCT#4</v>
      </c>
      <c r="G987" s="5">
        <v>585.16</v>
      </c>
      <c r="H987" t="str">
        <f>"EQUIPMENT/PCT#4"</f>
        <v>EQUIPMENT/PCT#4</v>
      </c>
    </row>
    <row r="988" spans="1:8" x14ac:dyDescent="0.25">
      <c r="A988" t="s">
        <v>313</v>
      </c>
      <c r="B988">
        <v>131393</v>
      </c>
      <c r="C988" s="5">
        <v>257.77999999999997</v>
      </c>
      <c r="D988" s="1">
        <v>43913</v>
      </c>
      <c r="E988" t="str">
        <f>"202003125947"</f>
        <v>202003125947</v>
      </c>
      <c r="F988" t="str">
        <f>"ACCT#1137/PCT#4"</f>
        <v>ACCT#1137/PCT#4</v>
      </c>
      <c r="G988" s="5">
        <v>257.77999999999997</v>
      </c>
      <c r="H988" t="str">
        <f>"ACCT#1137/PCT#4"</f>
        <v>ACCT#1137/PCT#4</v>
      </c>
    </row>
    <row r="989" spans="1:8" x14ac:dyDescent="0.25">
      <c r="A989" t="s">
        <v>314</v>
      </c>
      <c r="B989">
        <v>131394</v>
      </c>
      <c r="C989" s="5">
        <v>58.79</v>
      </c>
      <c r="D989" s="1">
        <v>43913</v>
      </c>
      <c r="E989" t="str">
        <f>"202003165994"</f>
        <v>202003165994</v>
      </c>
      <c r="F989" t="str">
        <f>"MEAL REIMBURSEMENT"</f>
        <v>MEAL REIMBURSEMENT</v>
      </c>
      <c r="G989" s="5">
        <v>58.79</v>
      </c>
      <c r="H989" t="str">
        <f>"MEAL REIMBURSEMENT"</f>
        <v>MEAL REIMBURSEMENT</v>
      </c>
    </row>
    <row r="990" spans="1:8" x14ac:dyDescent="0.25">
      <c r="A990" t="s">
        <v>315</v>
      </c>
      <c r="B990">
        <v>2266</v>
      </c>
      <c r="C990" s="5">
        <v>3190.6</v>
      </c>
      <c r="D990" s="1">
        <v>43900</v>
      </c>
      <c r="E990" t="str">
        <f>"2008413"</f>
        <v>2008413</v>
      </c>
      <c r="F990" t="str">
        <f>"OLD COURTHOUSE/IT DEPT"</f>
        <v>OLD COURTHOUSE/IT DEPT</v>
      </c>
      <c r="G990" s="5">
        <v>325</v>
      </c>
      <c r="H990" t="str">
        <f>"OLD COURTHOUSE/IT DEPT"</f>
        <v>OLD COURTHOUSE/IT DEPT</v>
      </c>
    </row>
    <row r="991" spans="1:8" x14ac:dyDescent="0.25">
      <c r="E991" t="str">
        <f>"2008416"</f>
        <v>2008416</v>
      </c>
      <c r="F991" t="str">
        <f>"inv# 2008416"</f>
        <v>inv# 2008416</v>
      </c>
      <c r="G991" s="5">
        <v>945</v>
      </c>
      <c r="H991" t="str">
        <f>"inv# 2008416"</f>
        <v>inv# 2008416</v>
      </c>
    </row>
    <row r="992" spans="1:8" x14ac:dyDescent="0.25">
      <c r="E992" t="str">
        <f>"2008417"</f>
        <v>2008417</v>
      </c>
      <c r="F992" t="str">
        <f>"ELECTRICAL SVCS/OLD COURTHOUSE"</f>
        <v>ELECTRICAL SVCS/OLD COURTHOUSE</v>
      </c>
      <c r="G992" s="5">
        <v>1920.6</v>
      </c>
      <c r="H992" t="str">
        <f>"ELECTRICAL SVCS/OLD COURTHOUSE"</f>
        <v>ELECTRICAL SVCS/OLD COURTHOUSE</v>
      </c>
    </row>
    <row r="993" spans="1:8" x14ac:dyDescent="0.25">
      <c r="A993" t="s">
        <v>316</v>
      </c>
      <c r="B993">
        <v>131395</v>
      </c>
      <c r="C993" s="5">
        <v>2008.84</v>
      </c>
      <c r="D993" s="1">
        <v>43913</v>
      </c>
      <c r="E993" t="str">
        <f>"202003125941"</f>
        <v>202003125941</v>
      </c>
      <c r="F993" t="str">
        <f>"ACCT#0200140783"</f>
        <v>ACCT#0200140783</v>
      </c>
      <c r="G993" s="5">
        <v>2008.84</v>
      </c>
      <c r="H993" t="str">
        <f>"ACCT#0200140783"</f>
        <v>ACCT#0200140783</v>
      </c>
    </row>
    <row r="994" spans="1:8" x14ac:dyDescent="0.25">
      <c r="E994" t="str">
        <f>""</f>
        <v/>
      </c>
      <c r="F994" t="str">
        <f>""</f>
        <v/>
      </c>
      <c r="H994" t="str">
        <f>"ACCT#0200140783"</f>
        <v>ACCT#0200140783</v>
      </c>
    </row>
    <row r="995" spans="1:8" x14ac:dyDescent="0.25">
      <c r="E995" t="str">
        <f>""</f>
        <v/>
      </c>
      <c r="F995" t="str">
        <f>""</f>
        <v/>
      </c>
      <c r="H995" t="str">
        <f>"ACCT#0200140783"</f>
        <v>ACCT#0200140783</v>
      </c>
    </row>
    <row r="996" spans="1:8" x14ac:dyDescent="0.25">
      <c r="E996" t="str">
        <f>""</f>
        <v/>
      </c>
      <c r="F996" t="str">
        <f>""</f>
        <v/>
      </c>
      <c r="H996" t="str">
        <f>"ACCT#0200140783"</f>
        <v>ACCT#0200140783</v>
      </c>
    </row>
    <row r="997" spans="1:8" x14ac:dyDescent="0.25">
      <c r="A997" t="s">
        <v>317</v>
      </c>
      <c r="B997">
        <v>2309</v>
      </c>
      <c r="C997" s="5">
        <v>1060</v>
      </c>
      <c r="D997" s="1">
        <v>43900</v>
      </c>
      <c r="E997" t="str">
        <f>"202002275520"</f>
        <v>202002275520</v>
      </c>
      <c r="F997" t="str">
        <f>"18-19130"</f>
        <v>18-19130</v>
      </c>
      <c r="G997" s="5">
        <v>310</v>
      </c>
      <c r="H997" t="str">
        <f>"18-19130"</f>
        <v>18-19130</v>
      </c>
    </row>
    <row r="998" spans="1:8" x14ac:dyDescent="0.25">
      <c r="E998" t="str">
        <f>"202002275521"</f>
        <v>202002275521</v>
      </c>
      <c r="F998" t="str">
        <f>"18-19166"</f>
        <v>18-19166</v>
      </c>
      <c r="G998" s="5">
        <v>500</v>
      </c>
      <c r="H998" t="str">
        <f>"18-19166"</f>
        <v>18-19166</v>
      </c>
    </row>
    <row r="999" spans="1:8" x14ac:dyDescent="0.25">
      <c r="E999" t="str">
        <f>"202003035681"</f>
        <v>202003035681</v>
      </c>
      <c r="F999" t="str">
        <f>"19-19638"</f>
        <v>19-19638</v>
      </c>
      <c r="G999" s="5">
        <v>250</v>
      </c>
      <c r="H999" t="str">
        <f>"19-19638"</f>
        <v>19-19638</v>
      </c>
    </row>
    <row r="1000" spans="1:8" x14ac:dyDescent="0.25">
      <c r="A1000" t="s">
        <v>317</v>
      </c>
      <c r="B1000">
        <v>2384</v>
      </c>
      <c r="C1000" s="5">
        <v>875</v>
      </c>
      <c r="D1000" s="1">
        <v>43914</v>
      </c>
      <c r="E1000" t="str">
        <f>"202003125913"</f>
        <v>202003125913</v>
      </c>
      <c r="F1000" t="str">
        <f>"56105 DCPC20005 DCPC20006"</f>
        <v>56105 DCPC20005 DCPC20006</v>
      </c>
      <c r="G1000" s="5">
        <v>875</v>
      </c>
      <c r="H1000" t="str">
        <f>"56105 DCPC20005 DCPC20006"</f>
        <v>56105 DCPC20005 DCPC20006</v>
      </c>
    </row>
    <row r="1001" spans="1:8" x14ac:dyDescent="0.25">
      <c r="A1001" t="s">
        <v>318</v>
      </c>
      <c r="B1001">
        <v>131193</v>
      </c>
      <c r="C1001" s="5">
        <v>250</v>
      </c>
      <c r="D1001" s="1">
        <v>43899</v>
      </c>
      <c r="E1001" t="str">
        <f>"202002275512"</f>
        <v>202002275512</v>
      </c>
      <c r="F1001" t="str">
        <f>"02-12023"</f>
        <v>02-12023</v>
      </c>
      <c r="G1001" s="5">
        <v>250</v>
      </c>
      <c r="H1001" t="str">
        <f>"02-12023"</f>
        <v>02-12023</v>
      </c>
    </row>
    <row r="1002" spans="1:8" x14ac:dyDescent="0.25">
      <c r="A1002" t="s">
        <v>319</v>
      </c>
      <c r="B1002">
        <v>131396</v>
      </c>
      <c r="C1002" s="5">
        <v>416</v>
      </c>
      <c r="D1002" s="1">
        <v>43913</v>
      </c>
      <c r="E1002" t="str">
        <f>"003183"</f>
        <v>003183</v>
      </c>
      <c r="F1002" t="str">
        <f>"INSPECTIONS/PCT#3"</f>
        <v>INSPECTIONS/PCT#3</v>
      </c>
      <c r="G1002" s="5">
        <v>376</v>
      </c>
      <c r="H1002" t="str">
        <f>"INSPECTIONS/PCT#3"</f>
        <v>INSPECTIONS/PCT#3</v>
      </c>
    </row>
    <row r="1003" spans="1:8" x14ac:dyDescent="0.25">
      <c r="E1003" t="str">
        <f>"003183-P4"</f>
        <v>003183-P4</v>
      </c>
      <c r="F1003" t="str">
        <f>"2007 FRHT INSPECTION/PCT#4"</f>
        <v>2007 FRHT INSPECTION/PCT#4</v>
      </c>
      <c r="G1003" s="5">
        <v>40</v>
      </c>
      <c r="H1003" t="str">
        <f>"2007 FRHT INSPECTION/PCT#4"</f>
        <v>2007 FRHT INSPECTION/PCT#4</v>
      </c>
    </row>
    <row r="1004" spans="1:8" x14ac:dyDescent="0.25">
      <c r="A1004" t="s">
        <v>320</v>
      </c>
      <c r="B1004">
        <v>2308</v>
      </c>
      <c r="C1004" s="5">
        <v>195.96</v>
      </c>
      <c r="D1004" s="1">
        <v>43900</v>
      </c>
      <c r="E1004" t="str">
        <f>"3310683235"</f>
        <v>3310683235</v>
      </c>
      <c r="F1004" t="str">
        <f>"ACCT#0010366024/TAX ASSESSOR"</f>
        <v>ACCT#0010366024/TAX ASSESSOR</v>
      </c>
      <c r="G1004" s="5">
        <v>195.96</v>
      </c>
      <c r="H1004" t="str">
        <f>"ACCT#0010366024/TAX ASSESSOR"</f>
        <v>ACCT#0010366024/TAX ASSESSOR</v>
      </c>
    </row>
    <row r="1005" spans="1:8" x14ac:dyDescent="0.25">
      <c r="A1005" t="s">
        <v>320</v>
      </c>
      <c r="B1005">
        <v>2383</v>
      </c>
      <c r="C1005" s="5">
        <v>412.29</v>
      </c>
      <c r="D1005" s="1">
        <v>43914</v>
      </c>
      <c r="E1005" t="str">
        <f>"3310734499"</f>
        <v>3310734499</v>
      </c>
      <c r="F1005" t="str">
        <f>"INV 3310734499"</f>
        <v>INV 3310734499</v>
      </c>
      <c r="G1005" s="5">
        <v>412.29</v>
      </c>
      <c r="H1005" t="str">
        <f>"INV 3310734499"</f>
        <v>INV 3310734499</v>
      </c>
    </row>
    <row r="1006" spans="1:8" x14ac:dyDescent="0.25">
      <c r="A1006" t="s">
        <v>321</v>
      </c>
      <c r="B1006">
        <v>131397</v>
      </c>
      <c r="C1006" s="5">
        <v>90</v>
      </c>
      <c r="D1006" s="1">
        <v>43913</v>
      </c>
      <c r="E1006" t="str">
        <f>"12903"</f>
        <v>12903</v>
      </c>
      <c r="F1006" t="str">
        <f>"SERVICE  12/19/19"</f>
        <v>SERVICE  12/19/19</v>
      </c>
      <c r="G1006" s="5">
        <v>90</v>
      </c>
      <c r="H1006" t="str">
        <f>"SERVICE  12/19/19"</f>
        <v>SERVICE  12/19/19</v>
      </c>
    </row>
    <row r="1007" spans="1:8" x14ac:dyDescent="0.25">
      <c r="A1007" t="s">
        <v>322</v>
      </c>
      <c r="B1007">
        <v>2368</v>
      </c>
      <c r="C1007" s="5">
        <v>645.91</v>
      </c>
      <c r="D1007" s="1">
        <v>43914</v>
      </c>
      <c r="E1007" t="str">
        <f>"202003125946"</f>
        <v>202003125946</v>
      </c>
      <c r="F1007" t="str">
        <f>"ACCT#0005/PCT#4"</f>
        <v>ACCT#0005/PCT#4</v>
      </c>
      <c r="G1007" s="5">
        <v>645.91</v>
      </c>
      <c r="H1007" t="str">
        <f>"ACCT#0005/PCT#4"</f>
        <v>ACCT#0005/PCT#4</v>
      </c>
    </row>
    <row r="1008" spans="1:8" x14ac:dyDescent="0.25">
      <c r="A1008" t="s">
        <v>323</v>
      </c>
      <c r="B1008">
        <v>131398</v>
      </c>
      <c r="C1008" s="5">
        <v>141.6</v>
      </c>
      <c r="D1008" s="1">
        <v>43913</v>
      </c>
      <c r="E1008" t="str">
        <f>"95281577"</f>
        <v>95281577</v>
      </c>
      <c r="F1008" t="str">
        <f>"CUST#71364636/PCT#3"</f>
        <v>CUST#71364636/PCT#3</v>
      </c>
      <c r="G1008" s="5">
        <v>141.6</v>
      </c>
      <c r="H1008" t="str">
        <f>"CUST#71364636/PCT#3"</f>
        <v>CUST#71364636/PCT#3</v>
      </c>
    </row>
    <row r="1009" spans="1:8" x14ac:dyDescent="0.25">
      <c r="A1009" t="s">
        <v>324</v>
      </c>
      <c r="B1009">
        <v>131399</v>
      </c>
      <c r="C1009" s="5">
        <v>292.52</v>
      </c>
      <c r="D1009" s="1">
        <v>43913</v>
      </c>
      <c r="E1009" t="str">
        <f>"1099731"</f>
        <v>1099731</v>
      </c>
      <c r="F1009" t="str">
        <f>"2-160562"</f>
        <v>2-160562</v>
      </c>
      <c r="G1009" s="5">
        <v>292.52</v>
      </c>
      <c r="H1009" t="str">
        <f>"2-160562"</f>
        <v>2-160562</v>
      </c>
    </row>
    <row r="1010" spans="1:8" x14ac:dyDescent="0.25">
      <c r="A1010" t="s">
        <v>325</v>
      </c>
      <c r="B1010">
        <v>131400</v>
      </c>
      <c r="C1010" s="5">
        <v>100</v>
      </c>
      <c r="D1010" s="1">
        <v>43913</v>
      </c>
      <c r="E1010" t="s">
        <v>326</v>
      </c>
      <c r="F1010" t="str">
        <f>"RESTITUTION - COY FERRIS"</f>
        <v>RESTITUTION - COY FERRIS</v>
      </c>
      <c r="G1010" s="5">
        <v>100</v>
      </c>
      <c r="H1010" t="str">
        <f>"RESTITUTION - COY FERRIS"</f>
        <v>RESTITUTION - COY FERRIS</v>
      </c>
    </row>
    <row r="1011" spans="1:8" x14ac:dyDescent="0.25">
      <c r="A1011" t="s">
        <v>327</v>
      </c>
      <c r="B1011">
        <v>131401</v>
      </c>
      <c r="C1011" s="5">
        <v>500</v>
      </c>
      <c r="D1011" s="1">
        <v>43913</v>
      </c>
      <c r="E1011" t="s">
        <v>328</v>
      </c>
      <c r="F1011" t="str">
        <f>"RESTITUTION - JEREMY NASH"</f>
        <v>RESTITUTION - JEREMY NASH</v>
      </c>
      <c r="G1011" s="5">
        <v>500</v>
      </c>
      <c r="H1011" t="str">
        <f>"RESTITUTION - JEREMY NASH"</f>
        <v>RESTITUTION - JEREMY NASH</v>
      </c>
    </row>
    <row r="1012" spans="1:8" x14ac:dyDescent="0.25">
      <c r="A1012" t="s">
        <v>329</v>
      </c>
      <c r="B1012">
        <v>131402</v>
      </c>
      <c r="C1012" s="5">
        <v>175.22</v>
      </c>
      <c r="D1012" s="1">
        <v>43913</v>
      </c>
      <c r="E1012" t="str">
        <f>"202003176008"</f>
        <v>202003176008</v>
      </c>
      <c r="F1012" t="str">
        <f>"JAIL MEDICAL"</f>
        <v>JAIL MEDICAL</v>
      </c>
      <c r="G1012" s="5">
        <v>175.22</v>
      </c>
      <c r="H1012" t="str">
        <f>"JAIL MEDICAL"</f>
        <v>JAIL MEDICAL</v>
      </c>
    </row>
    <row r="1013" spans="1:8" x14ac:dyDescent="0.25">
      <c r="A1013" t="s">
        <v>330</v>
      </c>
      <c r="B1013">
        <v>2288</v>
      </c>
      <c r="C1013" s="5">
        <v>7055.75</v>
      </c>
      <c r="D1013" s="1">
        <v>43900</v>
      </c>
      <c r="E1013" t="str">
        <f>"202003035653"</f>
        <v>202003035653</v>
      </c>
      <c r="F1013" t="str">
        <f>"R &amp; D BISHOP INC"</f>
        <v>R &amp; D BISHOP INC</v>
      </c>
      <c r="G1013" s="5">
        <v>7055.75</v>
      </c>
      <c r="H1013" t="str">
        <f>"Truck Accessories"</f>
        <v>Truck Accessories</v>
      </c>
    </row>
    <row r="1014" spans="1:8" x14ac:dyDescent="0.25">
      <c r="A1014" t="s">
        <v>331</v>
      </c>
      <c r="B1014">
        <v>131403</v>
      </c>
      <c r="C1014" s="5">
        <v>0.5</v>
      </c>
      <c r="D1014" s="1">
        <v>43913</v>
      </c>
      <c r="E1014" t="str">
        <f>"16804"</f>
        <v>16804</v>
      </c>
      <c r="F1014" t="str">
        <f>"OVERPAYMENT"</f>
        <v>OVERPAYMENT</v>
      </c>
      <c r="G1014" s="5">
        <v>0.5</v>
      </c>
      <c r="H1014" t="str">
        <f>"OVERPAYMENT"</f>
        <v>OVERPAYMENT</v>
      </c>
    </row>
    <row r="1015" spans="1:8" x14ac:dyDescent="0.25">
      <c r="A1015" t="s">
        <v>332</v>
      </c>
      <c r="B1015">
        <v>131290</v>
      </c>
      <c r="C1015" s="5">
        <v>350</v>
      </c>
      <c r="D1015" s="1">
        <v>43900</v>
      </c>
      <c r="E1015" t="str">
        <f>"202003105870"</f>
        <v>202003105870</v>
      </c>
      <c r="F1015" t="str">
        <f>"WINDSHIELD REIMBURSEMENT / P3"</f>
        <v>WINDSHIELD REIMBURSEMENT / P3</v>
      </c>
      <c r="G1015" s="5">
        <v>350</v>
      </c>
      <c r="H1015" t="str">
        <f>"WINDSHIELD REIMBURSEMENT / P3"</f>
        <v>WINDSHIELD REIMBURSEMENT / P3</v>
      </c>
    </row>
    <row r="1016" spans="1:8" x14ac:dyDescent="0.25">
      <c r="A1016" t="s">
        <v>333</v>
      </c>
      <c r="B1016">
        <v>131404</v>
      </c>
      <c r="C1016" s="5">
        <v>67</v>
      </c>
      <c r="D1016" s="1">
        <v>43913</v>
      </c>
      <c r="E1016" t="str">
        <f>"133268"</f>
        <v>133268</v>
      </c>
      <c r="F1016" t="str">
        <f>"CHAINS/SWITCH/PCT#1"</f>
        <v>CHAINS/SWITCH/PCT#1</v>
      </c>
      <c r="G1016" s="5">
        <v>67</v>
      </c>
      <c r="H1016" t="str">
        <f>"CHAINS/SWITCH/PCT#1"</f>
        <v>CHAINS/SWITCH/PCT#1</v>
      </c>
    </row>
    <row r="1017" spans="1:8" x14ac:dyDescent="0.25">
      <c r="A1017" t="s">
        <v>334</v>
      </c>
      <c r="B1017">
        <v>131194</v>
      </c>
      <c r="C1017" s="5">
        <v>77</v>
      </c>
      <c r="D1017" s="1">
        <v>43899</v>
      </c>
      <c r="E1017" t="str">
        <f>"202003045710"</f>
        <v>202003045710</v>
      </c>
      <c r="F1017" t="str">
        <f>"INV-005508"</f>
        <v>INV-005508</v>
      </c>
      <c r="G1017" s="5">
        <v>77</v>
      </c>
      <c r="H1017" t="str">
        <f>"INV-005508"</f>
        <v>INV-005508</v>
      </c>
    </row>
    <row r="1018" spans="1:8" x14ac:dyDescent="0.25">
      <c r="A1018" t="s">
        <v>335</v>
      </c>
      <c r="B1018">
        <v>2338</v>
      </c>
      <c r="C1018" s="5">
        <v>218.76</v>
      </c>
      <c r="D1018" s="1">
        <v>43914</v>
      </c>
      <c r="E1018" t="str">
        <f>"10C0121569859"</f>
        <v>10C0121569859</v>
      </c>
      <c r="F1018" t="str">
        <f>"ACCT#0121569859/JP4"</f>
        <v>ACCT#0121569859/JP4</v>
      </c>
      <c r="G1018" s="5">
        <v>90.89</v>
      </c>
      <c r="H1018" t="str">
        <f>"ACCT#0121569859/JP4"</f>
        <v>ACCT#0121569859/JP4</v>
      </c>
    </row>
    <row r="1019" spans="1:8" x14ac:dyDescent="0.25">
      <c r="E1019" t="str">
        <f>"10C0121587851"</f>
        <v>10C0121587851</v>
      </c>
      <c r="F1019" t="str">
        <f>"ACCT#0121587851/PCT#4"</f>
        <v>ACCT#0121587851/PCT#4</v>
      </c>
      <c r="G1019" s="5">
        <v>127.87</v>
      </c>
      <c r="H1019" t="str">
        <f>"ACCT#0121587851/PCT#4"</f>
        <v>ACCT#0121587851/PCT#4</v>
      </c>
    </row>
    <row r="1020" spans="1:8" x14ac:dyDescent="0.25">
      <c r="A1020" t="s">
        <v>336</v>
      </c>
      <c r="B1020">
        <v>131405</v>
      </c>
      <c r="C1020" s="5">
        <v>1018.52</v>
      </c>
      <c r="D1020" s="1">
        <v>43913</v>
      </c>
      <c r="E1020" t="str">
        <f>"20200310019610"</f>
        <v>20200310019610</v>
      </c>
      <c r="F1020" t="str">
        <f>"ACCT#19610"</f>
        <v>ACCT#19610</v>
      </c>
      <c r="G1020" s="5">
        <v>777.94</v>
      </c>
      <c r="H1020" t="str">
        <f>"ACCT#19610"</f>
        <v>ACCT#19610</v>
      </c>
    </row>
    <row r="1021" spans="1:8" x14ac:dyDescent="0.25">
      <c r="E1021" t="str">
        <f>"202003125950"</f>
        <v>202003125950</v>
      </c>
      <c r="F1021" t="str">
        <f>"ACCT#19610/PCT#4"</f>
        <v>ACCT#19610/PCT#4</v>
      </c>
      <c r="G1021" s="5">
        <v>240.58</v>
      </c>
      <c r="H1021" t="str">
        <f>"ACCT#19610/PCT#4"</f>
        <v>ACCT#19610/PCT#4</v>
      </c>
    </row>
    <row r="1022" spans="1:8" x14ac:dyDescent="0.25">
      <c r="A1022" t="s">
        <v>337</v>
      </c>
      <c r="B1022">
        <v>131406</v>
      </c>
      <c r="C1022" s="5">
        <v>2400</v>
      </c>
      <c r="D1022" s="1">
        <v>43913</v>
      </c>
      <c r="E1022" t="str">
        <f>"7534"</f>
        <v>7534</v>
      </c>
      <c r="F1022" t="str">
        <f>"TIRE DISPOSAL"</f>
        <v>TIRE DISPOSAL</v>
      </c>
      <c r="G1022" s="5">
        <v>2400</v>
      </c>
      <c r="H1022" t="str">
        <f>"TIRE DISPOSAL"</f>
        <v>TIRE DISPOSAL</v>
      </c>
    </row>
    <row r="1023" spans="1:8" x14ac:dyDescent="0.25">
      <c r="A1023" t="s">
        <v>338</v>
      </c>
      <c r="B1023">
        <v>131080</v>
      </c>
      <c r="C1023" s="5">
        <v>1534.31</v>
      </c>
      <c r="D1023" s="1">
        <v>43895</v>
      </c>
      <c r="E1023" t="str">
        <f>"111 028 063 247 8"</f>
        <v>111 028 063 247 8</v>
      </c>
      <c r="F1023" t="str">
        <f>"ACCT#15 069 451-1/03022020"</f>
        <v>ACCT#15 069 451-1/03022020</v>
      </c>
      <c r="G1023" s="5">
        <v>339.14</v>
      </c>
      <c r="H1023" t="str">
        <f>"ACCT#15 069 451-1/03022020"</f>
        <v>ACCT#15 069 451-1/03022020</v>
      </c>
    </row>
    <row r="1024" spans="1:8" x14ac:dyDescent="0.25">
      <c r="E1024" t="str">
        <f>"111 028 076 924 7"</f>
        <v>111 028 076 924 7</v>
      </c>
      <c r="F1024" t="str">
        <f>"ACCT#15 072 199-1/03022020"</f>
        <v>ACCT#15 072 199-1/03022020</v>
      </c>
      <c r="G1024" s="5">
        <v>134.63</v>
      </c>
      <c r="H1024" t="str">
        <f>"ACCT#15 072 199-1/03022020"</f>
        <v>ACCT#15 072 199-1/03022020</v>
      </c>
    </row>
    <row r="1025" spans="1:8" x14ac:dyDescent="0.25">
      <c r="E1025" t="str">
        <f>"111 028 076 925 4"</f>
        <v>111 028 076 925 4</v>
      </c>
      <c r="F1025" t="str">
        <f>"ACCT#15 072 200-7/03022020"</f>
        <v>ACCT#15 072 200-7/03022020</v>
      </c>
      <c r="G1025" s="5">
        <v>315.05</v>
      </c>
      <c r="H1025" t="str">
        <f>"ACCT#15 072 200-7/03022020"</f>
        <v>ACCT#15 072 200-7/03022020</v>
      </c>
    </row>
    <row r="1026" spans="1:8" x14ac:dyDescent="0.25">
      <c r="E1026" t="str">
        <f>"111 028 076 926 2"</f>
        <v>111 028 076 926 2</v>
      </c>
      <c r="F1026" t="str">
        <f>"ACCT#15 072 201-5/03022020"</f>
        <v>ACCT#15 072 201-5/03022020</v>
      </c>
      <c r="G1026" s="5">
        <v>439.45</v>
      </c>
      <c r="H1026" t="str">
        <f>"ACCT#15 072 201-5/03022020"</f>
        <v>ACCT#15 072 201-5/03022020</v>
      </c>
    </row>
    <row r="1027" spans="1:8" x14ac:dyDescent="0.25">
      <c r="E1027" t="str">
        <f>"111 028 076 927 0"</f>
        <v>111 028 076 927 0</v>
      </c>
      <c r="F1027" t="str">
        <f>"ACCT#15 072 202-3/03022020"</f>
        <v>ACCT#15 072 202-3/03022020</v>
      </c>
      <c r="G1027" s="5">
        <v>28.79</v>
      </c>
      <c r="H1027" t="str">
        <f>"ACCT#15 072 202-3/03022020"</f>
        <v>ACCT#15 072 202-3/03022020</v>
      </c>
    </row>
    <row r="1028" spans="1:8" x14ac:dyDescent="0.25">
      <c r="E1028" t="str">
        <f>"111 028 076 928 8"</f>
        <v>111 028 076 928 8</v>
      </c>
      <c r="F1028" t="str">
        <f>"ACCT#15 072 203-1/03022020"</f>
        <v>ACCT#15 072 203-1/03022020</v>
      </c>
      <c r="G1028" s="5">
        <v>14.29</v>
      </c>
      <c r="H1028" t="str">
        <f>"ACCT#15 072 203-1/03022020"</f>
        <v>ACCT#15 072 203-1/03022020</v>
      </c>
    </row>
    <row r="1029" spans="1:8" x14ac:dyDescent="0.25">
      <c r="E1029" t="str">
        <f>"111 028 076 929 6"</f>
        <v>111 028 076 929 6</v>
      </c>
      <c r="F1029" t="str">
        <f>"ACCT#15 072 204-9/03022020"</f>
        <v>ACCT#15 072 204-9/03022020</v>
      </c>
      <c r="G1029" s="5">
        <v>223.63</v>
      </c>
      <c r="H1029" t="str">
        <f>"ACCT#15 072 204-9/03022020"</f>
        <v>ACCT#15 072 204-9/03022020</v>
      </c>
    </row>
    <row r="1030" spans="1:8" x14ac:dyDescent="0.25">
      <c r="E1030" t="str">
        <f>"111 028 079 260 3"</f>
        <v>111 028 079 260 3</v>
      </c>
      <c r="F1030" t="str">
        <f>"ACCT#15 070 712-3/03022020"</f>
        <v>ACCT#15 070 712-3/03022020</v>
      </c>
      <c r="G1030" s="5">
        <v>17.91</v>
      </c>
      <c r="H1030" t="str">
        <f>"ACCT#15 070 712-3/03022020"</f>
        <v>ACCT#15 070 712-3/03022020</v>
      </c>
    </row>
    <row r="1031" spans="1:8" x14ac:dyDescent="0.25">
      <c r="E1031" t="str">
        <f>"111 028 079 261 1"</f>
        <v>111 028 079 261 1</v>
      </c>
      <c r="F1031" t="str">
        <f>"ACCT#15 070 713-1/03022020"</f>
        <v>ACCT#15 070 713-1/03022020</v>
      </c>
      <c r="G1031" s="5">
        <v>21.42</v>
      </c>
      <c r="H1031" t="str">
        <f>"ACCT#15 070 713-1/03022020"</f>
        <v>ACCT#15 070 713-1/03022020</v>
      </c>
    </row>
    <row r="1032" spans="1:8" x14ac:dyDescent="0.25">
      <c r="A1032" t="s">
        <v>339</v>
      </c>
      <c r="B1032">
        <v>2281</v>
      </c>
      <c r="C1032" s="5">
        <v>557.65</v>
      </c>
      <c r="D1032" s="1">
        <v>43900</v>
      </c>
      <c r="E1032" t="str">
        <f>"14262"</f>
        <v>14262</v>
      </c>
      <c r="F1032" t="str">
        <f>"SVC ORD#15167/PCT#4"</f>
        <v>SVC ORD#15167/PCT#4</v>
      </c>
      <c r="G1032" s="5">
        <v>80</v>
      </c>
      <c r="H1032" t="str">
        <f>"SVC ORD#15167/PCT#4"</f>
        <v>SVC ORD#15167/PCT#4</v>
      </c>
    </row>
    <row r="1033" spans="1:8" x14ac:dyDescent="0.25">
      <c r="E1033" t="str">
        <f>"14324"</f>
        <v>14324</v>
      </c>
      <c r="F1033" t="str">
        <f>"SVC ORD#15205/PCT#4"</f>
        <v>SVC ORD#15205/PCT#4</v>
      </c>
      <c r="G1033" s="5">
        <v>477.65</v>
      </c>
      <c r="H1033" t="str">
        <f>"SVC ORD#15205/PCT#4"</f>
        <v>SVC ORD#15205/PCT#4</v>
      </c>
    </row>
    <row r="1034" spans="1:8" x14ac:dyDescent="0.25">
      <c r="A1034" t="s">
        <v>340</v>
      </c>
      <c r="B1034">
        <v>131407</v>
      </c>
      <c r="C1034" s="5">
        <v>9000</v>
      </c>
      <c r="D1034" s="1">
        <v>43913</v>
      </c>
      <c r="E1034" t="str">
        <f>"202003196059"</f>
        <v>202003196059</v>
      </c>
      <c r="F1034" t="str">
        <f>"ACCT#34549337 / POSTAGE"</f>
        <v>ACCT#34549337 / POSTAGE</v>
      </c>
      <c r="G1034" s="5">
        <v>9000</v>
      </c>
      <c r="H1034" t="str">
        <f>"ACCT#34549337 / POSTAGE"</f>
        <v>ACCT#34549337 / POSTAGE</v>
      </c>
    </row>
    <row r="1035" spans="1:8" x14ac:dyDescent="0.25">
      <c r="A1035" t="s">
        <v>341</v>
      </c>
      <c r="B1035">
        <v>2313</v>
      </c>
      <c r="C1035" s="5">
        <v>250</v>
      </c>
      <c r="D1035" s="1">
        <v>43900</v>
      </c>
      <c r="E1035" t="str">
        <f>"202002275536"</f>
        <v>202002275536</v>
      </c>
      <c r="F1035" t="str">
        <f>"301042020D"</f>
        <v>301042020D</v>
      </c>
      <c r="G1035" s="5">
        <v>250</v>
      </c>
      <c r="H1035" t="str">
        <f>"301042020D"</f>
        <v>301042020D</v>
      </c>
    </row>
    <row r="1036" spans="1:8" x14ac:dyDescent="0.25">
      <c r="A1036" t="s">
        <v>341</v>
      </c>
      <c r="B1036">
        <v>2387</v>
      </c>
      <c r="C1036" s="5">
        <v>630</v>
      </c>
      <c r="D1036" s="1">
        <v>43914</v>
      </c>
      <c r="E1036" t="str">
        <f>"202003176039"</f>
        <v>202003176039</v>
      </c>
      <c r="F1036" t="str">
        <f>"16-17978"</f>
        <v>16-17978</v>
      </c>
      <c r="G1036" s="5">
        <v>630</v>
      </c>
      <c r="H1036" t="str">
        <f>"16-17978"</f>
        <v>16-17978</v>
      </c>
    </row>
    <row r="1037" spans="1:8" x14ac:dyDescent="0.25">
      <c r="A1037" t="s">
        <v>342</v>
      </c>
      <c r="B1037">
        <v>131195</v>
      </c>
      <c r="C1037" s="5">
        <v>1250</v>
      </c>
      <c r="D1037" s="1">
        <v>43899</v>
      </c>
      <c r="E1037" t="str">
        <f>"202003025572"</f>
        <v>202003025572</v>
      </c>
      <c r="F1037" t="str">
        <f>"17 075"</f>
        <v>17 075</v>
      </c>
      <c r="G1037" s="5">
        <v>750</v>
      </c>
      <c r="H1037" t="str">
        <f>"17 075"</f>
        <v>17 075</v>
      </c>
    </row>
    <row r="1038" spans="1:8" x14ac:dyDescent="0.25">
      <c r="E1038" t="str">
        <f>"202003025573"</f>
        <v>202003025573</v>
      </c>
      <c r="F1038" t="str">
        <f>"16 905"</f>
        <v>16 905</v>
      </c>
      <c r="G1038" s="5">
        <v>500</v>
      </c>
      <c r="H1038" t="str">
        <f>"16 905"</f>
        <v>16 905</v>
      </c>
    </row>
    <row r="1039" spans="1:8" x14ac:dyDescent="0.25">
      <c r="A1039" t="s">
        <v>343</v>
      </c>
      <c r="B1039">
        <v>131196</v>
      </c>
      <c r="C1039" s="5">
        <v>9192.09</v>
      </c>
      <c r="D1039" s="1">
        <v>43899</v>
      </c>
      <c r="E1039" t="str">
        <f>"2000172616"</f>
        <v>2000172616</v>
      </c>
      <c r="F1039" t="str">
        <f>"CUST#2000172616"</f>
        <v>CUST#2000172616</v>
      </c>
      <c r="G1039" s="5">
        <v>89.58</v>
      </c>
      <c r="H1039" t="str">
        <f t="shared" ref="H1039:H1070" si="17">"CUST#2000172616"</f>
        <v>CUST#2000172616</v>
      </c>
    </row>
    <row r="1040" spans="1:8" x14ac:dyDescent="0.25">
      <c r="E1040" t="str">
        <f>"34815499"</f>
        <v>34815499</v>
      </c>
      <c r="F1040" t="str">
        <f>"CUST#2000172616"</f>
        <v>CUST#2000172616</v>
      </c>
      <c r="G1040" s="5">
        <v>9102.51</v>
      </c>
      <c r="H1040" t="str">
        <f t="shared" si="17"/>
        <v>CUST#2000172616</v>
      </c>
    </row>
    <row r="1041" spans="5:8" x14ac:dyDescent="0.25">
      <c r="E1041" t="str">
        <f>""</f>
        <v/>
      </c>
      <c r="F1041" t="str">
        <f>""</f>
        <v/>
      </c>
      <c r="H1041" t="str">
        <f t="shared" si="17"/>
        <v>CUST#2000172616</v>
      </c>
    </row>
    <row r="1042" spans="5:8" x14ac:dyDescent="0.25">
      <c r="E1042" t="str">
        <f>""</f>
        <v/>
      </c>
      <c r="F1042" t="str">
        <f>""</f>
        <v/>
      </c>
      <c r="H1042" t="str">
        <f t="shared" si="17"/>
        <v>CUST#2000172616</v>
      </c>
    </row>
    <row r="1043" spans="5:8" x14ac:dyDescent="0.25">
      <c r="E1043" t="str">
        <f>""</f>
        <v/>
      </c>
      <c r="F1043" t="str">
        <f>""</f>
        <v/>
      </c>
      <c r="H1043" t="str">
        <f t="shared" si="17"/>
        <v>CUST#2000172616</v>
      </c>
    </row>
    <row r="1044" spans="5:8" x14ac:dyDescent="0.25">
      <c r="E1044" t="str">
        <f>""</f>
        <v/>
      </c>
      <c r="F1044" t="str">
        <f>""</f>
        <v/>
      </c>
      <c r="H1044" t="str">
        <f t="shared" si="17"/>
        <v>CUST#2000172616</v>
      </c>
    </row>
    <row r="1045" spans="5:8" x14ac:dyDescent="0.25">
      <c r="E1045" t="str">
        <f>""</f>
        <v/>
      </c>
      <c r="F1045" t="str">
        <f>""</f>
        <v/>
      </c>
      <c r="H1045" t="str">
        <f t="shared" si="17"/>
        <v>CUST#2000172616</v>
      </c>
    </row>
    <row r="1046" spans="5:8" x14ac:dyDescent="0.25">
      <c r="E1046" t="str">
        <f>""</f>
        <v/>
      </c>
      <c r="F1046" t="str">
        <f>""</f>
        <v/>
      </c>
      <c r="H1046" t="str">
        <f t="shared" si="17"/>
        <v>CUST#2000172616</v>
      </c>
    </row>
    <row r="1047" spans="5:8" x14ac:dyDescent="0.25">
      <c r="E1047" t="str">
        <f>""</f>
        <v/>
      </c>
      <c r="F1047" t="str">
        <f>""</f>
        <v/>
      </c>
      <c r="H1047" t="str">
        <f t="shared" si="17"/>
        <v>CUST#2000172616</v>
      </c>
    </row>
    <row r="1048" spans="5:8" x14ac:dyDescent="0.25">
      <c r="E1048" t="str">
        <f>""</f>
        <v/>
      </c>
      <c r="F1048" t="str">
        <f>""</f>
        <v/>
      </c>
      <c r="H1048" t="str">
        <f t="shared" si="17"/>
        <v>CUST#2000172616</v>
      </c>
    </row>
    <row r="1049" spans="5:8" x14ac:dyDescent="0.25">
      <c r="E1049" t="str">
        <f>""</f>
        <v/>
      </c>
      <c r="F1049" t="str">
        <f>""</f>
        <v/>
      </c>
      <c r="H1049" t="str">
        <f t="shared" si="17"/>
        <v>CUST#2000172616</v>
      </c>
    </row>
    <row r="1050" spans="5:8" x14ac:dyDescent="0.25">
      <c r="E1050" t="str">
        <f>""</f>
        <v/>
      </c>
      <c r="F1050" t="str">
        <f>""</f>
        <v/>
      </c>
      <c r="H1050" t="str">
        <f t="shared" si="17"/>
        <v>CUST#2000172616</v>
      </c>
    </row>
    <row r="1051" spans="5:8" x14ac:dyDescent="0.25">
      <c r="E1051" t="str">
        <f>""</f>
        <v/>
      </c>
      <c r="F1051" t="str">
        <f>""</f>
        <v/>
      </c>
      <c r="H1051" t="str">
        <f t="shared" si="17"/>
        <v>CUST#2000172616</v>
      </c>
    </row>
    <row r="1052" spans="5:8" x14ac:dyDescent="0.25">
      <c r="E1052" t="str">
        <f>""</f>
        <v/>
      </c>
      <c r="F1052" t="str">
        <f>""</f>
        <v/>
      </c>
      <c r="H1052" t="str">
        <f t="shared" si="17"/>
        <v>CUST#2000172616</v>
      </c>
    </row>
    <row r="1053" spans="5:8" x14ac:dyDescent="0.25">
      <c r="E1053" t="str">
        <f>""</f>
        <v/>
      </c>
      <c r="F1053" t="str">
        <f>""</f>
        <v/>
      </c>
      <c r="H1053" t="str">
        <f t="shared" si="17"/>
        <v>CUST#2000172616</v>
      </c>
    </row>
    <row r="1054" spans="5:8" x14ac:dyDescent="0.25">
      <c r="E1054" t="str">
        <f>""</f>
        <v/>
      </c>
      <c r="F1054" t="str">
        <f>""</f>
        <v/>
      </c>
      <c r="H1054" t="str">
        <f t="shared" si="17"/>
        <v>CUST#2000172616</v>
      </c>
    </row>
    <row r="1055" spans="5:8" x14ac:dyDescent="0.25">
      <c r="E1055" t="str">
        <f>""</f>
        <v/>
      </c>
      <c r="F1055" t="str">
        <f>""</f>
        <v/>
      </c>
      <c r="H1055" t="str">
        <f t="shared" si="17"/>
        <v>CUST#2000172616</v>
      </c>
    </row>
    <row r="1056" spans="5:8" x14ac:dyDescent="0.25">
      <c r="E1056" t="str">
        <f>""</f>
        <v/>
      </c>
      <c r="F1056" t="str">
        <f>""</f>
        <v/>
      </c>
      <c r="H1056" t="str">
        <f t="shared" si="17"/>
        <v>CUST#2000172616</v>
      </c>
    </row>
    <row r="1057" spans="1:8" x14ac:dyDescent="0.25">
      <c r="E1057" t="str">
        <f>""</f>
        <v/>
      </c>
      <c r="F1057" t="str">
        <f>""</f>
        <v/>
      </c>
      <c r="H1057" t="str">
        <f t="shared" si="17"/>
        <v>CUST#2000172616</v>
      </c>
    </row>
    <row r="1058" spans="1:8" x14ac:dyDescent="0.25">
      <c r="E1058" t="str">
        <f>""</f>
        <v/>
      </c>
      <c r="F1058" t="str">
        <f>""</f>
        <v/>
      </c>
      <c r="H1058" t="str">
        <f t="shared" si="17"/>
        <v>CUST#2000172616</v>
      </c>
    </row>
    <row r="1059" spans="1:8" x14ac:dyDescent="0.25">
      <c r="E1059" t="str">
        <f>""</f>
        <v/>
      </c>
      <c r="F1059" t="str">
        <f>""</f>
        <v/>
      </c>
      <c r="H1059" t="str">
        <f t="shared" si="17"/>
        <v>CUST#2000172616</v>
      </c>
    </row>
    <row r="1060" spans="1:8" x14ac:dyDescent="0.25">
      <c r="E1060" t="str">
        <f>""</f>
        <v/>
      </c>
      <c r="F1060" t="str">
        <f>""</f>
        <v/>
      </c>
      <c r="H1060" t="str">
        <f t="shared" si="17"/>
        <v>CUST#2000172616</v>
      </c>
    </row>
    <row r="1061" spans="1:8" x14ac:dyDescent="0.25">
      <c r="E1061" t="str">
        <f>""</f>
        <v/>
      </c>
      <c r="F1061" t="str">
        <f>""</f>
        <v/>
      </c>
      <c r="H1061" t="str">
        <f t="shared" si="17"/>
        <v>CUST#2000172616</v>
      </c>
    </row>
    <row r="1062" spans="1:8" x14ac:dyDescent="0.25">
      <c r="E1062" t="str">
        <f>""</f>
        <v/>
      </c>
      <c r="F1062" t="str">
        <f>""</f>
        <v/>
      </c>
      <c r="H1062" t="str">
        <f t="shared" si="17"/>
        <v>CUST#2000172616</v>
      </c>
    </row>
    <row r="1063" spans="1:8" x14ac:dyDescent="0.25">
      <c r="E1063" t="str">
        <f>""</f>
        <v/>
      </c>
      <c r="F1063" t="str">
        <f>""</f>
        <v/>
      </c>
      <c r="H1063" t="str">
        <f t="shared" si="17"/>
        <v>CUST#2000172616</v>
      </c>
    </row>
    <row r="1064" spans="1:8" x14ac:dyDescent="0.25">
      <c r="E1064" t="str">
        <f>""</f>
        <v/>
      </c>
      <c r="F1064" t="str">
        <f>""</f>
        <v/>
      </c>
      <c r="H1064" t="str">
        <f t="shared" si="17"/>
        <v>CUST#2000172616</v>
      </c>
    </row>
    <row r="1065" spans="1:8" x14ac:dyDescent="0.25">
      <c r="E1065" t="str">
        <f>""</f>
        <v/>
      </c>
      <c r="F1065" t="str">
        <f>""</f>
        <v/>
      </c>
      <c r="H1065" t="str">
        <f t="shared" si="17"/>
        <v>CUST#2000172616</v>
      </c>
    </row>
    <row r="1066" spans="1:8" x14ac:dyDescent="0.25">
      <c r="E1066" t="str">
        <f>""</f>
        <v/>
      </c>
      <c r="F1066" t="str">
        <f>""</f>
        <v/>
      </c>
      <c r="H1066" t="str">
        <f t="shared" si="17"/>
        <v>CUST#2000172616</v>
      </c>
    </row>
    <row r="1067" spans="1:8" x14ac:dyDescent="0.25">
      <c r="E1067" t="str">
        <f>""</f>
        <v/>
      </c>
      <c r="F1067" t="str">
        <f>""</f>
        <v/>
      </c>
      <c r="H1067" t="str">
        <f t="shared" si="17"/>
        <v>CUST#2000172616</v>
      </c>
    </row>
    <row r="1068" spans="1:8" x14ac:dyDescent="0.25">
      <c r="E1068" t="str">
        <f>""</f>
        <v/>
      </c>
      <c r="F1068" t="str">
        <f>""</f>
        <v/>
      </c>
      <c r="H1068" t="str">
        <f t="shared" si="17"/>
        <v>CUST#2000172616</v>
      </c>
    </row>
    <row r="1069" spans="1:8" x14ac:dyDescent="0.25">
      <c r="E1069" t="str">
        <f>""</f>
        <v/>
      </c>
      <c r="F1069" t="str">
        <f>""</f>
        <v/>
      </c>
      <c r="H1069" t="str">
        <f t="shared" si="17"/>
        <v>CUST#2000172616</v>
      </c>
    </row>
    <row r="1070" spans="1:8" x14ac:dyDescent="0.25">
      <c r="E1070" t="str">
        <f>""</f>
        <v/>
      </c>
      <c r="F1070" t="str">
        <f>""</f>
        <v/>
      </c>
      <c r="H1070" t="str">
        <f t="shared" si="17"/>
        <v>CUST#2000172616</v>
      </c>
    </row>
    <row r="1071" spans="1:8" x14ac:dyDescent="0.25">
      <c r="A1071" t="s">
        <v>343</v>
      </c>
      <c r="B1071">
        <v>131408</v>
      </c>
      <c r="C1071" s="5">
        <v>9281.67</v>
      </c>
      <c r="D1071" s="1">
        <v>43913</v>
      </c>
      <c r="E1071" t="str">
        <f>"35014267"</f>
        <v>35014267</v>
      </c>
      <c r="F1071" t="str">
        <f>"CUST#2000172616"</f>
        <v>CUST#2000172616</v>
      </c>
      <c r="G1071" s="5">
        <v>9281.67</v>
      </c>
      <c r="H1071" t="str">
        <f t="shared" ref="H1071:H1101" si="18">"CUST#2000172616"</f>
        <v>CUST#2000172616</v>
      </c>
    </row>
    <row r="1072" spans="1:8" x14ac:dyDescent="0.25">
      <c r="E1072" t="str">
        <f>""</f>
        <v/>
      </c>
      <c r="F1072" t="str">
        <f>""</f>
        <v/>
      </c>
      <c r="H1072" t="str">
        <f t="shared" si="18"/>
        <v>CUST#2000172616</v>
      </c>
    </row>
    <row r="1073" spans="5:8" x14ac:dyDescent="0.25">
      <c r="E1073" t="str">
        <f>""</f>
        <v/>
      </c>
      <c r="F1073" t="str">
        <f>""</f>
        <v/>
      </c>
      <c r="H1073" t="str">
        <f t="shared" si="18"/>
        <v>CUST#2000172616</v>
      </c>
    </row>
    <row r="1074" spans="5:8" x14ac:dyDescent="0.25">
      <c r="E1074" t="str">
        <f>""</f>
        <v/>
      </c>
      <c r="F1074" t="str">
        <f>""</f>
        <v/>
      </c>
      <c r="H1074" t="str">
        <f t="shared" si="18"/>
        <v>CUST#2000172616</v>
      </c>
    </row>
    <row r="1075" spans="5:8" x14ac:dyDescent="0.25">
      <c r="E1075" t="str">
        <f>""</f>
        <v/>
      </c>
      <c r="F1075" t="str">
        <f>""</f>
        <v/>
      </c>
      <c r="H1075" t="str">
        <f t="shared" si="18"/>
        <v>CUST#2000172616</v>
      </c>
    </row>
    <row r="1076" spans="5:8" x14ac:dyDescent="0.25">
      <c r="E1076" t="str">
        <f>""</f>
        <v/>
      </c>
      <c r="F1076" t="str">
        <f>""</f>
        <v/>
      </c>
      <c r="H1076" t="str">
        <f t="shared" si="18"/>
        <v>CUST#2000172616</v>
      </c>
    </row>
    <row r="1077" spans="5:8" x14ac:dyDescent="0.25">
      <c r="E1077" t="str">
        <f>""</f>
        <v/>
      </c>
      <c r="F1077" t="str">
        <f>""</f>
        <v/>
      </c>
      <c r="H1077" t="str">
        <f t="shared" si="18"/>
        <v>CUST#2000172616</v>
      </c>
    </row>
    <row r="1078" spans="5:8" x14ac:dyDescent="0.25">
      <c r="E1078" t="str">
        <f>""</f>
        <v/>
      </c>
      <c r="F1078" t="str">
        <f>""</f>
        <v/>
      </c>
      <c r="H1078" t="str">
        <f t="shared" si="18"/>
        <v>CUST#2000172616</v>
      </c>
    </row>
    <row r="1079" spans="5:8" x14ac:dyDescent="0.25">
      <c r="E1079" t="str">
        <f>""</f>
        <v/>
      </c>
      <c r="F1079" t="str">
        <f>""</f>
        <v/>
      </c>
      <c r="H1079" t="str">
        <f t="shared" si="18"/>
        <v>CUST#2000172616</v>
      </c>
    </row>
    <row r="1080" spans="5:8" x14ac:dyDescent="0.25">
      <c r="E1080" t="str">
        <f>""</f>
        <v/>
      </c>
      <c r="F1080" t="str">
        <f>""</f>
        <v/>
      </c>
      <c r="H1080" t="str">
        <f t="shared" si="18"/>
        <v>CUST#2000172616</v>
      </c>
    </row>
    <row r="1081" spans="5:8" x14ac:dyDescent="0.25">
      <c r="E1081" t="str">
        <f>""</f>
        <v/>
      </c>
      <c r="F1081" t="str">
        <f>""</f>
        <v/>
      </c>
      <c r="H1081" t="str">
        <f t="shared" si="18"/>
        <v>CUST#2000172616</v>
      </c>
    </row>
    <row r="1082" spans="5:8" x14ac:dyDescent="0.25">
      <c r="E1082" t="str">
        <f>""</f>
        <v/>
      </c>
      <c r="F1082" t="str">
        <f>""</f>
        <v/>
      </c>
      <c r="H1082" t="str">
        <f t="shared" si="18"/>
        <v>CUST#2000172616</v>
      </c>
    </row>
    <row r="1083" spans="5:8" x14ac:dyDescent="0.25">
      <c r="E1083" t="str">
        <f>""</f>
        <v/>
      </c>
      <c r="F1083" t="str">
        <f>""</f>
        <v/>
      </c>
      <c r="H1083" t="str">
        <f t="shared" si="18"/>
        <v>CUST#2000172616</v>
      </c>
    </row>
    <row r="1084" spans="5:8" x14ac:dyDescent="0.25">
      <c r="E1084" t="str">
        <f>""</f>
        <v/>
      </c>
      <c r="F1084" t="str">
        <f>""</f>
        <v/>
      </c>
      <c r="H1084" t="str">
        <f t="shared" si="18"/>
        <v>CUST#2000172616</v>
      </c>
    </row>
    <row r="1085" spans="5:8" x14ac:dyDescent="0.25">
      <c r="E1085" t="str">
        <f>""</f>
        <v/>
      </c>
      <c r="F1085" t="str">
        <f>""</f>
        <v/>
      </c>
      <c r="H1085" t="str">
        <f t="shared" si="18"/>
        <v>CUST#2000172616</v>
      </c>
    </row>
    <row r="1086" spans="5:8" x14ac:dyDescent="0.25">
      <c r="E1086" t="str">
        <f>""</f>
        <v/>
      </c>
      <c r="F1086" t="str">
        <f>""</f>
        <v/>
      </c>
      <c r="H1086" t="str">
        <f t="shared" si="18"/>
        <v>CUST#2000172616</v>
      </c>
    </row>
    <row r="1087" spans="5:8" x14ac:dyDescent="0.25">
      <c r="E1087" t="str">
        <f>""</f>
        <v/>
      </c>
      <c r="F1087" t="str">
        <f>""</f>
        <v/>
      </c>
      <c r="H1087" t="str">
        <f t="shared" si="18"/>
        <v>CUST#2000172616</v>
      </c>
    </row>
    <row r="1088" spans="5:8" x14ac:dyDescent="0.25">
      <c r="E1088" t="str">
        <f>""</f>
        <v/>
      </c>
      <c r="F1088" t="str">
        <f>""</f>
        <v/>
      </c>
      <c r="H1088" t="str">
        <f t="shared" si="18"/>
        <v>CUST#2000172616</v>
      </c>
    </row>
    <row r="1089" spans="1:8" x14ac:dyDescent="0.25">
      <c r="E1089" t="str">
        <f>""</f>
        <v/>
      </c>
      <c r="F1089" t="str">
        <f>""</f>
        <v/>
      </c>
      <c r="H1089" t="str">
        <f t="shared" si="18"/>
        <v>CUST#2000172616</v>
      </c>
    </row>
    <row r="1090" spans="1:8" x14ac:dyDescent="0.25">
      <c r="E1090" t="str">
        <f>""</f>
        <v/>
      </c>
      <c r="F1090" t="str">
        <f>""</f>
        <v/>
      </c>
      <c r="H1090" t="str">
        <f t="shared" si="18"/>
        <v>CUST#2000172616</v>
      </c>
    </row>
    <row r="1091" spans="1:8" x14ac:dyDescent="0.25">
      <c r="E1091" t="str">
        <f>""</f>
        <v/>
      </c>
      <c r="F1091" t="str">
        <f>""</f>
        <v/>
      </c>
      <c r="H1091" t="str">
        <f t="shared" si="18"/>
        <v>CUST#2000172616</v>
      </c>
    </row>
    <row r="1092" spans="1:8" x14ac:dyDescent="0.25">
      <c r="E1092" t="str">
        <f>""</f>
        <v/>
      </c>
      <c r="F1092" t="str">
        <f>""</f>
        <v/>
      </c>
      <c r="H1092" t="str">
        <f t="shared" si="18"/>
        <v>CUST#2000172616</v>
      </c>
    </row>
    <row r="1093" spans="1:8" x14ac:dyDescent="0.25">
      <c r="E1093" t="str">
        <f>""</f>
        <v/>
      </c>
      <c r="F1093" t="str">
        <f>""</f>
        <v/>
      </c>
      <c r="H1093" t="str">
        <f t="shared" si="18"/>
        <v>CUST#2000172616</v>
      </c>
    </row>
    <row r="1094" spans="1:8" x14ac:dyDescent="0.25">
      <c r="E1094" t="str">
        <f>""</f>
        <v/>
      </c>
      <c r="F1094" t="str">
        <f>""</f>
        <v/>
      </c>
      <c r="H1094" t="str">
        <f t="shared" si="18"/>
        <v>CUST#2000172616</v>
      </c>
    </row>
    <row r="1095" spans="1:8" x14ac:dyDescent="0.25">
      <c r="E1095" t="str">
        <f>""</f>
        <v/>
      </c>
      <c r="F1095" t="str">
        <f>""</f>
        <v/>
      </c>
      <c r="H1095" t="str">
        <f t="shared" si="18"/>
        <v>CUST#2000172616</v>
      </c>
    </row>
    <row r="1096" spans="1:8" x14ac:dyDescent="0.25">
      <c r="E1096" t="str">
        <f>""</f>
        <v/>
      </c>
      <c r="F1096" t="str">
        <f>""</f>
        <v/>
      </c>
      <c r="H1096" t="str">
        <f t="shared" si="18"/>
        <v>CUST#2000172616</v>
      </c>
    </row>
    <row r="1097" spans="1:8" x14ac:dyDescent="0.25">
      <c r="E1097" t="str">
        <f>""</f>
        <v/>
      </c>
      <c r="F1097" t="str">
        <f>""</f>
        <v/>
      </c>
      <c r="H1097" t="str">
        <f t="shared" si="18"/>
        <v>CUST#2000172616</v>
      </c>
    </row>
    <row r="1098" spans="1:8" x14ac:dyDescent="0.25">
      <c r="E1098" t="str">
        <f>""</f>
        <v/>
      </c>
      <c r="F1098" t="str">
        <f>""</f>
        <v/>
      </c>
      <c r="H1098" t="str">
        <f t="shared" si="18"/>
        <v>CUST#2000172616</v>
      </c>
    </row>
    <row r="1099" spans="1:8" x14ac:dyDescent="0.25">
      <c r="E1099" t="str">
        <f>""</f>
        <v/>
      </c>
      <c r="F1099" t="str">
        <f>""</f>
        <v/>
      </c>
      <c r="H1099" t="str">
        <f t="shared" si="18"/>
        <v>CUST#2000172616</v>
      </c>
    </row>
    <row r="1100" spans="1:8" x14ac:dyDescent="0.25">
      <c r="E1100" t="str">
        <f>""</f>
        <v/>
      </c>
      <c r="F1100" t="str">
        <f>""</f>
        <v/>
      </c>
      <c r="H1100" t="str">
        <f t="shared" si="18"/>
        <v>CUST#2000172616</v>
      </c>
    </row>
    <row r="1101" spans="1:8" x14ac:dyDescent="0.25">
      <c r="E1101" t="str">
        <f>""</f>
        <v/>
      </c>
      <c r="F1101" t="str">
        <f>""</f>
        <v/>
      </c>
      <c r="H1101" t="str">
        <f t="shared" si="18"/>
        <v>CUST#2000172616</v>
      </c>
    </row>
    <row r="1102" spans="1:8" x14ac:dyDescent="0.25">
      <c r="A1102" t="s">
        <v>344</v>
      </c>
      <c r="B1102">
        <v>131409</v>
      </c>
      <c r="C1102" s="5">
        <v>219.95</v>
      </c>
      <c r="D1102" s="1">
        <v>43913</v>
      </c>
      <c r="E1102" t="str">
        <f>"99999901181592"</f>
        <v>99999901181592</v>
      </c>
      <c r="F1102" t="str">
        <f>"MEDICATIONS/ANIMAL SHELTER"</f>
        <v>MEDICATIONS/ANIMAL SHELTER</v>
      </c>
      <c r="G1102" s="5">
        <v>219.95</v>
      </c>
      <c r="H1102" t="str">
        <f>"MEDICATIONS/ANIMAL SHELTER"</f>
        <v>MEDICATIONS/ANIMAL SHELTER</v>
      </c>
    </row>
    <row r="1103" spans="1:8" x14ac:dyDescent="0.25">
      <c r="A1103" t="s">
        <v>345</v>
      </c>
      <c r="B1103">
        <v>2361</v>
      </c>
      <c r="C1103" s="5">
        <v>550</v>
      </c>
      <c r="D1103" s="1">
        <v>43914</v>
      </c>
      <c r="E1103" t="str">
        <f>"BCSOFEB20"</f>
        <v>BCSOFEB20</v>
      </c>
      <c r="F1103" t="str">
        <f>"INV BCSOFEB20"</f>
        <v>INV BCSOFEB20</v>
      </c>
      <c r="G1103" s="5">
        <v>550</v>
      </c>
      <c r="H1103" t="str">
        <f>"INV BCSOFEB20"</f>
        <v>INV BCSOFEB20</v>
      </c>
    </row>
    <row r="1104" spans="1:8" x14ac:dyDescent="0.25">
      <c r="A1104" t="s">
        <v>346</v>
      </c>
      <c r="B1104">
        <v>2312</v>
      </c>
      <c r="C1104" s="5">
        <v>1000</v>
      </c>
      <c r="D1104" s="1">
        <v>43900</v>
      </c>
      <c r="E1104" t="str">
        <f>"202002275540"</f>
        <v>202002275540</v>
      </c>
      <c r="F1104" t="str">
        <f>"16 911"</f>
        <v>16 911</v>
      </c>
      <c r="G1104" s="5">
        <v>1000</v>
      </c>
      <c r="H1104" t="str">
        <f>"16 911"</f>
        <v>16 911</v>
      </c>
    </row>
    <row r="1105" spans="1:8" x14ac:dyDescent="0.25">
      <c r="A1105" t="s">
        <v>347</v>
      </c>
      <c r="B1105">
        <v>131197</v>
      </c>
      <c r="C1105" s="5">
        <v>614.02</v>
      </c>
      <c r="D1105" s="1">
        <v>43899</v>
      </c>
      <c r="E1105" t="str">
        <f>"202003045711"</f>
        <v>202003045711</v>
      </c>
      <c r="F1105" t="str">
        <f>"INV 4883414"</f>
        <v>INV 4883414</v>
      </c>
      <c r="G1105" s="5">
        <v>364.92</v>
      </c>
      <c r="H1105" t="str">
        <f>"INV 4883414"</f>
        <v>INV 4883414</v>
      </c>
    </row>
    <row r="1106" spans="1:8" x14ac:dyDescent="0.25">
      <c r="E1106" t="str">
        <f>"4879972"</f>
        <v>4879972</v>
      </c>
      <c r="F1106" t="str">
        <f>"INV 4879972"</f>
        <v>INV 4879972</v>
      </c>
      <c r="G1106" s="5">
        <v>57.17</v>
      </c>
      <c r="H1106" t="str">
        <f>"INV 4879972"</f>
        <v>INV 4879972</v>
      </c>
    </row>
    <row r="1107" spans="1:8" x14ac:dyDescent="0.25">
      <c r="E1107" t="str">
        <f>"4881825"</f>
        <v>4881825</v>
      </c>
      <c r="F1107" t="str">
        <f>"INV 4881825"</f>
        <v>INV 4881825</v>
      </c>
      <c r="G1107" s="5">
        <v>191.93</v>
      </c>
      <c r="H1107" t="str">
        <f>"INV 4881825"</f>
        <v>INV 4881825</v>
      </c>
    </row>
    <row r="1108" spans="1:8" x14ac:dyDescent="0.25">
      <c r="A1108" t="s">
        <v>348</v>
      </c>
      <c r="B1108">
        <v>131198</v>
      </c>
      <c r="C1108" s="5">
        <v>492</v>
      </c>
      <c r="D1108" s="1">
        <v>43899</v>
      </c>
      <c r="E1108" t="str">
        <f>"202003035659"</f>
        <v>202003035659</v>
      </c>
      <c r="F1108" t="str">
        <f>"LPHCP RECORDING FEES"</f>
        <v>LPHCP RECORDING FEES</v>
      </c>
      <c r="G1108" s="5">
        <v>492</v>
      </c>
      <c r="H1108" t="str">
        <f>"LPHCP RECORDING FEES"</f>
        <v>LPHCP RECORDING FEES</v>
      </c>
    </row>
    <row r="1109" spans="1:8" x14ac:dyDescent="0.25">
      <c r="A1109" t="s">
        <v>348</v>
      </c>
      <c r="B1109">
        <v>131199</v>
      </c>
      <c r="C1109" s="5">
        <v>183</v>
      </c>
      <c r="D1109" s="1">
        <v>43899</v>
      </c>
      <c r="E1109" t="str">
        <f>"202003035669"</f>
        <v>202003035669</v>
      </c>
      <c r="F1109" t="str">
        <f>"DEVELOPMENT SVCS RECORDING FEE"</f>
        <v>DEVELOPMENT SVCS RECORDING FEE</v>
      </c>
      <c r="G1109" s="5">
        <v>183</v>
      </c>
      <c r="H1109" t="str">
        <f>"DEVELOPMENT SVCS RECORDING FEE"</f>
        <v>DEVELOPMENT SVCS RECORDING FEE</v>
      </c>
    </row>
    <row r="1110" spans="1:8" x14ac:dyDescent="0.25">
      <c r="A1110" t="s">
        <v>348</v>
      </c>
      <c r="B1110">
        <v>131410</v>
      </c>
      <c r="C1110" s="5">
        <v>190</v>
      </c>
      <c r="D1110" s="1">
        <v>43913</v>
      </c>
      <c r="E1110" t="str">
        <f>"202003176012"</f>
        <v>202003176012</v>
      </c>
      <c r="F1110" t="str">
        <f>"LPHCP RECORDING FEES"</f>
        <v>LPHCP RECORDING FEES</v>
      </c>
      <c r="G1110" s="5">
        <v>190</v>
      </c>
      <c r="H1110" t="str">
        <f>"LPHCP RECORDING FEES"</f>
        <v>LPHCP RECORDING FEES</v>
      </c>
    </row>
    <row r="1111" spans="1:8" x14ac:dyDescent="0.25">
      <c r="A1111" t="s">
        <v>348</v>
      </c>
      <c r="B1111">
        <v>131411</v>
      </c>
      <c r="C1111" s="5">
        <v>61</v>
      </c>
      <c r="D1111" s="1">
        <v>43913</v>
      </c>
      <c r="E1111" t="str">
        <f>"202003176006"</f>
        <v>202003176006</v>
      </c>
      <c r="F1111" t="str">
        <f>"DEVELOPMENT SVCS RECORDING FEE"</f>
        <v>DEVELOPMENT SVCS RECORDING FEE</v>
      </c>
      <c r="G1111" s="5">
        <v>61</v>
      </c>
      <c r="H1111" t="str">
        <f>"DEVELOPMENT SVCS RECORDING FEE"</f>
        <v>DEVELOPMENT SVCS RECORDING FEE</v>
      </c>
    </row>
    <row r="1112" spans="1:8" x14ac:dyDescent="0.25">
      <c r="A1112" t="s">
        <v>349</v>
      </c>
      <c r="B1112">
        <v>131412</v>
      </c>
      <c r="C1112" s="5">
        <v>333.93</v>
      </c>
      <c r="D1112" s="1">
        <v>43913</v>
      </c>
      <c r="E1112" t="str">
        <f>"202003125887"</f>
        <v>202003125887</v>
      </c>
      <c r="F1112" t="str">
        <f>"423 6842 / 423 6980 / 423 6097"</f>
        <v>423 6842 / 423 6980 / 423 6097</v>
      </c>
      <c r="G1112" s="5">
        <v>333.93</v>
      </c>
      <c r="H1112" t="str">
        <f>"423 6842 / 423 6980 / 423 6097"</f>
        <v>423 6842 / 423 6980 / 423 6097</v>
      </c>
    </row>
    <row r="1113" spans="1:8" x14ac:dyDescent="0.25">
      <c r="A1113" t="s">
        <v>350</v>
      </c>
      <c r="B1113">
        <v>131413</v>
      </c>
      <c r="C1113" s="5">
        <v>417.97</v>
      </c>
      <c r="D1113" s="1">
        <v>43913</v>
      </c>
      <c r="E1113" t="str">
        <f>"04559-052005"</f>
        <v>04559-052005</v>
      </c>
      <c r="F1113" t="str">
        <f>"ACCT#353829/SHERIFF"</f>
        <v>ACCT#353829/SHERIFF</v>
      </c>
      <c r="G1113" s="5">
        <v>417.97</v>
      </c>
      <c r="H1113" t="str">
        <f>"ACCT#353829/SHERIFF"</f>
        <v>ACCT#353829/SHERIFF</v>
      </c>
    </row>
    <row r="1114" spans="1:8" x14ac:dyDescent="0.25">
      <c r="A1114" t="s">
        <v>351</v>
      </c>
      <c r="B1114">
        <v>2388</v>
      </c>
      <c r="C1114" s="5">
        <v>280.38</v>
      </c>
      <c r="D1114" s="1">
        <v>43914</v>
      </c>
      <c r="E1114" t="str">
        <f>"202003176029"</f>
        <v>202003176029</v>
      </c>
      <c r="F1114" t="str">
        <f>"INDIGENT HEALTH"</f>
        <v>INDIGENT HEALTH</v>
      </c>
      <c r="G1114" s="5">
        <v>280.38</v>
      </c>
      <c r="H1114" t="str">
        <f>"INDIGENT HEALTH"</f>
        <v>INDIGENT HEALTH</v>
      </c>
    </row>
    <row r="1115" spans="1:8" x14ac:dyDescent="0.25">
      <c r="A1115" t="s">
        <v>352</v>
      </c>
      <c r="B1115">
        <v>2389</v>
      </c>
      <c r="C1115" s="5">
        <v>980</v>
      </c>
      <c r="D1115" s="1">
        <v>43914</v>
      </c>
      <c r="E1115" t="str">
        <f>"064976"</f>
        <v>064976</v>
      </c>
      <c r="F1115" t="str">
        <f>"CASEBINDERS/DISTRICT CLERK"</f>
        <v>CASEBINDERS/DISTRICT CLERK</v>
      </c>
      <c r="G1115" s="5">
        <v>980</v>
      </c>
      <c r="H1115" t="str">
        <f>"CASEBINDERS/DISTRICT CLERK"</f>
        <v>CASEBINDERS/DISTRICT CLERK</v>
      </c>
    </row>
    <row r="1116" spans="1:8" x14ac:dyDescent="0.25">
      <c r="A1116" t="s">
        <v>353</v>
      </c>
      <c r="B1116">
        <v>131414</v>
      </c>
      <c r="C1116" s="5">
        <v>7264.73</v>
      </c>
      <c r="D1116" s="1">
        <v>43913</v>
      </c>
      <c r="E1116" t="str">
        <f>"202003176007"</f>
        <v>202003176007</v>
      </c>
      <c r="F1116" t="str">
        <f>"SETON PRESCRIPTION ASSISTANCE"</f>
        <v>SETON PRESCRIPTION ASSISTANCE</v>
      </c>
      <c r="G1116" s="5">
        <v>3333</v>
      </c>
      <c r="H1116" t="str">
        <f>"SETON PRESCRIPTION ASSISTANCE"</f>
        <v>SETON PRESCRIPTION ASSISTANCE</v>
      </c>
    </row>
    <row r="1117" spans="1:8" x14ac:dyDescent="0.25">
      <c r="E1117" t="str">
        <f>"202003176034"</f>
        <v>202003176034</v>
      </c>
      <c r="F1117" t="str">
        <f>"INDIGENT HEALTH"</f>
        <v>INDIGENT HEALTH</v>
      </c>
      <c r="G1117" s="5">
        <v>3931.73</v>
      </c>
      <c r="H1117" t="str">
        <f>"INDIGENT HEALTH"</f>
        <v>INDIGENT HEALTH</v>
      </c>
    </row>
    <row r="1118" spans="1:8" x14ac:dyDescent="0.25">
      <c r="A1118" t="s">
        <v>354</v>
      </c>
      <c r="B1118">
        <v>131415</v>
      </c>
      <c r="C1118" s="5">
        <v>36</v>
      </c>
      <c r="D1118" s="1">
        <v>43913</v>
      </c>
      <c r="E1118" t="s">
        <v>355</v>
      </c>
      <c r="F1118" t="str">
        <f>"RESTITUTION - D. MCCOMB"</f>
        <v>RESTITUTION - D. MCCOMB</v>
      </c>
      <c r="G1118" s="5">
        <v>36</v>
      </c>
      <c r="H1118" t="str">
        <f>"RESTITUTION - D. MCCOMB"</f>
        <v>RESTITUTION - D. MCCOMB</v>
      </c>
    </row>
    <row r="1119" spans="1:8" x14ac:dyDescent="0.25">
      <c r="A1119" t="s">
        <v>356</v>
      </c>
      <c r="B1119">
        <v>131416</v>
      </c>
      <c r="C1119" s="5">
        <v>1071.82</v>
      </c>
      <c r="D1119" s="1">
        <v>43913</v>
      </c>
      <c r="E1119" t="str">
        <f>"202003125932"</f>
        <v>202003125932</v>
      </c>
      <c r="F1119" t="str">
        <f>"ACCT#20147/ANIMAL SERVICES"</f>
        <v>ACCT#20147/ANIMAL SERVICES</v>
      </c>
      <c r="G1119" s="5">
        <v>715.1</v>
      </c>
      <c r="H1119" t="str">
        <f>"ACCT#20147/ANIMAL SERVICES"</f>
        <v>ACCT#20147/ANIMAL SERVICES</v>
      </c>
    </row>
    <row r="1120" spans="1:8" x14ac:dyDescent="0.25">
      <c r="E1120" t="str">
        <f>"213561"</f>
        <v>213561</v>
      </c>
      <c r="F1120" t="str">
        <f>"ACCT#20150"</f>
        <v>ACCT#20150</v>
      </c>
      <c r="G1120" s="5">
        <v>356.72</v>
      </c>
      <c r="H1120" t="str">
        <f>"ACCT#20150"</f>
        <v>ACCT#20150</v>
      </c>
    </row>
    <row r="1121" spans="1:8" x14ac:dyDescent="0.25">
      <c r="A1121" t="s">
        <v>357</v>
      </c>
      <c r="B1121">
        <v>131417</v>
      </c>
      <c r="C1121" s="5">
        <v>9453</v>
      </c>
      <c r="D1121" s="1">
        <v>43913</v>
      </c>
      <c r="E1121" t="str">
        <f>"GB00352735"</f>
        <v>GB00352735</v>
      </c>
      <c r="F1121" t="str">
        <f>"Recorder"</f>
        <v>Recorder</v>
      </c>
      <c r="G1121" s="5">
        <v>9413</v>
      </c>
      <c r="H1121" t="str">
        <f>"AXIS S1148"</f>
        <v>AXIS S1148</v>
      </c>
    </row>
    <row r="1122" spans="1:8" x14ac:dyDescent="0.25">
      <c r="E1122" t="str">
        <f>""</f>
        <v/>
      </c>
      <c r="F1122" t="str">
        <f>""</f>
        <v/>
      </c>
      <c r="H1122" t="str">
        <f>"AXIS Cam"</f>
        <v>AXIS Cam</v>
      </c>
    </row>
    <row r="1123" spans="1:8" x14ac:dyDescent="0.25">
      <c r="E1123" t="str">
        <f>"GB00358297"</f>
        <v>GB00358297</v>
      </c>
      <c r="F1123" t="str">
        <f>"SHI Order"</f>
        <v>SHI Order</v>
      </c>
      <c r="G1123" s="5">
        <v>40</v>
      </c>
      <c r="H1123" t="str">
        <f>"Visual Fault Locator"</f>
        <v>Visual Fault Locator</v>
      </c>
    </row>
    <row r="1124" spans="1:8" x14ac:dyDescent="0.25">
      <c r="A1124" t="s">
        <v>358</v>
      </c>
      <c r="B1124">
        <v>131200</v>
      </c>
      <c r="C1124" s="5">
        <v>1159.33</v>
      </c>
      <c r="D1124" s="1">
        <v>43899</v>
      </c>
      <c r="E1124" t="str">
        <f>"8129132193"</f>
        <v>8129132193</v>
      </c>
      <c r="F1124" t="str">
        <f>"CUST#16151857/PURCHASING"</f>
        <v>CUST#16151857/PURCHASING</v>
      </c>
      <c r="G1124" s="5">
        <v>225.44</v>
      </c>
      <c r="H1124" t="str">
        <f>"CUST#16151857/PURCHASING"</f>
        <v>CUST#16151857/PURCHASING</v>
      </c>
    </row>
    <row r="1125" spans="1:8" x14ac:dyDescent="0.25">
      <c r="E1125" t="str">
        <f>""</f>
        <v/>
      </c>
      <c r="F1125" t="str">
        <f>""</f>
        <v/>
      </c>
      <c r="H1125" t="str">
        <f>"CUST#16151857/PURCHASING"</f>
        <v>CUST#16151857/PURCHASING</v>
      </c>
    </row>
    <row r="1126" spans="1:8" x14ac:dyDescent="0.25">
      <c r="E1126" t="str">
        <f>"8129346717"</f>
        <v>8129346717</v>
      </c>
      <c r="F1126" t="str">
        <f>"CUST#8129346717/DIST ATTNY"</f>
        <v>CUST#8129346717/DIST ATTNY</v>
      </c>
      <c r="G1126" s="5">
        <v>733.31</v>
      </c>
      <c r="H1126" t="str">
        <f>"CUST#8129346717/DIST ATTNY"</f>
        <v>CUST#8129346717/DIST ATTNY</v>
      </c>
    </row>
    <row r="1127" spans="1:8" x14ac:dyDescent="0.25">
      <c r="E1127" t="str">
        <f>"8129346778"</f>
        <v>8129346778</v>
      </c>
      <c r="F1127" t="str">
        <f>"CUST#8129346778/PURCHASING DPT"</f>
        <v>CUST#8129346778/PURCHASING DPT</v>
      </c>
      <c r="G1127" s="5">
        <v>123.44</v>
      </c>
      <c r="H1127" t="str">
        <f t="shared" ref="H1127:H1132" si="19">"CUST#8129346778/PURCHASING DPT"</f>
        <v>CUST#8129346778/PURCHASING DPT</v>
      </c>
    </row>
    <row r="1128" spans="1:8" x14ac:dyDescent="0.25">
      <c r="E1128" t="str">
        <f>""</f>
        <v/>
      </c>
      <c r="F1128" t="str">
        <f>""</f>
        <v/>
      </c>
      <c r="H1128" t="str">
        <f t="shared" si="19"/>
        <v>CUST#8129346778/PURCHASING DPT</v>
      </c>
    </row>
    <row r="1129" spans="1:8" x14ac:dyDescent="0.25">
      <c r="E1129" t="str">
        <f>""</f>
        <v/>
      </c>
      <c r="F1129" t="str">
        <f>""</f>
        <v/>
      </c>
      <c r="H1129" t="str">
        <f t="shared" si="19"/>
        <v>CUST#8129346778/PURCHASING DPT</v>
      </c>
    </row>
    <row r="1130" spans="1:8" x14ac:dyDescent="0.25">
      <c r="E1130" t="str">
        <f>""</f>
        <v/>
      </c>
      <c r="F1130" t="str">
        <f>""</f>
        <v/>
      </c>
      <c r="H1130" t="str">
        <f t="shared" si="19"/>
        <v>CUST#8129346778/PURCHASING DPT</v>
      </c>
    </row>
    <row r="1131" spans="1:8" x14ac:dyDescent="0.25">
      <c r="E1131" t="str">
        <f>""</f>
        <v/>
      </c>
      <c r="F1131" t="str">
        <f>""</f>
        <v/>
      </c>
      <c r="H1131" t="str">
        <f t="shared" si="19"/>
        <v>CUST#8129346778/PURCHASING DPT</v>
      </c>
    </row>
    <row r="1132" spans="1:8" x14ac:dyDescent="0.25">
      <c r="E1132" t="str">
        <f>""</f>
        <v/>
      </c>
      <c r="F1132" t="str">
        <f>""</f>
        <v/>
      </c>
      <c r="H1132" t="str">
        <f t="shared" si="19"/>
        <v>CUST#8129346778/PURCHASING DPT</v>
      </c>
    </row>
    <row r="1133" spans="1:8" x14ac:dyDescent="0.25">
      <c r="E1133" t="str">
        <f>"8129347027"</f>
        <v>8129347027</v>
      </c>
      <c r="F1133" t="str">
        <f>"CUST#16160327/INDIGENT HLTH"</f>
        <v>CUST#16160327/INDIGENT HLTH</v>
      </c>
      <c r="G1133" s="5">
        <v>77.14</v>
      </c>
      <c r="H1133" t="str">
        <f>"CUST#16160327/INDIGENT HLTH"</f>
        <v>CUST#16160327/INDIGENT HLTH</v>
      </c>
    </row>
    <row r="1134" spans="1:8" x14ac:dyDescent="0.25">
      <c r="E1134" t="str">
        <f>""</f>
        <v/>
      </c>
      <c r="F1134" t="str">
        <f>""</f>
        <v/>
      </c>
      <c r="H1134" t="str">
        <f>"CUST#16160327/INDIGENT HLTH"</f>
        <v>CUST#16160327/INDIGENT HLTH</v>
      </c>
    </row>
    <row r="1135" spans="1:8" x14ac:dyDescent="0.25">
      <c r="A1135" t="s">
        <v>358</v>
      </c>
      <c r="B1135">
        <v>131418</v>
      </c>
      <c r="C1135" s="5">
        <v>316.04000000000002</v>
      </c>
      <c r="D1135" s="1">
        <v>43913</v>
      </c>
      <c r="E1135" t="str">
        <f>"8129346206"</f>
        <v>8129346206</v>
      </c>
      <c r="F1135" t="str">
        <f>"INV 8129346206"</f>
        <v>INV 8129346206</v>
      </c>
      <c r="G1135" s="5">
        <v>159.91</v>
      </c>
      <c r="H1135" t="str">
        <f>"INV 8129346206 (LE)"</f>
        <v>INV 8129346206 (LE)</v>
      </c>
    </row>
    <row r="1136" spans="1:8" x14ac:dyDescent="0.25">
      <c r="E1136" t="str">
        <f>""</f>
        <v/>
      </c>
      <c r="F1136" t="str">
        <f>""</f>
        <v/>
      </c>
      <c r="H1136" t="str">
        <f>"INV 8129346206 (JAIL"</f>
        <v>INV 8129346206 (JAIL</v>
      </c>
    </row>
    <row r="1137" spans="1:8" x14ac:dyDescent="0.25">
      <c r="E1137" t="str">
        <f>"8129346821"</f>
        <v>8129346821</v>
      </c>
      <c r="F1137" t="str">
        <f>"CUST#16156071/TAX OFFICE"</f>
        <v>CUST#16156071/TAX OFFICE</v>
      </c>
      <c r="G1137" s="5">
        <v>83.89</v>
      </c>
      <c r="H1137" t="str">
        <f>"CUST#16156071/TAX OFFICE"</f>
        <v>CUST#16156071/TAX OFFICE</v>
      </c>
    </row>
    <row r="1138" spans="1:8" x14ac:dyDescent="0.25">
      <c r="E1138" t="str">
        <f>"8129346900"</f>
        <v>8129346900</v>
      </c>
      <c r="F1138" t="str">
        <f>"CUST#16158670/SHREDDING SERVIC"</f>
        <v>CUST#16158670/SHREDDING SERVIC</v>
      </c>
      <c r="G1138" s="5">
        <v>72.239999999999995</v>
      </c>
      <c r="H1138" t="str">
        <f>"CUST#16158670/SHREDDING SERVIC"</f>
        <v>CUST#16158670/SHREDDING SERVIC</v>
      </c>
    </row>
    <row r="1139" spans="1:8" x14ac:dyDescent="0.25">
      <c r="A1139" t="s">
        <v>359</v>
      </c>
      <c r="B1139">
        <v>131419</v>
      </c>
      <c r="C1139" s="5">
        <v>289.08</v>
      </c>
      <c r="D1139" s="1">
        <v>43913</v>
      </c>
      <c r="E1139" t="str">
        <f>"202003176035"</f>
        <v>202003176035</v>
      </c>
      <c r="F1139" t="str">
        <f>"INDIGENT HEALTH"</f>
        <v>INDIGENT HEALTH</v>
      </c>
      <c r="G1139" s="5">
        <v>289.08</v>
      </c>
      <c r="H1139" t="str">
        <f>"INDIGENT HEALTH"</f>
        <v>INDIGENT HEALTH</v>
      </c>
    </row>
    <row r="1140" spans="1:8" x14ac:dyDescent="0.25">
      <c r="A1140" t="s">
        <v>360</v>
      </c>
      <c r="B1140">
        <v>131420</v>
      </c>
      <c r="C1140" s="5">
        <v>140.33000000000001</v>
      </c>
      <c r="D1140" s="1">
        <v>43913</v>
      </c>
      <c r="E1140" t="str">
        <f>"4616*146*1/2/3"</f>
        <v>4616*146*1/2/3</v>
      </c>
      <c r="F1140" t="str">
        <f>"JAIL MEDICAL"</f>
        <v>JAIL MEDICAL</v>
      </c>
      <c r="G1140" s="5">
        <v>140.33000000000001</v>
      </c>
      <c r="H1140" t="str">
        <f>"JAIL MEDICAL"</f>
        <v>JAIL MEDICAL</v>
      </c>
    </row>
    <row r="1141" spans="1:8" x14ac:dyDescent="0.25">
      <c r="A1141" t="s">
        <v>361</v>
      </c>
      <c r="B1141">
        <v>131421</v>
      </c>
      <c r="C1141" s="5">
        <v>3978.35</v>
      </c>
      <c r="D1141" s="1">
        <v>43913</v>
      </c>
      <c r="E1141" t="str">
        <f>"32779"</f>
        <v>32779</v>
      </c>
      <c r="F1141" t="str">
        <f>"SUPPLIES/PCT#2"</f>
        <v>SUPPLIES/PCT#2</v>
      </c>
      <c r="G1141" s="5">
        <v>3978.35</v>
      </c>
      <c r="H1141" t="str">
        <f>"SUPPLIES/PCT#2"</f>
        <v>SUPPLIES/PCT#2</v>
      </c>
    </row>
    <row r="1142" spans="1:8" x14ac:dyDescent="0.25">
      <c r="A1142" t="s">
        <v>362</v>
      </c>
      <c r="B1142">
        <v>131422</v>
      </c>
      <c r="C1142" s="5">
        <v>1336.78</v>
      </c>
      <c r="D1142" s="1">
        <v>43913</v>
      </c>
      <c r="E1142" t="str">
        <f>"202003135959"</f>
        <v>202003135959</v>
      </c>
      <c r="F1142" t="str">
        <f>"ACCT#260/PCT#2"</f>
        <v>ACCT#260/PCT#2</v>
      </c>
      <c r="G1142" s="5">
        <v>1336.78</v>
      </c>
      <c r="H1142" t="str">
        <f>"ACCT#260/PCT#2"</f>
        <v>ACCT#260/PCT#2</v>
      </c>
    </row>
    <row r="1143" spans="1:8" x14ac:dyDescent="0.25">
      <c r="A1143" t="s">
        <v>363</v>
      </c>
      <c r="B1143">
        <v>131201</v>
      </c>
      <c r="C1143" s="5">
        <v>2532.0700000000002</v>
      </c>
      <c r="D1143" s="1">
        <v>43899</v>
      </c>
      <c r="E1143" t="str">
        <f>"4650037126"</f>
        <v>4650037126</v>
      </c>
      <c r="F1143" t="str">
        <f>"CUST#52157/PCT#4"</f>
        <v>CUST#52157/PCT#4</v>
      </c>
      <c r="G1143" s="5">
        <v>205.27</v>
      </c>
      <c r="H1143" t="str">
        <f>"CUST#52157/PCT#4"</f>
        <v>CUST#52157/PCT#4</v>
      </c>
    </row>
    <row r="1144" spans="1:8" x14ac:dyDescent="0.25">
      <c r="E1144" t="str">
        <f>"4660010490"</f>
        <v>4660010490</v>
      </c>
      <c r="F1144" t="str">
        <f>"CUST#52158/GEN SVCS"</f>
        <v>CUST#52158/GEN SVCS</v>
      </c>
      <c r="G1144" s="5">
        <v>2326.8000000000002</v>
      </c>
      <c r="H1144" t="str">
        <f>"CUST#52158/GEN SVCS"</f>
        <v>CUST#52158/GEN SVCS</v>
      </c>
    </row>
    <row r="1145" spans="1:8" x14ac:dyDescent="0.25">
      <c r="A1145" t="s">
        <v>363</v>
      </c>
      <c r="B1145">
        <v>131423</v>
      </c>
      <c r="C1145" s="5">
        <v>1733.4</v>
      </c>
      <c r="D1145" s="1">
        <v>43913</v>
      </c>
      <c r="E1145" t="str">
        <f>"4660011319"</f>
        <v>4660011319</v>
      </c>
      <c r="F1145" t="str">
        <f>"CUST#52158/PCT#2"</f>
        <v>CUST#52158/PCT#2</v>
      </c>
      <c r="G1145" s="5">
        <v>294.95</v>
      </c>
      <c r="H1145" t="str">
        <f>"CUST#52158/PCT#2"</f>
        <v>CUST#52158/PCT#2</v>
      </c>
    </row>
    <row r="1146" spans="1:8" x14ac:dyDescent="0.25">
      <c r="E1146" t="str">
        <f>"4660011439"</f>
        <v>4660011439</v>
      </c>
      <c r="F1146" t="str">
        <f>"CUST#52158/PCT#2"</f>
        <v>CUST#52158/PCT#2</v>
      </c>
      <c r="G1146" s="5">
        <v>247.95</v>
      </c>
      <c r="H1146" t="str">
        <f>"CUST#52158/PCT#2"</f>
        <v>CUST#52158/PCT#2</v>
      </c>
    </row>
    <row r="1147" spans="1:8" x14ac:dyDescent="0.25">
      <c r="E1147" t="str">
        <f>"4660012331"</f>
        <v>4660012331</v>
      </c>
      <c r="F1147" t="str">
        <f>"CUST#52158/PCT#2"</f>
        <v>CUST#52158/PCT#2</v>
      </c>
      <c r="G1147" s="5">
        <v>264.95</v>
      </c>
      <c r="H1147" t="str">
        <f>"CUST#52158/PCT#2"</f>
        <v>CUST#52158/PCT#2</v>
      </c>
    </row>
    <row r="1148" spans="1:8" x14ac:dyDescent="0.25">
      <c r="E1148" t="str">
        <f>"4660012446"</f>
        <v>4660012446</v>
      </c>
      <c r="F1148" t="str">
        <f>"CUST#52158/PCT#2"</f>
        <v>CUST#52158/PCT#2</v>
      </c>
      <c r="G1148" s="5">
        <v>925.55</v>
      </c>
      <c r="H1148" t="str">
        <f>"CUST#52158/PCT#2"</f>
        <v>CUST#52158/PCT#2</v>
      </c>
    </row>
    <row r="1149" spans="1:8" x14ac:dyDescent="0.25">
      <c r="A1149" t="s">
        <v>364</v>
      </c>
      <c r="B1149">
        <v>131424</v>
      </c>
      <c r="C1149" s="5">
        <v>42.03</v>
      </c>
      <c r="D1149" s="1">
        <v>43913</v>
      </c>
      <c r="E1149" t="str">
        <f>"9604456 022720"</f>
        <v>9604456 022720</v>
      </c>
      <c r="F1149" t="str">
        <f>"ACCT#46668439604456/JP#2"</f>
        <v>ACCT#46668439604456/JP#2</v>
      </c>
      <c r="G1149" s="5">
        <v>42.03</v>
      </c>
      <c r="H1149" t="str">
        <f>"ACCT#46668439604456/JP#2"</f>
        <v>ACCT#46668439604456/JP#2</v>
      </c>
    </row>
    <row r="1150" spans="1:8" x14ac:dyDescent="0.25">
      <c r="A1150" t="s">
        <v>366</v>
      </c>
      <c r="B1150">
        <v>131425</v>
      </c>
      <c r="C1150" s="5">
        <v>112.5</v>
      </c>
      <c r="D1150" s="1">
        <v>43913</v>
      </c>
      <c r="E1150" t="str">
        <f>"202003176033"</f>
        <v>202003176033</v>
      </c>
      <c r="F1150" t="str">
        <f>"INDIGENT HEALTH"</f>
        <v>INDIGENT HEALTH</v>
      </c>
      <c r="G1150" s="5">
        <v>112.5</v>
      </c>
      <c r="H1150" t="str">
        <f>"INDIGENT HEALTH"</f>
        <v>INDIGENT HEALTH</v>
      </c>
    </row>
    <row r="1151" spans="1:8" x14ac:dyDescent="0.25">
      <c r="A1151" t="s">
        <v>367</v>
      </c>
      <c r="B1151">
        <v>131426</v>
      </c>
      <c r="C1151" s="5">
        <v>11638.28</v>
      </c>
      <c r="D1151" s="1">
        <v>43913</v>
      </c>
      <c r="E1151" t="str">
        <f>"202003176037"</f>
        <v>202003176037</v>
      </c>
      <c r="F1151" t="str">
        <f>"INDIGENT HEALTH"</f>
        <v>INDIGENT HEALTH</v>
      </c>
      <c r="G1151" s="5">
        <v>11638.28</v>
      </c>
      <c r="H1151" t="str">
        <f>"INDIGENT HEALTH"</f>
        <v>INDIGENT HEALTH</v>
      </c>
    </row>
    <row r="1152" spans="1:8" x14ac:dyDescent="0.25">
      <c r="E1152" t="str">
        <f>""</f>
        <v/>
      </c>
      <c r="F1152" t="str">
        <f>""</f>
        <v/>
      </c>
      <c r="H1152" t="str">
        <f>"INDIGENT HEALTH"</f>
        <v>INDIGENT HEALTH</v>
      </c>
    </row>
    <row r="1153" spans="1:8" x14ac:dyDescent="0.25">
      <c r="A1153" t="s">
        <v>368</v>
      </c>
      <c r="B1153">
        <v>131427</v>
      </c>
      <c r="C1153" s="5">
        <v>92.45</v>
      </c>
      <c r="D1153" s="1">
        <v>43913</v>
      </c>
      <c r="E1153" t="str">
        <f>"202003176036"</f>
        <v>202003176036</v>
      </c>
      <c r="F1153" t="str">
        <f>"INDIGENT HEALTH"</f>
        <v>INDIGENT HEALTH</v>
      </c>
      <c r="G1153" s="5">
        <v>92.45</v>
      </c>
      <c r="H1153" t="str">
        <f>"INDIGENT HEALTH"</f>
        <v>INDIGENT HEALTH</v>
      </c>
    </row>
    <row r="1154" spans="1:8" x14ac:dyDescent="0.25">
      <c r="A1154" t="s">
        <v>365</v>
      </c>
      <c r="B1154">
        <v>131202</v>
      </c>
      <c r="C1154" s="5">
        <v>56.66</v>
      </c>
      <c r="D1154" s="1">
        <v>43899</v>
      </c>
      <c r="E1154" t="str">
        <f>"11969495 021420"</f>
        <v>11969495 021420</v>
      </c>
      <c r="F1154" t="str">
        <f>"ACCT#556850411969495/DA OFFICE"</f>
        <v>ACCT#556850411969495/DA OFFICE</v>
      </c>
      <c r="G1154" s="5">
        <v>56.66</v>
      </c>
      <c r="H1154" t="str">
        <f>"ACCT#556850411969495/DA OFFICE"</f>
        <v>ACCT#556850411969495/DA OFFICE</v>
      </c>
    </row>
    <row r="1155" spans="1:8" x14ac:dyDescent="0.25">
      <c r="A1155" t="s">
        <v>369</v>
      </c>
      <c r="B1155">
        <v>131203</v>
      </c>
      <c r="C1155" s="5">
        <v>2905.89</v>
      </c>
      <c r="D1155" s="1">
        <v>43899</v>
      </c>
      <c r="E1155" t="str">
        <f>"8047482087"</f>
        <v>8047482087</v>
      </c>
      <c r="F1155" t="str">
        <f>"sum inv# 8047482087"</f>
        <v>sum inv# 8047482087</v>
      </c>
      <c r="G1155" s="5">
        <v>2905.89</v>
      </c>
      <c r="H1155" t="str">
        <f>"inv# 3439352762"</f>
        <v>inv# 3439352762</v>
      </c>
    </row>
    <row r="1156" spans="1:8" x14ac:dyDescent="0.25">
      <c r="E1156" t="str">
        <f>""</f>
        <v/>
      </c>
      <c r="F1156" t="str">
        <f>""</f>
        <v/>
      </c>
      <c r="H1156" t="str">
        <f>"inv# 3439352764"</f>
        <v>inv# 3439352764</v>
      </c>
    </row>
    <row r="1157" spans="1:8" x14ac:dyDescent="0.25">
      <c r="E1157" t="str">
        <f>""</f>
        <v/>
      </c>
      <c r="F1157" t="str">
        <f>""</f>
        <v/>
      </c>
      <c r="H1157" t="str">
        <f>"inv# 3439352767"</f>
        <v>inv# 3439352767</v>
      </c>
    </row>
    <row r="1158" spans="1:8" x14ac:dyDescent="0.25">
      <c r="E1158" t="str">
        <f>""</f>
        <v/>
      </c>
      <c r="F1158" t="str">
        <f>""</f>
        <v/>
      </c>
      <c r="H1158" t="str">
        <f>"inv# 3439352770"</f>
        <v>inv# 3439352770</v>
      </c>
    </row>
    <row r="1159" spans="1:8" x14ac:dyDescent="0.25">
      <c r="E1159" t="str">
        <f>""</f>
        <v/>
      </c>
      <c r="F1159" t="str">
        <f>""</f>
        <v/>
      </c>
      <c r="H1159" t="str">
        <f>"inv# 3439352776"</f>
        <v>inv# 3439352776</v>
      </c>
    </row>
    <row r="1160" spans="1:8" x14ac:dyDescent="0.25">
      <c r="E1160" t="str">
        <f>""</f>
        <v/>
      </c>
      <c r="F1160" t="str">
        <f>""</f>
        <v/>
      </c>
      <c r="H1160" t="str">
        <f>"inv# 3439352772"</f>
        <v>inv# 3439352772</v>
      </c>
    </row>
    <row r="1161" spans="1:8" x14ac:dyDescent="0.25">
      <c r="E1161" t="str">
        <f>""</f>
        <v/>
      </c>
      <c r="F1161" t="str">
        <f>""</f>
        <v/>
      </c>
      <c r="H1161" t="str">
        <f>"inv# 3439352759"</f>
        <v>inv# 3439352759</v>
      </c>
    </row>
    <row r="1162" spans="1:8" x14ac:dyDescent="0.25">
      <c r="E1162" t="str">
        <f>""</f>
        <v/>
      </c>
      <c r="F1162" t="str">
        <f>""</f>
        <v/>
      </c>
      <c r="H1162" t="str">
        <f>"inv# 3439352751"</f>
        <v>inv# 3439352751</v>
      </c>
    </row>
    <row r="1163" spans="1:8" x14ac:dyDescent="0.25">
      <c r="E1163" t="str">
        <f>""</f>
        <v/>
      </c>
      <c r="F1163" t="str">
        <f>""</f>
        <v/>
      </c>
      <c r="H1163" t="str">
        <f>"inv# 3439352783"</f>
        <v>inv# 3439352783</v>
      </c>
    </row>
    <row r="1164" spans="1:8" x14ac:dyDescent="0.25">
      <c r="E1164" t="str">
        <f>""</f>
        <v/>
      </c>
      <c r="F1164" t="str">
        <f>""</f>
        <v/>
      </c>
      <c r="H1164" t="str">
        <f>"inv# 3439352782"</f>
        <v>inv# 3439352782</v>
      </c>
    </row>
    <row r="1165" spans="1:8" x14ac:dyDescent="0.25">
      <c r="E1165" t="str">
        <f>""</f>
        <v/>
      </c>
      <c r="F1165" t="str">
        <f>""</f>
        <v/>
      </c>
      <c r="H1165" t="str">
        <f>"inv# 3439352777"</f>
        <v>inv# 3439352777</v>
      </c>
    </row>
    <row r="1166" spans="1:8" x14ac:dyDescent="0.25">
      <c r="E1166" t="str">
        <f>""</f>
        <v/>
      </c>
      <c r="F1166" t="str">
        <f>""</f>
        <v/>
      </c>
      <c r="H1166" t="str">
        <f>"inv# 3439352780"</f>
        <v>inv# 3439352780</v>
      </c>
    </row>
    <row r="1167" spans="1:8" x14ac:dyDescent="0.25">
      <c r="E1167" t="str">
        <f>""</f>
        <v/>
      </c>
      <c r="F1167" t="str">
        <f>""</f>
        <v/>
      </c>
      <c r="H1167" t="str">
        <f>"inv# 3439352778"</f>
        <v>inv# 3439352778</v>
      </c>
    </row>
    <row r="1168" spans="1:8" x14ac:dyDescent="0.25">
      <c r="E1168" t="str">
        <f>""</f>
        <v/>
      </c>
      <c r="F1168" t="str">
        <f>""</f>
        <v/>
      </c>
      <c r="H1168" t="str">
        <f>"inv# 3439352773"</f>
        <v>inv# 3439352773</v>
      </c>
    </row>
    <row r="1169" spans="1:8" x14ac:dyDescent="0.25">
      <c r="E1169" t="str">
        <f>""</f>
        <v/>
      </c>
      <c r="F1169" t="str">
        <f>""</f>
        <v/>
      </c>
      <c r="H1169" t="str">
        <f>"inv# 3439352755"</f>
        <v>inv# 3439352755</v>
      </c>
    </row>
    <row r="1170" spans="1:8" x14ac:dyDescent="0.25">
      <c r="E1170" t="str">
        <f>""</f>
        <v/>
      </c>
      <c r="F1170" t="str">
        <f>""</f>
        <v/>
      </c>
      <c r="H1170" t="str">
        <f>"inv# 3439352757"</f>
        <v>inv# 3439352757</v>
      </c>
    </row>
    <row r="1171" spans="1:8" x14ac:dyDescent="0.25">
      <c r="E1171" t="str">
        <f>""</f>
        <v/>
      </c>
      <c r="F1171" t="str">
        <f>""</f>
        <v/>
      </c>
      <c r="H1171" t="str">
        <f>"inv# 3439352758"</f>
        <v>inv# 3439352758</v>
      </c>
    </row>
    <row r="1172" spans="1:8" x14ac:dyDescent="0.25">
      <c r="E1172" t="str">
        <f>""</f>
        <v/>
      </c>
      <c r="F1172" t="str">
        <f>""</f>
        <v/>
      </c>
      <c r="H1172" t="str">
        <f>"inv# 3439352775"</f>
        <v>inv# 3439352775</v>
      </c>
    </row>
    <row r="1173" spans="1:8" x14ac:dyDescent="0.25">
      <c r="A1173" t="s">
        <v>369</v>
      </c>
      <c r="B1173">
        <v>131428</v>
      </c>
      <c r="C1173" s="5">
        <v>3600.63</v>
      </c>
      <c r="D1173" s="1">
        <v>43913</v>
      </c>
      <c r="E1173" t="str">
        <f>"8057697010"</f>
        <v>8057697010</v>
      </c>
      <c r="F1173" t="str">
        <f>"sum inv# 8057697010"</f>
        <v>sum inv# 8057697010</v>
      </c>
      <c r="G1173" s="5">
        <v>3600.63</v>
      </c>
      <c r="H1173" t="str">
        <f>"inv# 3441200588"</f>
        <v>inv# 3441200588</v>
      </c>
    </row>
    <row r="1174" spans="1:8" x14ac:dyDescent="0.25">
      <c r="E1174" t="str">
        <f>""</f>
        <v/>
      </c>
      <c r="F1174" t="str">
        <f>""</f>
        <v/>
      </c>
      <c r="H1174" t="str">
        <f>"inv# 3441200590"</f>
        <v>inv# 3441200590</v>
      </c>
    </row>
    <row r="1175" spans="1:8" x14ac:dyDescent="0.25">
      <c r="E1175" t="str">
        <f>""</f>
        <v/>
      </c>
      <c r="F1175" t="str">
        <f>""</f>
        <v/>
      </c>
      <c r="H1175" t="str">
        <f>"inv# 3441200604"</f>
        <v>inv# 3441200604</v>
      </c>
    </row>
    <row r="1176" spans="1:8" x14ac:dyDescent="0.25">
      <c r="E1176" t="str">
        <f>""</f>
        <v/>
      </c>
      <c r="F1176" t="str">
        <f>""</f>
        <v/>
      </c>
      <c r="H1176" t="str">
        <f>"inv# 3441200579"</f>
        <v>inv# 3441200579</v>
      </c>
    </row>
    <row r="1177" spans="1:8" x14ac:dyDescent="0.25">
      <c r="E1177" t="str">
        <f>""</f>
        <v/>
      </c>
      <c r="F1177" t="str">
        <f>""</f>
        <v/>
      </c>
      <c r="H1177" t="str">
        <f>"inv# 3441200581"</f>
        <v>inv# 3441200581</v>
      </c>
    </row>
    <row r="1178" spans="1:8" x14ac:dyDescent="0.25">
      <c r="E1178" t="str">
        <f>""</f>
        <v/>
      </c>
      <c r="F1178" t="str">
        <f>""</f>
        <v/>
      </c>
      <c r="H1178" t="str">
        <f>"inv# 3441200582"</f>
        <v>inv# 3441200582</v>
      </c>
    </row>
    <row r="1179" spans="1:8" x14ac:dyDescent="0.25">
      <c r="E1179" t="str">
        <f>""</f>
        <v/>
      </c>
      <c r="F1179" t="str">
        <f>""</f>
        <v/>
      </c>
      <c r="H1179" t="str">
        <f>"inv# 3441200583"</f>
        <v>inv# 3441200583</v>
      </c>
    </row>
    <row r="1180" spans="1:8" x14ac:dyDescent="0.25">
      <c r="E1180" t="str">
        <f>""</f>
        <v/>
      </c>
      <c r="F1180" t="str">
        <f>""</f>
        <v/>
      </c>
      <c r="H1180" t="str">
        <f>"inv# 3441200601"</f>
        <v>inv# 3441200601</v>
      </c>
    </row>
    <row r="1181" spans="1:8" x14ac:dyDescent="0.25">
      <c r="E1181" t="str">
        <f>""</f>
        <v/>
      </c>
      <c r="F1181" t="str">
        <f>""</f>
        <v/>
      </c>
      <c r="H1181" t="str">
        <f>"inv# 3441200614"</f>
        <v>inv# 3441200614</v>
      </c>
    </row>
    <row r="1182" spans="1:8" x14ac:dyDescent="0.25">
      <c r="E1182" t="str">
        <f>""</f>
        <v/>
      </c>
      <c r="F1182" t="str">
        <f>""</f>
        <v/>
      </c>
      <c r="H1182" t="str">
        <f>"inv# 3441200615"</f>
        <v>inv# 3441200615</v>
      </c>
    </row>
    <row r="1183" spans="1:8" x14ac:dyDescent="0.25">
      <c r="E1183" t="str">
        <f>""</f>
        <v/>
      </c>
      <c r="F1183" t="str">
        <f>""</f>
        <v/>
      </c>
      <c r="H1183" t="str">
        <f>"inv# 3441200617"</f>
        <v>inv# 3441200617</v>
      </c>
    </row>
    <row r="1184" spans="1:8" x14ac:dyDescent="0.25">
      <c r="E1184" t="str">
        <f>""</f>
        <v/>
      </c>
      <c r="F1184" t="str">
        <f>""</f>
        <v/>
      </c>
      <c r="H1184" t="str">
        <f>"inv# 3441200606"</f>
        <v>inv# 3441200606</v>
      </c>
    </row>
    <row r="1185" spans="1:8" x14ac:dyDescent="0.25">
      <c r="E1185" t="str">
        <f>""</f>
        <v/>
      </c>
      <c r="F1185" t="str">
        <f>""</f>
        <v/>
      </c>
      <c r="H1185" t="str">
        <f>"inv# 3441200607"</f>
        <v>inv# 3441200607</v>
      </c>
    </row>
    <row r="1186" spans="1:8" x14ac:dyDescent="0.25">
      <c r="E1186" t="str">
        <f>""</f>
        <v/>
      </c>
      <c r="F1186" t="str">
        <f>""</f>
        <v/>
      </c>
      <c r="H1186" t="str">
        <f>"inv# 3441200609"</f>
        <v>inv# 3441200609</v>
      </c>
    </row>
    <row r="1187" spans="1:8" x14ac:dyDescent="0.25">
      <c r="E1187" t="str">
        <f>""</f>
        <v/>
      </c>
      <c r="F1187" t="str">
        <f>""</f>
        <v/>
      </c>
      <c r="H1187" t="str">
        <f>"inv# 3441200611"</f>
        <v>inv# 3441200611</v>
      </c>
    </row>
    <row r="1188" spans="1:8" x14ac:dyDescent="0.25">
      <c r="E1188" t="str">
        <f>""</f>
        <v/>
      </c>
      <c r="F1188" t="str">
        <f>""</f>
        <v/>
      </c>
      <c r="H1188" t="str">
        <f>"inv# 3441200597"</f>
        <v>inv# 3441200597</v>
      </c>
    </row>
    <row r="1189" spans="1:8" x14ac:dyDescent="0.25">
      <c r="E1189" t="str">
        <f>""</f>
        <v/>
      </c>
      <c r="F1189" t="str">
        <f>""</f>
        <v/>
      </c>
      <c r="H1189" t="str">
        <f>"inv# 3441200594"</f>
        <v>inv# 3441200594</v>
      </c>
    </row>
    <row r="1190" spans="1:8" x14ac:dyDescent="0.25">
      <c r="E1190" t="str">
        <f>""</f>
        <v/>
      </c>
      <c r="F1190" t="str">
        <f>""</f>
        <v/>
      </c>
      <c r="H1190" t="str">
        <f>"inv# 3441200585"</f>
        <v>inv# 3441200585</v>
      </c>
    </row>
    <row r="1191" spans="1:8" x14ac:dyDescent="0.25">
      <c r="E1191" t="str">
        <f>""</f>
        <v/>
      </c>
      <c r="F1191" t="str">
        <f>""</f>
        <v/>
      </c>
      <c r="H1191" t="str">
        <f>"inv# 3441200591"</f>
        <v>inv# 3441200591</v>
      </c>
    </row>
    <row r="1192" spans="1:8" x14ac:dyDescent="0.25">
      <c r="E1192" t="str">
        <f>""</f>
        <v/>
      </c>
      <c r="F1192" t="str">
        <f>""</f>
        <v/>
      </c>
      <c r="H1192" t="str">
        <f>"inv# 3441200596"</f>
        <v>inv# 3441200596</v>
      </c>
    </row>
    <row r="1193" spans="1:8" x14ac:dyDescent="0.25">
      <c r="E1193" t="str">
        <f>""</f>
        <v/>
      </c>
      <c r="F1193" t="str">
        <f>""</f>
        <v/>
      </c>
      <c r="H1193" t="str">
        <f>"inv# 3441200576"</f>
        <v>inv# 3441200576</v>
      </c>
    </row>
    <row r="1194" spans="1:8" x14ac:dyDescent="0.25">
      <c r="E1194" t="str">
        <f>""</f>
        <v/>
      </c>
      <c r="F1194" t="str">
        <f>""</f>
        <v/>
      </c>
      <c r="H1194" t="str">
        <f>"inv# 3441200613"</f>
        <v>inv# 3441200613</v>
      </c>
    </row>
    <row r="1195" spans="1:8" x14ac:dyDescent="0.25">
      <c r="A1195" t="s">
        <v>370</v>
      </c>
      <c r="B1195">
        <v>131429</v>
      </c>
      <c r="C1195" s="5">
        <v>466.05</v>
      </c>
      <c r="D1195" s="1">
        <v>43913</v>
      </c>
      <c r="E1195" t="str">
        <f>"202003135973"</f>
        <v>202003135973</v>
      </c>
      <c r="F1195" t="str">
        <f>"FEBRUARY 2020"</f>
        <v>FEBRUARY 2020</v>
      </c>
      <c r="G1195" s="5">
        <v>466.05</v>
      </c>
      <c r="H1195" t="str">
        <f>"FEBRUARY 2020"</f>
        <v>FEBRUARY 2020</v>
      </c>
    </row>
    <row r="1196" spans="1:8" x14ac:dyDescent="0.25">
      <c r="A1196" t="s">
        <v>371</v>
      </c>
      <c r="B1196">
        <v>131204</v>
      </c>
      <c r="C1196" s="5">
        <v>1500</v>
      </c>
      <c r="D1196" s="1">
        <v>43899</v>
      </c>
      <c r="E1196" t="str">
        <f>"1007525"</f>
        <v>1007525</v>
      </c>
      <c r="F1196" t="str">
        <f>"PROJ#20800-P7 2019"</f>
        <v>PROJ#20800-P7 2019</v>
      </c>
      <c r="G1196" s="5">
        <v>1500</v>
      </c>
      <c r="H1196" t="str">
        <f>"PROJ#20800-P7 2019"</f>
        <v>PROJ#20800-P7 2019</v>
      </c>
    </row>
    <row r="1197" spans="1:8" x14ac:dyDescent="0.25">
      <c r="A1197" t="s">
        <v>372</v>
      </c>
      <c r="B1197">
        <v>131205</v>
      </c>
      <c r="C1197" s="5">
        <v>795.59</v>
      </c>
      <c r="D1197" s="1">
        <v>43899</v>
      </c>
      <c r="E1197" t="str">
        <f>"4009179324"</f>
        <v>4009179324</v>
      </c>
      <c r="F1197" t="str">
        <f>"INV 4009179324"</f>
        <v>INV 4009179324</v>
      </c>
      <c r="G1197" s="5">
        <v>795.59</v>
      </c>
      <c r="H1197" t="str">
        <f>"INV 4009179324"</f>
        <v>INV 4009179324</v>
      </c>
    </row>
    <row r="1198" spans="1:8" x14ac:dyDescent="0.25">
      <c r="A1198" t="s">
        <v>373</v>
      </c>
      <c r="B1198">
        <v>131206</v>
      </c>
      <c r="C1198" s="5">
        <v>105</v>
      </c>
      <c r="D1198" s="1">
        <v>43899</v>
      </c>
      <c r="E1198" t="str">
        <f>"202003035694"</f>
        <v>202003035694</v>
      </c>
      <c r="F1198" t="str">
        <f>"PER DIEM"</f>
        <v>PER DIEM</v>
      </c>
      <c r="G1198" s="5">
        <v>105</v>
      </c>
      <c r="H1198" t="str">
        <f>"PER DIEM"</f>
        <v>PER DIEM</v>
      </c>
    </row>
    <row r="1199" spans="1:8" x14ac:dyDescent="0.25">
      <c r="A1199" t="s">
        <v>374</v>
      </c>
      <c r="B1199">
        <v>131207</v>
      </c>
      <c r="C1199" s="5">
        <v>448.5</v>
      </c>
      <c r="D1199" s="1">
        <v>43899</v>
      </c>
      <c r="E1199" t="str">
        <f>"202003025561"</f>
        <v>202003025561</v>
      </c>
      <c r="F1199" t="str">
        <f>"TRASH REMOVAL 02/24-02/29/P4"</f>
        <v>TRASH REMOVAL 02/24-02/29/P4</v>
      </c>
      <c r="G1199" s="5">
        <v>227.5</v>
      </c>
      <c r="H1199" t="str">
        <f>"TRASH REMOVAL 02/24-02/29/P4"</f>
        <v>TRASH REMOVAL 02/24-02/29/P4</v>
      </c>
    </row>
    <row r="1200" spans="1:8" x14ac:dyDescent="0.25">
      <c r="E1200" t="str">
        <f>"202003025562"</f>
        <v>202003025562</v>
      </c>
      <c r="F1200" t="str">
        <f>"TRASH REMOVAL 03/02-03/06/P4"</f>
        <v>TRASH REMOVAL 03/02-03/06/P4</v>
      </c>
      <c r="G1200" s="5">
        <v>221</v>
      </c>
      <c r="H1200" t="str">
        <f>"TRASH REMOVAL 03/02-03/06/P4"</f>
        <v>TRASH REMOVAL 03/02-03/06/P4</v>
      </c>
    </row>
    <row r="1201" spans="1:8" x14ac:dyDescent="0.25">
      <c r="A1201" t="s">
        <v>374</v>
      </c>
      <c r="B1201">
        <v>131430</v>
      </c>
      <c r="C1201" s="5">
        <v>442</v>
      </c>
      <c r="D1201" s="1">
        <v>43913</v>
      </c>
      <c r="E1201" t="str">
        <f>"202003176000"</f>
        <v>202003176000</v>
      </c>
      <c r="F1201" t="str">
        <f>"TRASH REMOVAL 03/09-03/20/P4"</f>
        <v>TRASH REMOVAL 03/09-03/20/P4</v>
      </c>
      <c r="G1201" s="5">
        <v>442</v>
      </c>
      <c r="H1201" t="str">
        <f>"TRASH REMOVAL 03/09-03/20/P4"</f>
        <v>TRASH REMOVAL 03/09-03/20/P4</v>
      </c>
    </row>
    <row r="1202" spans="1:8" x14ac:dyDescent="0.25">
      <c r="A1202" t="s">
        <v>375</v>
      </c>
      <c r="B1202">
        <v>2280</v>
      </c>
      <c r="C1202" s="5">
        <v>4420</v>
      </c>
      <c r="D1202" s="1">
        <v>43900</v>
      </c>
      <c r="E1202" t="str">
        <f>"383"</f>
        <v>383</v>
      </c>
      <c r="F1202" t="str">
        <f>"MOWING/SHREDDING/P2"</f>
        <v>MOWING/SHREDDING/P2</v>
      </c>
      <c r="G1202" s="5">
        <v>4420</v>
      </c>
      <c r="H1202" t="str">
        <f>"MOWING/SHREDDING/P2"</f>
        <v>MOWING/SHREDDING/P2</v>
      </c>
    </row>
    <row r="1203" spans="1:8" x14ac:dyDescent="0.25">
      <c r="A1203" t="s">
        <v>376</v>
      </c>
      <c r="B1203">
        <v>2290</v>
      </c>
      <c r="C1203" s="5">
        <v>2387.92</v>
      </c>
      <c r="D1203" s="1">
        <v>43900</v>
      </c>
      <c r="E1203" t="str">
        <f>"95608087"</f>
        <v>95608087</v>
      </c>
      <c r="F1203" t="str">
        <f>"ACCT#10187718/FUEL/PCT#2"</f>
        <v>ACCT#10187718/FUEL/PCT#2</v>
      </c>
      <c r="G1203" s="5">
        <v>2387.92</v>
      </c>
      <c r="H1203" t="str">
        <f>"ACCT#10187718/FUEL/PCT#2"</f>
        <v>ACCT#10187718/FUEL/PCT#2</v>
      </c>
    </row>
    <row r="1204" spans="1:8" x14ac:dyDescent="0.25">
      <c r="A1204" t="s">
        <v>377</v>
      </c>
      <c r="B1204">
        <v>2276</v>
      </c>
      <c r="C1204" s="5">
        <v>87.84</v>
      </c>
      <c r="D1204" s="1">
        <v>43900</v>
      </c>
      <c r="E1204" t="str">
        <f>"20030207"</f>
        <v>20030207</v>
      </c>
      <c r="F1204" t="str">
        <f>"SVC CONTRACT 02/03-03/02"</f>
        <v>SVC CONTRACT 02/03-03/02</v>
      </c>
      <c r="G1204" s="5">
        <v>87.84</v>
      </c>
      <c r="H1204" t="str">
        <f>"SVC CONTRACT 02/03-03/02"</f>
        <v>SVC CONTRACT 02/03-03/02</v>
      </c>
    </row>
    <row r="1205" spans="1:8" x14ac:dyDescent="0.25">
      <c r="A1205" t="s">
        <v>378</v>
      </c>
      <c r="B1205">
        <v>131431</v>
      </c>
      <c r="C1205" s="5">
        <v>738.22</v>
      </c>
      <c r="D1205" s="1">
        <v>43913</v>
      </c>
      <c r="E1205" t="str">
        <f>"78466"</f>
        <v>78466</v>
      </c>
      <c r="F1205" t="str">
        <f>"ACCT#60-03-0970FANNUAL MONITOR"</f>
        <v>ACCT#60-03-0970FANNUAL MONITOR</v>
      </c>
      <c r="G1205" s="5">
        <v>430.68</v>
      </c>
      <c r="H1205" t="str">
        <f>"ACCT#60-03-0970FANNUAL MONITOR"</f>
        <v>ACCT#60-03-0970FANNUAL MONITOR</v>
      </c>
    </row>
    <row r="1206" spans="1:8" x14ac:dyDescent="0.25">
      <c r="E1206" t="str">
        <f>"79084"</f>
        <v>79084</v>
      </c>
      <c r="F1206" t="str">
        <f>"PROJ:BASTROP ANIMAL SHELTER"</f>
        <v>PROJ:BASTROP ANIMAL SHELTER</v>
      </c>
      <c r="G1206" s="5">
        <v>307.54000000000002</v>
      </c>
      <c r="H1206" t="str">
        <f>"PROJ:BASTROP ANIMAL SHELTER"</f>
        <v>PROJ:BASTROP ANIMAL SHELTER</v>
      </c>
    </row>
    <row r="1207" spans="1:8" x14ac:dyDescent="0.25">
      <c r="A1207" t="s">
        <v>379</v>
      </c>
      <c r="B1207">
        <v>131432</v>
      </c>
      <c r="C1207" s="5">
        <v>280</v>
      </c>
      <c r="D1207" s="1">
        <v>43913</v>
      </c>
      <c r="E1207" t="str">
        <f>"20- 0039"</f>
        <v>20- 0039</v>
      </c>
      <c r="F1207" t="str">
        <f>"INV 20-0039"</f>
        <v>INV 20-0039</v>
      </c>
      <c r="G1207" s="5">
        <v>280</v>
      </c>
      <c r="H1207" t="str">
        <f>"INV 20-0039"</f>
        <v>INV 20-0039</v>
      </c>
    </row>
    <row r="1208" spans="1:8" x14ac:dyDescent="0.25">
      <c r="A1208" t="s">
        <v>380</v>
      </c>
      <c r="B1208">
        <v>131208</v>
      </c>
      <c r="C1208" s="5">
        <v>350</v>
      </c>
      <c r="D1208" s="1">
        <v>43899</v>
      </c>
      <c r="E1208" t="str">
        <f>"168939"</f>
        <v>168939</v>
      </c>
      <c r="F1208" t="str">
        <f>"SEMINAR-LINDSEY SIMMONS"</f>
        <v>SEMINAR-LINDSEY SIMMONS</v>
      </c>
      <c r="G1208" s="5">
        <v>350</v>
      </c>
      <c r="H1208" t="str">
        <f>"SEMINAR-LINDSEY SIMMONS"</f>
        <v>SEMINAR-LINDSEY SIMMONS</v>
      </c>
    </row>
    <row r="1209" spans="1:8" x14ac:dyDescent="0.25">
      <c r="A1209" t="s">
        <v>380</v>
      </c>
      <c r="B1209">
        <v>131433</v>
      </c>
      <c r="C1209" s="5">
        <v>107</v>
      </c>
      <c r="D1209" s="1">
        <v>43913</v>
      </c>
      <c r="E1209" t="str">
        <f>"51805"</f>
        <v>51805</v>
      </c>
      <c r="F1209" t="str">
        <f>"LEGISLATIVE UPDATE"</f>
        <v>LEGISLATIVE UPDATE</v>
      </c>
      <c r="G1209" s="5">
        <v>107</v>
      </c>
      <c r="H1209" t="str">
        <f>"LEGISLATIVE UPDATE"</f>
        <v>LEGISLATIVE UPDATE</v>
      </c>
    </row>
    <row r="1210" spans="1:8" x14ac:dyDescent="0.25">
      <c r="A1210" t="s">
        <v>381</v>
      </c>
      <c r="B1210">
        <v>2397</v>
      </c>
      <c r="C1210" s="5">
        <v>217</v>
      </c>
      <c r="D1210" s="1">
        <v>43914</v>
      </c>
      <c r="E1210" t="str">
        <f>"2004055"</f>
        <v>2004055</v>
      </c>
      <c r="F1210" t="str">
        <f>"CUST ID:BASTROP CNTY CT"</f>
        <v>CUST ID:BASTROP CNTY CT</v>
      </c>
      <c r="G1210" s="5">
        <v>217</v>
      </c>
      <c r="H1210" t="str">
        <f>"CUST ID:BASTROP CNTY CT"</f>
        <v>CUST ID:BASTROP CNTY CT</v>
      </c>
    </row>
    <row r="1211" spans="1:8" x14ac:dyDescent="0.25">
      <c r="A1211" t="s">
        <v>382</v>
      </c>
      <c r="B1211">
        <v>131209</v>
      </c>
      <c r="C1211" s="5">
        <v>6231.25</v>
      </c>
      <c r="D1211" s="1">
        <v>43899</v>
      </c>
      <c r="E1211" t="str">
        <f>"202003035654"</f>
        <v>202003035654</v>
      </c>
      <c r="F1211" t="str">
        <f>"Const. Material Testing"</f>
        <v>Const. Material Testing</v>
      </c>
      <c r="G1211" s="5">
        <v>6231.25</v>
      </c>
      <c r="H1211" t="str">
        <f>"Const. Material Testing"</f>
        <v>Const. Material Testing</v>
      </c>
    </row>
    <row r="1212" spans="1:8" x14ac:dyDescent="0.25">
      <c r="A1212" t="s">
        <v>383</v>
      </c>
      <c r="B1212">
        <v>2315</v>
      </c>
      <c r="C1212" s="5">
        <v>139.19999999999999</v>
      </c>
      <c r="D1212" s="1">
        <v>43900</v>
      </c>
      <c r="E1212" t="str">
        <f>"202002255478"</f>
        <v>202002255478</v>
      </c>
      <c r="F1212" t="str">
        <f>"MILEAGE REIMBURSEMENT"</f>
        <v>MILEAGE REIMBURSEMENT</v>
      </c>
      <c r="G1212" s="5">
        <v>139.19999999999999</v>
      </c>
      <c r="H1212" t="str">
        <f>"MILEAGE REIMBURSEMENT"</f>
        <v>MILEAGE REIMBURSEMENT</v>
      </c>
    </row>
    <row r="1213" spans="1:8" x14ac:dyDescent="0.25">
      <c r="A1213" t="s">
        <v>384</v>
      </c>
      <c r="B1213">
        <v>2317</v>
      </c>
      <c r="C1213" s="5">
        <v>57</v>
      </c>
      <c r="D1213" s="1">
        <v>43900</v>
      </c>
      <c r="E1213" t="str">
        <f>"83605"</f>
        <v>83605</v>
      </c>
      <c r="F1213" t="str">
        <f>"ACCT#63275/CUST ID:BASCO1"</f>
        <v>ACCT#63275/CUST ID:BASCO1</v>
      </c>
      <c r="G1213" s="5">
        <v>57</v>
      </c>
      <c r="H1213" t="str">
        <f>"ACCT#63275/CUST ID:BASCO1"</f>
        <v>ACCT#63275/CUST ID:BASCO1</v>
      </c>
    </row>
    <row r="1214" spans="1:8" x14ac:dyDescent="0.25">
      <c r="A1214" t="s">
        <v>385</v>
      </c>
      <c r="B1214">
        <v>131210</v>
      </c>
      <c r="C1214" s="5">
        <v>270.60000000000002</v>
      </c>
      <c r="D1214" s="1">
        <v>43899</v>
      </c>
      <c r="E1214" t="str">
        <f>"0944872-IN"</f>
        <v>0944872-IN</v>
      </c>
      <c r="F1214" t="str">
        <f>"ACCT#01-0112917/EXH FLUID/P2"</f>
        <v>ACCT#01-0112917/EXH FLUID/P2</v>
      </c>
      <c r="G1214" s="5">
        <v>270.60000000000002</v>
      </c>
      <c r="H1214" t="str">
        <f>"ACCT#01-0112917/EXH FLUID/P2"</f>
        <v>ACCT#01-0112917/EXH FLUID/P2</v>
      </c>
    </row>
    <row r="1215" spans="1:8" x14ac:dyDescent="0.25">
      <c r="A1215" t="s">
        <v>385</v>
      </c>
      <c r="B1215">
        <v>131434</v>
      </c>
      <c r="C1215" s="5">
        <v>8822.2800000000007</v>
      </c>
      <c r="D1215" s="1">
        <v>43913</v>
      </c>
      <c r="E1215" t="str">
        <f>"0950456-IN"</f>
        <v>0950456-IN</v>
      </c>
      <c r="F1215" t="str">
        <f>"ACCT#01-0112917/PCT#1"</f>
        <v>ACCT#01-0112917/PCT#1</v>
      </c>
      <c r="G1215" s="5">
        <v>317.57</v>
      </c>
      <c r="H1215" t="str">
        <f>"ACCT#01-0112917/PCT#1"</f>
        <v>ACCT#01-0112917/PCT#1</v>
      </c>
    </row>
    <row r="1216" spans="1:8" x14ac:dyDescent="0.25">
      <c r="E1216" t="str">
        <f>"0950967-IN"</f>
        <v>0950967-IN</v>
      </c>
      <c r="F1216" t="str">
        <f>"ACCT#01-0112917/PCT#4"</f>
        <v>ACCT#01-0112917/PCT#4</v>
      </c>
      <c r="G1216" s="5">
        <v>351.88</v>
      </c>
      <c r="H1216" t="str">
        <f>"ACCT#01-0112917/PCT#4"</f>
        <v>ACCT#01-0112917/PCT#4</v>
      </c>
    </row>
    <row r="1217" spans="1:8" x14ac:dyDescent="0.25">
      <c r="E1217" t="str">
        <f>"0951191-IN"</f>
        <v>0951191-IN</v>
      </c>
      <c r="F1217" t="str">
        <f>"ACCT#01-0112917/PCT#4"</f>
        <v>ACCT#01-0112917/PCT#4</v>
      </c>
      <c r="G1217" s="5">
        <v>5293.02</v>
      </c>
      <c r="H1217" t="str">
        <f>"ACCT#01-0112917/PCT#4"</f>
        <v>ACCT#01-0112917/PCT#4</v>
      </c>
    </row>
    <row r="1218" spans="1:8" x14ac:dyDescent="0.25">
      <c r="E1218" t="str">
        <f>"0953463-IN"</f>
        <v>0953463-IN</v>
      </c>
      <c r="F1218" t="str">
        <f>"ACCT#01-0112917/FUEL/PCT#3"</f>
        <v>ACCT#01-0112917/FUEL/PCT#3</v>
      </c>
      <c r="G1218" s="5">
        <v>2859.81</v>
      </c>
      <c r="H1218" t="str">
        <f>"ACCT#01-0112917/FUEL/PCT#3"</f>
        <v>ACCT#01-0112917/FUEL/PCT#3</v>
      </c>
    </row>
    <row r="1219" spans="1:8" x14ac:dyDescent="0.25">
      <c r="A1219" t="s">
        <v>386</v>
      </c>
      <c r="B1219">
        <v>131211</v>
      </c>
      <c r="C1219" s="5">
        <v>71</v>
      </c>
      <c r="D1219" s="1">
        <v>43899</v>
      </c>
      <c r="E1219" t="str">
        <f>"4805"</f>
        <v>4805</v>
      </c>
      <c r="F1219" t="str">
        <f>"INV 4805"</f>
        <v>INV 4805</v>
      </c>
      <c r="G1219" s="5">
        <v>71</v>
      </c>
      <c r="H1219" t="str">
        <f>"INV 4805"</f>
        <v>INV 4805</v>
      </c>
    </row>
    <row r="1220" spans="1:8" x14ac:dyDescent="0.25">
      <c r="A1220" t="s">
        <v>386</v>
      </c>
      <c r="B1220">
        <v>131435</v>
      </c>
      <c r="C1220" s="5">
        <v>500</v>
      </c>
      <c r="D1220" s="1">
        <v>43913</v>
      </c>
      <c r="E1220" t="str">
        <f>"202003176017"</f>
        <v>202003176017</v>
      </c>
      <c r="F1220" t="str">
        <f>"APRIL BOND RENEWALS"</f>
        <v>APRIL BOND RENEWALS</v>
      </c>
      <c r="G1220" s="5">
        <v>500</v>
      </c>
      <c r="H1220" t="str">
        <f>"APRIL BOND RENEWALS"</f>
        <v>APRIL BOND RENEWALS</v>
      </c>
    </row>
    <row r="1221" spans="1:8" x14ac:dyDescent="0.25">
      <c r="A1221" t="s">
        <v>387</v>
      </c>
      <c r="B1221">
        <v>131212</v>
      </c>
      <c r="C1221" s="5">
        <v>330</v>
      </c>
      <c r="D1221" s="1">
        <v>43899</v>
      </c>
      <c r="E1221" t="str">
        <f>"299554"</f>
        <v>299554</v>
      </c>
      <c r="F1221" t="str">
        <f>"MEMBER ID:232001/LAURIE INGRAM"</f>
        <v>MEMBER ID:232001/LAURIE INGRAM</v>
      </c>
      <c r="G1221" s="5">
        <v>180</v>
      </c>
      <c r="H1221" t="str">
        <f>"MEMBER ID:232001/LAURIE INGRAM"</f>
        <v>MEMBER ID:232001/LAURIE INGRAM</v>
      </c>
    </row>
    <row r="1222" spans="1:8" x14ac:dyDescent="0.25">
      <c r="E1222" t="str">
        <f>"64148"</f>
        <v>64148</v>
      </c>
      <c r="F1222" t="str">
        <f>"ACCT#232001/01/01 - 12/31/2020"</f>
        <v>ACCT#232001/01/01 - 12/31/2020</v>
      </c>
      <c r="G1222" s="5">
        <v>150</v>
      </c>
      <c r="H1222" t="str">
        <f>"ACCT#232001/01/01 - 12/31/2020"</f>
        <v>ACCT#232001/01/01 - 12/31/2020</v>
      </c>
    </row>
    <row r="1223" spans="1:8" x14ac:dyDescent="0.25">
      <c r="A1223" t="s">
        <v>387</v>
      </c>
      <c r="B1223">
        <v>131466</v>
      </c>
      <c r="C1223" s="5">
        <v>82935.09</v>
      </c>
      <c r="D1223" s="1">
        <v>43916</v>
      </c>
      <c r="E1223" t="str">
        <f>"27081-WC2"</f>
        <v>27081-WC2</v>
      </c>
      <c r="F1223" t="str">
        <f>"2ND QTR 2020 WRKRS COMP/#0110"</f>
        <v>2ND QTR 2020 WRKRS COMP/#0110</v>
      </c>
      <c r="G1223" s="5">
        <v>82935.09</v>
      </c>
      <c r="H1223" t="str">
        <f t="shared" ref="H1223:H1269" si="20">"2ND QTR 2020 WRKRS COMP/#0110"</f>
        <v>2ND QTR 2020 WRKRS COMP/#0110</v>
      </c>
    </row>
    <row r="1224" spans="1:8" x14ac:dyDescent="0.25">
      <c r="E1224" t="str">
        <f>""</f>
        <v/>
      </c>
      <c r="F1224" t="str">
        <f>""</f>
        <v/>
      </c>
      <c r="H1224" t="str">
        <f t="shared" si="20"/>
        <v>2ND QTR 2020 WRKRS COMP/#0110</v>
      </c>
    </row>
    <row r="1225" spans="1:8" x14ac:dyDescent="0.25">
      <c r="E1225" t="str">
        <f>""</f>
        <v/>
      </c>
      <c r="F1225" t="str">
        <f>""</f>
        <v/>
      </c>
      <c r="H1225" t="str">
        <f t="shared" si="20"/>
        <v>2ND QTR 2020 WRKRS COMP/#0110</v>
      </c>
    </row>
    <row r="1226" spans="1:8" x14ac:dyDescent="0.25">
      <c r="E1226" t="str">
        <f>""</f>
        <v/>
      </c>
      <c r="F1226" t="str">
        <f>""</f>
        <v/>
      </c>
      <c r="H1226" t="str">
        <f t="shared" si="20"/>
        <v>2ND QTR 2020 WRKRS COMP/#0110</v>
      </c>
    </row>
    <row r="1227" spans="1:8" x14ac:dyDescent="0.25">
      <c r="E1227" t="str">
        <f>""</f>
        <v/>
      </c>
      <c r="F1227" t="str">
        <f>""</f>
        <v/>
      </c>
      <c r="H1227" t="str">
        <f t="shared" si="20"/>
        <v>2ND QTR 2020 WRKRS COMP/#0110</v>
      </c>
    </row>
    <row r="1228" spans="1:8" x14ac:dyDescent="0.25">
      <c r="E1228" t="str">
        <f>""</f>
        <v/>
      </c>
      <c r="F1228" t="str">
        <f>""</f>
        <v/>
      </c>
      <c r="H1228" t="str">
        <f t="shared" si="20"/>
        <v>2ND QTR 2020 WRKRS COMP/#0110</v>
      </c>
    </row>
    <row r="1229" spans="1:8" x14ac:dyDescent="0.25">
      <c r="E1229" t="str">
        <f>""</f>
        <v/>
      </c>
      <c r="F1229" t="str">
        <f>""</f>
        <v/>
      </c>
      <c r="H1229" t="str">
        <f t="shared" si="20"/>
        <v>2ND QTR 2020 WRKRS COMP/#0110</v>
      </c>
    </row>
    <row r="1230" spans="1:8" x14ac:dyDescent="0.25">
      <c r="E1230" t="str">
        <f>""</f>
        <v/>
      </c>
      <c r="F1230" t="str">
        <f>""</f>
        <v/>
      </c>
      <c r="H1230" t="str">
        <f t="shared" si="20"/>
        <v>2ND QTR 2020 WRKRS COMP/#0110</v>
      </c>
    </row>
    <row r="1231" spans="1:8" x14ac:dyDescent="0.25">
      <c r="E1231" t="str">
        <f>""</f>
        <v/>
      </c>
      <c r="F1231" t="str">
        <f>""</f>
        <v/>
      </c>
      <c r="H1231" t="str">
        <f t="shared" si="20"/>
        <v>2ND QTR 2020 WRKRS COMP/#0110</v>
      </c>
    </row>
    <row r="1232" spans="1:8" x14ac:dyDescent="0.25">
      <c r="E1232" t="str">
        <f>""</f>
        <v/>
      </c>
      <c r="F1232" t="str">
        <f>""</f>
        <v/>
      </c>
      <c r="H1232" t="str">
        <f t="shared" si="20"/>
        <v>2ND QTR 2020 WRKRS COMP/#0110</v>
      </c>
    </row>
    <row r="1233" spans="5:8" x14ac:dyDescent="0.25">
      <c r="E1233" t="str">
        <f>""</f>
        <v/>
      </c>
      <c r="F1233" t="str">
        <f>""</f>
        <v/>
      </c>
      <c r="H1233" t="str">
        <f t="shared" si="20"/>
        <v>2ND QTR 2020 WRKRS COMP/#0110</v>
      </c>
    </row>
    <row r="1234" spans="5:8" x14ac:dyDescent="0.25">
      <c r="E1234" t="str">
        <f>""</f>
        <v/>
      </c>
      <c r="F1234" t="str">
        <f>""</f>
        <v/>
      </c>
      <c r="H1234" t="str">
        <f t="shared" si="20"/>
        <v>2ND QTR 2020 WRKRS COMP/#0110</v>
      </c>
    </row>
    <row r="1235" spans="5:8" x14ac:dyDescent="0.25">
      <c r="E1235" t="str">
        <f>""</f>
        <v/>
      </c>
      <c r="F1235" t="str">
        <f>""</f>
        <v/>
      </c>
      <c r="H1235" t="str">
        <f t="shared" si="20"/>
        <v>2ND QTR 2020 WRKRS COMP/#0110</v>
      </c>
    </row>
    <row r="1236" spans="5:8" x14ac:dyDescent="0.25">
      <c r="E1236" t="str">
        <f>""</f>
        <v/>
      </c>
      <c r="F1236" t="str">
        <f>""</f>
        <v/>
      </c>
      <c r="H1236" t="str">
        <f t="shared" si="20"/>
        <v>2ND QTR 2020 WRKRS COMP/#0110</v>
      </c>
    </row>
    <row r="1237" spans="5:8" x14ac:dyDescent="0.25">
      <c r="E1237" t="str">
        <f>""</f>
        <v/>
      </c>
      <c r="F1237" t="str">
        <f>""</f>
        <v/>
      </c>
      <c r="H1237" t="str">
        <f t="shared" si="20"/>
        <v>2ND QTR 2020 WRKRS COMP/#0110</v>
      </c>
    </row>
    <row r="1238" spans="5:8" x14ac:dyDescent="0.25">
      <c r="E1238" t="str">
        <f>""</f>
        <v/>
      </c>
      <c r="F1238" t="str">
        <f>""</f>
        <v/>
      </c>
      <c r="H1238" t="str">
        <f t="shared" si="20"/>
        <v>2ND QTR 2020 WRKRS COMP/#0110</v>
      </c>
    </row>
    <row r="1239" spans="5:8" x14ac:dyDescent="0.25">
      <c r="E1239" t="str">
        <f>""</f>
        <v/>
      </c>
      <c r="F1239" t="str">
        <f>""</f>
        <v/>
      </c>
      <c r="H1239" t="str">
        <f t="shared" si="20"/>
        <v>2ND QTR 2020 WRKRS COMP/#0110</v>
      </c>
    </row>
    <row r="1240" spans="5:8" x14ac:dyDescent="0.25">
      <c r="E1240" t="str">
        <f>""</f>
        <v/>
      </c>
      <c r="F1240" t="str">
        <f>""</f>
        <v/>
      </c>
      <c r="H1240" t="str">
        <f t="shared" si="20"/>
        <v>2ND QTR 2020 WRKRS COMP/#0110</v>
      </c>
    </row>
    <row r="1241" spans="5:8" x14ac:dyDescent="0.25">
      <c r="E1241" t="str">
        <f>""</f>
        <v/>
      </c>
      <c r="F1241" t="str">
        <f>""</f>
        <v/>
      </c>
      <c r="H1241" t="str">
        <f t="shared" si="20"/>
        <v>2ND QTR 2020 WRKRS COMP/#0110</v>
      </c>
    </row>
    <row r="1242" spans="5:8" x14ac:dyDescent="0.25">
      <c r="E1242" t="str">
        <f>""</f>
        <v/>
      </c>
      <c r="F1242" t="str">
        <f>""</f>
        <v/>
      </c>
      <c r="H1242" t="str">
        <f t="shared" si="20"/>
        <v>2ND QTR 2020 WRKRS COMP/#0110</v>
      </c>
    </row>
    <row r="1243" spans="5:8" x14ac:dyDescent="0.25">
      <c r="E1243" t="str">
        <f>""</f>
        <v/>
      </c>
      <c r="F1243" t="str">
        <f>""</f>
        <v/>
      </c>
      <c r="H1243" t="str">
        <f t="shared" si="20"/>
        <v>2ND QTR 2020 WRKRS COMP/#0110</v>
      </c>
    </row>
    <row r="1244" spans="5:8" x14ac:dyDescent="0.25">
      <c r="E1244" t="str">
        <f>""</f>
        <v/>
      </c>
      <c r="F1244" t="str">
        <f>""</f>
        <v/>
      </c>
      <c r="H1244" t="str">
        <f t="shared" si="20"/>
        <v>2ND QTR 2020 WRKRS COMP/#0110</v>
      </c>
    </row>
    <row r="1245" spans="5:8" x14ac:dyDescent="0.25">
      <c r="E1245" t="str">
        <f>""</f>
        <v/>
      </c>
      <c r="F1245" t="str">
        <f>""</f>
        <v/>
      </c>
      <c r="H1245" t="str">
        <f t="shared" si="20"/>
        <v>2ND QTR 2020 WRKRS COMP/#0110</v>
      </c>
    </row>
    <row r="1246" spans="5:8" x14ac:dyDescent="0.25">
      <c r="E1246" t="str">
        <f>""</f>
        <v/>
      </c>
      <c r="F1246" t="str">
        <f>""</f>
        <v/>
      </c>
      <c r="H1246" t="str">
        <f t="shared" si="20"/>
        <v>2ND QTR 2020 WRKRS COMP/#0110</v>
      </c>
    </row>
    <row r="1247" spans="5:8" x14ac:dyDescent="0.25">
      <c r="E1247" t="str">
        <f>""</f>
        <v/>
      </c>
      <c r="F1247" t="str">
        <f>""</f>
        <v/>
      </c>
      <c r="H1247" t="str">
        <f t="shared" si="20"/>
        <v>2ND QTR 2020 WRKRS COMP/#0110</v>
      </c>
    </row>
    <row r="1248" spans="5:8" x14ac:dyDescent="0.25">
      <c r="E1248" t="str">
        <f>""</f>
        <v/>
      </c>
      <c r="F1248" t="str">
        <f>""</f>
        <v/>
      </c>
      <c r="H1248" t="str">
        <f t="shared" si="20"/>
        <v>2ND QTR 2020 WRKRS COMP/#0110</v>
      </c>
    </row>
    <row r="1249" spans="5:8" x14ac:dyDescent="0.25">
      <c r="E1249" t="str">
        <f>""</f>
        <v/>
      </c>
      <c r="F1249" t="str">
        <f>""</f>
        <v/>
      </c>
      <c r="H1249" t="str">
        <f t="shared" si="20"/>
        <v>2ND QTR 2020 WRKRS COMP/#0110</v>
      </c>
    </row>
    <row r="1250" spans="5:8" x14ac:dyDescent="0.25">
      <c r="E1250" t="str">
        <f>""</f>
        <v/>
      </c>
      <c r="F1250" t="str">
        <f>""</f>
        <v/>
      </c>
      <c r="H1250" t="str">
        <f t="shared" si="20"/>
        <v>2ND QTR 2020 WRKRS COMP/#0110</v>
      </c>
    </row>
    <row r="1251" spans="5:8" x14ac:dyDescent="0.25">
      <c r="E1251" t="str">
        <f>""</f>
        <v/>
      </c>
      <c r="F1251" t="str">
        <f>""</f>
        <v/>
      </c>
      <c r="H1251" t="str">
        <f t="shared" si="20"/>
        <v>2ND QTR 2020 WRKRS COMP/#0110</v>
      </c>
    </row>
    <row r="1252" spans="5:8" x14ac:dyDescent="0.25">
      <c r="E1252" t="str">
        <f>""</f>
        <v/>
      </c>
      <c r="F1252" t="str">
        <f>""</f>
        <v/>
      </c>
      <c r="H1252" t="str">
        <f t="shared" si="20"/>
        <v>2ND QTR 2020 WRKRS COMP/#0110</v>
      </c>
    </row>
    <row r="1253" spans="5:8" x14ac:dyDescent="0.25">
      <c r="E1253" t="str">
        <f>""</f>
        <v/>
      </c>
      <c r="F1253" t="str">
        <f>""</f>
        <v/>
      </c>
      <c r="H1253" t="str">
        <f t="shared" si="20"/>
        <v>2ND QTR 2020 WRKRS COMP/#0110</v>
      </c>
    </row>
    <row r="1254" spans="5:8" x14ac:dyDescent="0.25">
      <c r="E1254" t="str">
        <f>""</f>
        <v/>
      </c>
      <c r="F1254" t="str">
        <f>""</f>
        <v/>
      </c>
      <c r="H1254" t="str">
        <f t="shared" si="20"/>
        <v>2ND QTR 2020 WRKRS COMP/#0110</v>
      </c>
    </row>
    <row r="1255" spans="5:8" x14ac:dyDescent="0.25">
      <c r="E1255" t="str">
        <f>""</f>
        <v/>
      </c>
      <c r="F1255" t="str">
        <f>""</f>
        <v/>
      </c>
      <c r="H1255" t="str">
        <f t="shared" si="20"/>
        <v>2ND QTR 2020 WRKRS COMP/#0110</v>
      </c>
    </row>
    <row r="1256" spans="5:8" x14ac:dyDescent="0.25">
      <c r="E1256" t="str">
        <f>""</f>
        <v/>
      </c>
      <c r="F1256" t="str">
        <f>""</f>
        <v/>
      </c>
      <c r="H1256" t="str">
        <f t="shared" si="20"/>
        <v>2ND QTR 2020 WRKRS COMP/#0110</v>
      </c>
    </row>
    <row r="1257" spans="5:8" x14ac:dyDescent="0.25">
      <c r="E1257" t="str">
        <f>""</f>
        <v/>
      </c>
      <c r="F1257" t="str">
        <f>""</f>
        <v/>
      </c>
      <c r="H1257" t="str">
        <f t="shared" si="20"/>
        <v>2ND QTR 2020 WRKRS COMP/#0110</v>
      </c>
    </row>
    <row r="1258" spans="5:8" x14ac:dyDescent="0.25">
      <c r="E1258" t="str">
        <f>""</f>
        <v/>
      </c>
      <c r="F1258" t="str">
        <f>""</f>
        <v/>
      </c>
      <c r="H1258" t="str">
        <f t="shared" si="20"/>
        <v>2ND QTR 2020 WRKRS COMP/#0110</v>
      </c>
    </row>
    <row r="1259" spans="5:8" x14ac:dyDescent="0.25">
      <c r="E1259" t="str">
        <f>""</f>
        <v/>
      </c>
      <c r="F1259" t="str">
        <f>""</f>
        <v/>
      </c>
      <c r="H1259" t="str">
        <f t="shared" si="20"/>
        <v>2ND QTR 2020 WRKRS COMP/#0110</v>
      </c>
    </row>
    <row r="1260" spans="5:8" x14ac:dyDescent="0.25">
      <c r="E1260" t="str">
        <f>""</f>
        <v/>
      </c>
      <c r="F1260" t="str">
        <f>""</f>
        <v/>
      </c>
      <c r="H1260" t="str">
        <f t="shared" si="20"/>
        <v>2ND QTR 2020 WRKRS COMP/#0110</v>
      </c>
    </row>
    <row r="1261" spans="5:8" x14ac:dyDescent="0.25">
      <c r="E1261" t="str">
        <f>""</f>
        <v/>
      </c>
      <c r="F1261" t="str">
        <f>""</f>
        <v/>
      </c>
      <c r="H1261" t="str">
        <f t="shared" si="20"/>
        <v>2ND QTR 2020 WRKRS COMP/#0110</v>
      </c>
    </row>
    <row r="1262" spans="5:8" x14ac:dyDescent="0.25">
      <c r="E1262" t="str">
        <f>""</f>
        <v/>
      </c>
      <c r="F1262" t="str">
        <f>""</f>
        <v/>
      </c>
      <c r="H1262" t="str">
        <f t="shared" si="20"/>
        <v>2ND QTR 2020 WRKRS COMP/#0110</v>
      </c>
    </row>
    <row r="1263" spans="5:8" x14ac:dyDescent="0.25">
      <c r="E1263" t="str">
        <f>""</f>
        <v/>
      </c>
      <c r="F1263" t="str">
        <f>""</f>
        <v/>
      </c>
      <c r="H1263" t="str">
        <f t="shared" si="20"/>
        <v>2ND QTR 2020 WRKRS COMP/#0110</v>
      </c>
    </row>
    <row r="1264" spans="5:8" x14ac:dyDescent="0.25">
      <c r="E1264" t="str">
        <f>""</f>
        <v/>
      </c>
      <c r="F1264" t="str">
        <f>""</f>
        <v/>
      </c>
      <c r="H1264" t="str">
        <f t="shared" si="20"/>
        <v>2ND QTR 2020 WRKRS COMP/#0110</v>
      </c>
    </row>
    <row r="1265" spans="1:8" x14ac:dyDescent="0.25">
      <c r="E1265" t="str">
        <f>""</f>
        <v/>
      </c>
      <c r="F1265" t="str">
        <f>""</f>
        <v/>
      </c>
      <c r="H1265" t="str">
        <f t="shared" si="20"/>
        <v>2ND QTR 2020 WRKRS COMP/#0110</v>
      </c>
    </row>
    <row r="1266" spans="1:8" x14ac:dyDescent="0.25">
      <c r="E1266" t="str">
        <f>""</f>
        <v/>
      </c>
      <c r="F1266" t="str">
        <f>""</f>
        <v/>
      </c>
      <c r="H1266" t="str">
        <f t="shared" si="20"/>
        <v>2ND QTR 2020 WRKRS COMP/#0110</v>
      </c>
    </row>
    <row r="1267" spans="1:8" x14ac:dyDescent="0.25">
      <c r="E1267" t="str">
        <f>""</f>
        <v/>
      </c>
      <c r="F1267" t="str">
        <f>""</f>
        <v/>
      </c>
      <c r="H1267" t="str">
        <f t="shared" si="20"/>
        <v>2ND QTR 2020 WRKRS COMP/#0110</v>
      </c>
    </row>
    <row r="1268" spans="1:8" x14ac:dyDescent="0.25">
      <c r="E1268" t="str">
        <f>""</f>
        <v/>
      </c>
      <c r="F1268" t="str">
        <f>""</f>
        <v/>
      </c>
      <c r="H1268" t="str">
        <f t="shared" si="20"/>
        <v>2ND QTR 2020 WRKRS COMP/#0110</v>
      </c>
    </row>
    <row r="1269" spans="1:8" x14ac:dyDescent="0.25">
      <c r="E1269" t="str">
        <f>""</f>
        <v/>
      </c>
      <c r="F1269" t="str">
        <f>""</f>
        <v/>
      </c>
      <c r="H1269" t="str">
        <f t="shared" si="20"/>
        <v>2ND QTR 2020 WRKRS COMP/#0110</v>
      </c>
    </row>
    <row r="1270" spans="1:8" x14ac:dyDescent="0.25">
      <c r="A1270" t="s">
        <v>388</v>
      </c>
      <c r="B1270">
        <v>131213</v>
      </c>
      <c r="C1270" s="5">
        <v>1342.8</v>
      </c>
      <c r="D1270" s="1">
        <v>43899</v>
      </c>
      <c r="E1270" t="str">
        <f>"147165"</f>
        <v>147165</v>
      </c>
      <c r="F1270" t="str">
        <f>"REF#Y-3807/PCT#1"</f>
        <v>REF#Y-3807/PCT#1</v>
      </c>
      <c r="G1270" s="5">
        <v>352</v>
      </c>
      <c r="H1270" t="str">
        <f>"REF#Y-3807/PCT#1"</f>
        <v>REF#Y-3807/PCT#1</v>
      </c>
    </row>
    <row r="1271" spans="1:8" x14ac:dyDescent="0.25">
      <c r="E1271" t="str">
        <f>"147277"</f>
        <v>147277</v>
      </c>
      <c r="F1271" t="str">
        <f>"REF#Y-3829/PCT#4"</f>
        <v>REF#Y-3829/PCT#4</v>
      </c>
      <c r="G1271" s="5">
        <v>41.8</v>
      </c>
      <c r="H1271" t="str">
        <f>"REF#Y-3829/PCT#4"</f>
        <v>REF#Y-3829/PCT#4</v>
      </c>
    </row>
    <row r="1272" spans="1:8" x14ac:dyDescent="0.25">
      <c r="E1272" t="str">
        <f>"147280"</f>
        <v>147280</v>
      </c>
      <c r="F1272" t="str">
        <f>"REF#Y-3830/PCT#1"</f>
        <v>REF#Y-3830/PCT#1</v>
      </c>
      <c r="G1272" s="5">
        <v>949</v>
      </c>
      <c r="H1272" t="str">
        <f>"REF#Y-3830/PCT#1"</f>
        <v>REF#Y-3830/PCT#1</v>
      </c>
    </row>
    <row r="1273" spans="1:8" x14ac:dyDescent="0.25">
      <c r="A1273" t="s">
        <v>389</v>
      </c>
      <c r="B1273">
        <v>131436</v>
      </c>
      <c r="C1273" s="5">
        <v>70</v>
      </c>
      <c r="D1273" s="1">
        <v>43913</v>
      </c>
      <c r="E1273" t="s">
        <v>390</v>
      </c>
      <c r="F1273" t="str">
        <f>"RESTITUTION - GILBERT CORONA"</f>
        <v>RESTITUTION - GILBERT CORONA</v>
      </c>
      <c r="G1273" s="5">
        <v>20</v>
      </c>
      <c r="H1273" t="str">
        <f>"RESTITUTION - GILBERT CORONA"</f>
        <v>RESTITUTION - GILBERT CORONA</v>
      </c>
    </row>
    <row r="1274" spans="1:8" x14ac:dyDescent="0.25">
      <c r="E1274" t="s">
        <v>391</v>
      </c>
      <c r="F1274" t="str">
        <f>"RESTITUTION - BLAKE HARRIS"</f>
        <v>RESTITUTION - BLAKE HARRIS</v>
      </c>
      <c r="G1274" s="5">
        <v>50</v>
      </c>
      <c r="H1274" t="str">
        <f>"RESTITUTION - BLAKE HARRIS"</f>
        <v>RESTITUTION - BLAKE HARRIS</v>
      </c>
    </row>
    <row r="1275" spans="1:8" x14ac:dyDescent="0.25">
      <c r="A1275" t="s">
        <v>392</v>
      </c>
      <c r="B1275">
        <v>131214</v>
      </c>
      <c r="C1275" s="5">
        <v>155</v>
      </c>
      <c r="D1275" s="1">
        <v>43899</v>
      </c>
      <c r="E1275" t="str">
        <f>"5287666"</f>
        <v>5287666</v>
      </c>
      <c r="F1275" t="str">
        <f>"CUST#1-238865/TAHITIAN VILLAGE"</f>
        <v>CUST#1-238865/TAHITIAN VILLAGE</v>
      </c>
      <c r="G1275" s="5">
        <v>155</v>
      </c>
      <c r="H1275" t="str">
        <f>"CUST#1-238865/TAHITIAN VILLAGE"</f>
        <v>CUST#1-238865/TAHITIAN VILLAGE</v>
      </c>
    </row>
    <row r="1276" spans="1:8" x14ac:dyDescent="0.25">
      <c r="A1276" t="s">
        <v>393</v>
      </c>
      <c r="B1276">
        <v>131216</v>
      </c>
      <c r="C1276" s="5">
        <v>375</v>
      </c>
      <c r="D1276" s="1">
        <v>43899</v>
      </c>
      <c r="E1276" t="str">
        <f>"18535"</f>
        <v>18535</v>
      </c>
      <c r="F1276" t="str">
        <f>"2020 MEMBERSHIP DUES-A. BROWN"</f>
        <v>2020 MEMBERSHIP DUES-A. BROWN</v>
      </c>
      <c r="G1276" s="5">
        <v>75</v>
      </c>
      <c r="H1276" t="str">
        <f>"2020 MEMBERSHIP DUES-A. BROWN"</f>
        <v>2020 MEMBERSHIP DUES-A. BROWN</v>
      </c>
    </row>
    <row r="1277" spans="1:8" x14ac:dyDescent="0.25">
      <c r="E1277" t="str">
        <f>"18633"</f>
        <v>18633</v>
      </c>
      <c r="F1277" t="str">
        <f>"2020 MEMBERSHIP DUES/R DAVIS"</f>
        <v>2020 MEMBERSHIP DUES/R DAVIS</v>
      </c>
      <c r="G1277" s="5">
        <v>75</v>
      </c>
      <c r="H1277" t="str">
        <f>"2020 MEMBERSHIP DUES/ACCT#637"</f>
        <v>2020 MEMBERSHIP DUES/ACCT#637</v>
      </c>
    </row>
    <row r="1278" spans="1:8" x14ac:dyDescent="0.25">
      <c r="E1278" t="str">
        <f>"18789"</f>
        <v>18789</v>
      </c>
      <c r="F1278" t="str">
        <f>"2020 MEMBERSHIP DUES/K. HANNA"</f>
        <v>2020 MEMBERSHIP DUES/K. HANNA</v>
      </c>
      <c r="G1278" s="5">
        <v>75</v>
      </c>
      <c r="H1278" t="str">
        <f>"2020 MEMBERSHIP DUES"</f>
        <v>2020 MEMBERSHIP DUES</v>
      </c>
    </row>
    <row r="1279" spans="1:8" x14ac:dyDescent="0.25">
      <c r="E1279" t="str">
        <f>"19046"</f>
        <v>19046</v>
      </c>
      <c r="F1279" t="str">
        <f>"2020 MEMBERSHIP DUES-D. MONTOY"</f>
        <v>2020 MEMBERSHIP DUES-D. MONTOY</v>
      </c>
      <c r="G1279" s="5">
        <v>75</v>
      </c>
      <c r="H1279" t="str">
        <f>"2020 MEMBERSHIP DUES-D. MONTOY"</f>
        <v>2020 MEMBERSHIP DUES-D. MONTOY</v>
      </c>
    </row>
    <row r="1280" spans="1:8" x14ac:dyDescent="0.25">
      <c r="E1280" t="str">
        <f>"19331"</f>
        <v>19331</v>
      </c>
      <c r="F1280" t="str">
        <f>"2020 MEMBERSHIP RATES-D. TINER"</f>
        <v>2020 MEMBERSHIP RATES-D. TINER</v>
      </c>
      <c r="G1280" s="5">
        <v>75</v>
      </c>
      <c r="H1280" t="str">
        <f>"2020 MEMBERSHIP RATES-D. TINER"</f>
        <v>2020 MEMBERSHIP RATES-D. TINER</v>
      </c>
    </row>
    <row r="1281" spans="1:8" x14ac:dyDescent="0.25">
      <c r="A1281" t="s">
        <v>394</v>
      </c>
      <c r="B1281">
        <v>131217</v>
      </c>
      <c r="C1281" s="5">
        <v>1633.5</v>
      </c>
      <c r="D1281" s="1">
        <v>43899</v>
      </c>
      <c r="E1281" t="str">
        <f>"200848843"</f>
        <v>200848843</v>
      </c>
      <c r="F1281" t="str">
        <f>"CUST#255120/PCT#2"</f>
        <v>CUST#255120/PCT#2</v>
      </c>
      <c r="G1281" s="5">
        <v>1633.5</v>
      </c>
      <c r="H1281" t="str">
        <f>"CUST#255120/PCT#2"</f>
        <v>CUST#255120/PCT#2</v>
      </c>
    </row>
    <row r="1282" spans="1:8" x14ac:dyDescent="0.25">
      <c r="A1282" t="s">
        <v>395</v>
      </c>
      <c r="B1282">
        <v>131218</v>
      </c>
      <c r="C1282" s="5">
        <v>80.75</v>
      </c>
      <c r="D1282" s="1">
        <v>43899</v>
      </c>
      <c r="E1282" t="str">
        <f>"1CO-1378-09"</f>
        <v>1CO-1378-09</v>
      </c>
      <c r="F1282" t="str">
        <f>"A949545 - E. DIAZ"</f>
        <v>A949545 - E. DIAZ</v>
      </c>
      <c r="G1282" s="5">
        <v>80.75</v>
      </c>
      <c r="H1282" t="str">
        <f>"A949545 - E. DIAZ"</f>
        <v>A949545 - E. DIAZ</v>
      </c>
    </row>
    <row r="1283" spans="1:8" x14ac:dyDescent="0.25">
      <c r="A1283" t="s">
        <v>396</v>
      </c>
      <c r="B1283">
        <v>2372</v>
      </c>
      <c r="C1283" s="5">
        <v>436.72</v>
      </c>
      <c r="D1283" s="1">
        <v>43914</v>
      </c>
      <c r="E1283" t="str">
        <f>"202003176038"</f>
        <v>202003176038</v>
      </c>
      <c r="F1283" t="str">
        <f>"INDIGENT HEALTH"</f>
        <v>INDIGENT HEALTH</v>
      </c>
      <c r="G1283" s="5">
        <v>436.72</v>
      </c>
      <c r="H1283" t="str">
        <f>"INDIGENT HEALTH"</f>
        <v>INDIGENT HEALTH</v>
      </c>
    </row>
    <row r="1284" spans="1:8" x14ac:dyDescent="0.25">
      <c r="A1284" t="s">
        <v>397</v>
      </c>
      <c r="B1284">
        <v>131219</v>
      </c>
      <c r="C1284" s="5">
        <v>1541</v>
      </c>
      <c r="D1284" s="1">
        <v>43899</v>
      </c>
      <c r="E1284" t="str">
        <f>"145718"</f>
        <v>145718</v>
      </c>
      <c r="F1284" t="str">
        <f>"ACCT#188757/RD &amp; BRIDGE/SIGN"</f>
        <v>ACCT#188757/RD &amp; BRIDGE/SIGN</v>
      </c>
      <c r="G1284" s="5">
        <v>95</v>
      </c>
      <c r="H1284" t="str">
        <f>"ACCT#188757/RD &amp; BRIDGE/SIGN"</f>
        <v>ACCT#188757/RD &amp; BRIDGE/SIGN</v>
      </c>
    </row>
    <row r="1285" spans="1:8" x14ac:dyDescent="0.25">
      <c r="E1285" t="str">
        <f>"145732"</f>
        <v>145732</v>
      </c>
      <c r="F1285" t="str">
        <f>"ACCT#188757/COM CT JUV BOOT CA"</f>
        <v>ACCT#188757/COM CT JUV BOOT CA</v>
      </c>
      <c r="G1285" s="5">
        <v>118.5</v>
      </c>
      <c r="H1285" t="str">
        <f>"ACCT#188757/COM CT JUV BOOT CA"</f>
        <v>ACCT#188757/COM CT JUV BOOT CA</v>
      </c>
    </row>
    <row r="1286" spans="1:8" x14ac:dyDescent="0.25">
      <c r="E1286" t="str">
        <f>"146078"</f>
        <v>146078</v>
      </c>
      <c r="F1286" t="str">
        <f>"ACCT#188757/MIKE FISHER BLDG"</f>
        <v>ACCT#188757/MIKE FISHER BLDG</v>
      </c>
      <c r="G1286" s="5">
        <v>112</v>
      </c>
      <c r="H1286" t="str">
        <f>"ACCT#188757/MIKE FISHER BLDG"</f>
        <v>ACCT#188757/MIKE FISHER BLDG</v>
      </c>
    </row>
    <row r="1287" spans="1:8" x14ac:dyDescent="0.25">
      <c r="E1287" t="str">
        <f>"146328"</f>
        <v>146328</v>
      </c>
      <c r="F1287" t="str">
        <f>"ACCT#188757/JUVENILE PROBATION"</f>
        <v>ACCT#188757/JUVENILE PROBATION</v>
      </c>
      <c r="G1287" s="5">
        <v>132</v>
      </c>
      <c r="H1287" t="str">
        <f>"ACCT#188757/JUVENILE PROBATION"</f>
        <v>ACCT#188757/JUVENILE PROBATION</v>
      </c>
    </row>
    <row r="1288" spans="1:8" x14ac:dyDescent="0.25">
      <c r="E1288" t="str">
        <f>"146342"</f>
        <v>146342</v>
      </c>
      <c r="F1288" t="str">
        <f>"ACCT#188757/EXT HABITAT OFFICE"</f>
        <v>ACCT#188757/EXT HABITAT OFFICE</v>
      </c>
      <c r="G1288" s="5">
        <v>89</v>
      </c>
      <c r="H1288" t="str">
        <f>"ACCT#188757/EXT HABITAT OFFICE"</f>
        <v>ACCT#188757/EXT HABITAT OFFICE</v>
      </c>
    </row>
    <row r="1289" spans="1:8" x14ac:dyDescent="0.25">
      <c r="E1289" t="str">
        <f>"146344"</f>
        <v>146344</v>
      </c>
      <c r="F1289" t="str">
        <f>"ACCT#188757/CT HOUSE MAIN/ANNE"</f>
        <v>ACCT#188757/CT HOUSE MAIN/ANNE</v>
      </c>
      <c r="G1289" s="5">
        <v>137</v>
      </c>
      <c r="H1289" t="str">
        <f>"ACCT#188757/CT HOUSE MAIN/ANNE"</f>
        <v>ACCT#188757/CT HOUSE MAIN/ANNE</v>
      </c>
    </row>
    <row r="1290" spans="1:8" x14ac:dyDescent="0.25">
      <c r="E1290" t="str">
        <f>"146345"</f>
        <v>146345</v>
      </c>
      <c r="F1290" t="str">
        <f>"ACCT#188757/HISTORIC JAIL"</f>
        <v>ACCT#188757/HISTORIC JAIL</v>
      </c>
      <c r="G1290" s="5">
        <v>76</v>
      </c>
      <c r="H1290" t="str">
        <f>"ACCT#188757/HISTORIC JAIL"</f>
        <v>ACCT#188757/HISTORIC JAIL</v>
      </c>
    </row>
    <row r="1291" spans="1:8" x14ac:dyDescent="0.25">
      <c r="E1291" t="str">
        <f>"146352"</f>
        <v>146352</v>
      </c>
      <c r="F1291" t="str">
        <f>"ACCT#146352/COUNTY TAX OFFICE"</f>
        <v>ACCT#146352/COUNTY TAX OFFICE</v>
      </c>
      <c r="G1291" s="5">
        <v>102</v>
      </c>
      <c r="H1291" t="str">
        <f>"ACCT#146352/COUNTY TAX OFFICE"</f>
        <v>ACCT#146352/COUNTY TAX OFFICE</v>
      </c>
    </row>
    <row r="1292" spans="1:8" x14ac:dyDescent="0.25">
      <c r="E1292" t="str">
        <f>"146616"</f>
        <v>146616</v>
      </c>
      <c r="F1292" t="str">
        <f>"ACCT#188757/COURTHOUSE"</f>
        <v>ACCT#188757/COURTHOUSE</v>
      </c>
      <c r="G1292" s="5">
        <v>225</v>
      </c>
      <c r="H1292" t="str">
        <f>"ACCT#188757/COURTHOUSE"</f>
        <v>ACCT#188757/COURTHOUSE</v>
      </c>
    </row>
    <row r="1293" spans="1:8" x14ac:dyDescent="0.25">
      <c r="E1293" t="str">
        <f>"146653"</f>
        <v>146653</v>
      </c>
      <c r="F1293" t="str">
        <f>"ACCT#188757/LBJ BLDG/HLTH DPT"</f>
        <v>ACCT#188757/LBJ BLDG/HLTH DPT</v>
      </c>
      <c r="G1293" s="5">
        <v>69</v>
      </c>
      <c r="H1293" t="str">
        <f>"ACCT#188757/LBJ BLDG/HLTH DPT"</f>
        <v>ACCT#188757/LBJ BLDG/HLTH DPT</v>
      </c>
    </row>
    <row r="1294" spans="1:8" x14ac:dyDescent="0.25">
      <c r="E1294" t="str">
        <f>"146672"</f>
        <v>146672</v>
      </c>
      <c r="F1294" t="str">
        <f>"ACCT#188757/PCT 4 RD &amp; BRIDGE"</f>
        <v>ACCT#188757/PCT 4 RD &amp; BRIDGE</v>
      </c>
      <c r="G1294" s="5">
        <v>95.5</v>
      </c>
      <c r="H1294" t="str">
        <f>"ACCT#188757/PCT 4 RD &amp; BRIDGE"</f>
        <v>ACCT#188757/PCT 4 RD &amp; BRIDGE</v>
      </c>
    </row>
    <row r="1295" spans="1:8" x14ac:dyDescent="0.25">
      <c r="E1295" t="str">
        <f>"146759"</f>
        <v>146759</v>
      </c>
      <c r="F1295" t="str">
        <f>"ACCT#188757/ANIMAL SHELTER"</f>
        <v>ACCT#188757/ANIMAL SHELTER</v>
      </c>
      <c r="G1295" s="5">
        <v>290</v>
      </c>
      <c r="H1295" t="str">
        <f>"ACCT#188757/ANIMAL SHELTER"</f>
        <v>ACCT#188757/ANIMAL SHELTER</v>
      </c>
    </row>
    <row r="1296" spans="1:8" x14ac:dyDescent="0.25">
      <c r="A1296" t="s">
        <v>397</v>
      </c>
      <c r="B1296">
        <v>131437</v>
      </c>
      <c r="C1296" s="5">
        <v>288</v>
      </c>
      <c r="D1296" s="1">
        <v>43913</v>
      </c>
      <c r="E1296" t="str">
        <f>"148684"</f>
        <v>148684</v>
      </c>
      <c r="F1296" t="str">
        <f>"ACCT#188757/LOST PINES PARK"</f>
        <v>ACCT#188757/LOST PINES PARK</v>
      </c>
      <c r="G1296" s="5">
        <v>75</v>
      </c>
      <c r="H1296" t="str">
        <f>"ACCT#188757/LOST PINES PARK"</f>
        <v>ACCT#188757/LOST PINES PARK</v>
      </c>
    </row>
    <row r="1297" spans="1:8" x14ac:dyDescent="0.25">
      <c r="E1297" t="str">
        <f>"149128"</f>
        <v>149128</v>
      </c>
      <c r="F1297" t="str">
        <f>"ACCT#188757/CT HSE MAIN/ANNEX"</f>
        <v>ACCT#188757/CT HSE MAIN/ANNEX</v>
      </c>
      <c r="G1297" s="5">
        <v>137</v>
      </c>
      <c r="H1297" t="str">
        <f>"ACCT#188757/CT HSE MAIN/ANNEX"</f>
        <v>ACCT#188757/CT HSE MAIN/ANNEX</v>
      </c>
    </row>
    <row r="1298" spans="1:8" x14ac:dyDescent="0.25">
      <c r="E1298" t="str">
        <f>"149193"</f>
        <v>149193</v>
      </c>
      <c r="F1298" t="str">
        <f>"ACCT#188757/HISTORIC JAIL"</f>
        <v>ACCT#188757/HISTORIC JAIL</v>
      </c>
      <c r="G1298" s="5">
        <v>76</v>
      </c>
      <c r="H1298" t="str">
        <f>"ACCT#188757/HISTORIC JAIL"</f>
        <v>ACCT#188757/HISTORIC JAIL</v>
      </c>
    </row>
    <row r="1299" spans="1:8" x14ac:dyDescent="0.25">
      <c r="A1299" t="s">
        <v>398</v>
      </c>
      <c r="B1299">
        <v>2275</v>
      </c>
      <c r="C1299" s="5">
        <v>250</v>
      </c>
      <c r="D1299" s="1">
        <v>43900</v>
      </c>
      <c r="E1299" t="str">
        <f>"202003035629"</f>
        <v>202003035629</v>
      </c>
      <c r="F1299" t="str">
        <f>"53 507"</f>
        <v>53 507</v>
      </c>
      <c r="G1299" s="5">
        <v>250</v>
      </c>
      <c r="H1299" t="str">
        <f>"53 507"</f>
        <v>53 507</v>
      </c>
    </row>
    <row r="1300" spans="1:8" x14ac:dyDescent="0.25">
      <c r="A1300" t="s">
        <v>399</v>
      </c>
      <c r="B1300">
        <v>2265</v>
      </c>
      <c r="C1300" s="5">
        <v>4437.5</v>
      </c>
      <c r="D1300" s="1">
        <v>43900</v>
      </c>
      <c r="E1300" t="str">
        <f>"202002265490"</f>
        <v>202002265490</v>
      </c>
      <c r="F1300" t="str">
        <f>"16 926"</f>
        <v>16 926</v>
      </c>
      <c r="G1300" s="5">
        <v>400</v>
      </c>
      <c r="H1300" t="str">
        <f>"16 926"</f>
        <v>16 926</v>
      </c>
    </row>
    <row r="1301" spans="1:8" x14ac:dyDescent="0.25">
      <c r="E1301" t="str">
        <f>"202002265491"</f>
        <v>202002265491</v>
      </c>
      <c r="F1301" t="str">
        <f>"16 731  16 820 20190050A 20180"</f>
        <v>16 731  16 820 20190050A 20180</v>
      </c>
      <c r="G1301" s="5">
        <v>2000</v>
      </c>
      <c r="H1301" t="str">
        <f>"16 731  16 820 20190050A 20180"</f>
        <v>16 731  16 820 20190050A 20180</v>
      </c>
    </row>
    <row r="1302" spans="1:8" x14ac:dyDescent="0.25">
      <c r="E1302" t="str">
        <f>"202002275528"</f>
        <v>202002275528</v>
      </c>
      <c r="F1302" t="str">
        <f>"57 279"</f>
        <v>57 279</v>
      </c>
      <c r="G1302" s="5">
        <v>250</v>
      </c>
      <c r="H1302" t="str">
        <f>"57 279"</f>
        <v>57 279</v>
      </c>
    </row>
    <row r="1303" spans="1:8" x14ac:dyDescent="0.25">
      <c r="E1303" t="str">
        <f>"202002275529"</f>
        <v>202002275529</v>
      </c>
      <c r="F1303" t="str">
        <f>"20190050(A)  20160066(B)"</f>
        <v>20190050(A)  20160066(B)</v>
      </c>
      <c r="G1303" s="5">
        <v>375</v>
      </c>
      <c r="H1303" t="str">
        <f>"20190050(A)  20160066(B)"</f>
        <v>20190050(A)  20160066(B)</v>
      </c>
    </row>
    <row r="1304" spans="1:8" x14ac:dyDescent="0.25">
      <c r="E1304" t="str">
        <f>"202002275547"</f>
        <v>202002275547</v>
      </c>
      <c r="F1304" t="str">
        <f>"4237127  03-1204-1"</f>
        <v>4237127  03-1204-1</v>
      </c>
      <c r="G1304" s="5">
        <v>100</v>
      </c>
      <c r="H1304" t="str">
        <f>"4237127  03-1204-1"</f>
        <v>4237127  03-1204-1</v>
      </c>
    </row>
    <row r="1305" spans="1:8" x14ac:dyDescent="0.25">
      <c r="E1305" t="str">
        <f>"202002275548"</f>
        <v>202002275548</v>
      </c>
      <c r="F1305" t="str">
        <f>"1443-21  DCPC19-156"</f>
        <v>1443-21  DCPC19-156</v>
      </c>
      <c r="G1305" s="5">
        <v>100</v>
      </c>
      <c r="H1305" t="str">
        <f>"1443-21  DCPC19-156"</f>
        <v>1443-21  DCPC19-156</v>
      </c>
    </row>
    <row r="1306" spans="1:8" x14ac:dyDescent="0.25">
      <c r="E1306" t="str">
        <f>"202002275549"</f>
        <v>202002275549</v>
      </c>
      <c r="F1306" t="str">
        <f>"16 227"</f>
        <v>16 227</v>
      </c>
      <c r="G1306" s="5">
        <v>400</v>
      </c>
      <c r="H1306" t="str">
        <f>"16 227"</f>
        <v>16 227</v>
      </c>
    </row>
    <row r="1307" spans="1:8" x14ac:dyDescent="0.25">
      <c r="E1307" t="str">
        <f>"202003035619"</f>
        <v>202003035619</v>
      </c>
      <c r="F1307" t="str">
        <f>"20-20054"</f>
        <v>20-20054</v>
      </c>
      <c r="G1307" s="5">
        <v>262.5</v>
      </c>
      <c r="H1307" t="str">
        <f>"20-20054"</f>
        <v>20-20054</v>
      </c>
    </row>
    <row r="1308" spans="1:8" x14ac:dyDescent="0.25">
      <c r="E1308" t="str">
        <f>"202003035620"</f>
        <v>202003035620</v>
      </c>
      <c r="F1308" t="str">
        <f>"20-20086"</f>
        <v>20-20086</v>
      </c>
      <c r="G1308" s="5">
        <v>150</v>
      </c>
      <c r="H1308" t="str">
        <f>"20-20086"</f>
        <v>20-20086</v>
      </c>
    </row>
    <row r="1309" spans="1:8" x14ac:dyDescent="0.25">
      <c r="E1309" t="str">
        <f>"202003035622"</f>
        <v>202003035622</v>
      </c>
      <c r="F1309" t="str">
        <f>"19-19591"</f>
        <v>19-19591</v>
      </c>
      <c r="G1309" s="5">
        <v>150</v>
      </c>
      <c r="H1309" t="str">
        <f>"19-19591"</f>
        <v>19-19591</v>
      </c>
    </row>
    <row r="1310" spans="1:8" x14ac:dyDescent="0.25">
      <c r="E1310" t="str">
        <f>"202003035623"</f>
        <v>202003035623</v>
      </c>
      <c r="F1310" t="str">
        <f>"56 852"</f>
        <v>56 852</v>
      </c>
      <c r="G1310" s="5">
        <v>250</v>
      </c>
      <c r="H1310" t="str">
        <f>"56 852"</f>
        <v>56 852</v>
      </c>
    </row>
    <row r="1311" spans="1:8" x14ac:dyDescent="0.25">
      <c r="A1311" t="s">
        <v>399</v>
      </c>
      <c r="B1311">
        <v>2347</v>
      </c>
      <c r="C1311" s="5">
        <v>1450</v>
      </c>
      <c r="D1311" s="1">
        <v>43914</v>
      </c>
      <c r="E1311" t="str">
        <f>"202003125892"</f>
        <v>202003125892</v>
      </c>
      <c r="F1311" t="str">
        <f>"19-19638"</f>
        <v>19-19638</v>
      </c>
      <c r="G1311" s="5">
        <v>212.5</v>
      </c>
      <c r="H1311" t="str">
        <f>"19-19638"</f>
        <v>19-19638</v>
      </c>
    </row>
    <row r="1312" spans="1:8" x14ac:dyDescent="0.25">
      <c r="E1312" t="str">
        <f>"202003125893"</f>
        <v>202003125893</v>
      </c>
      <c r="F1312" t="str">
        <f>"19-19863"</f>
        <v>19-19863</v>
      </c>
      <c r="G1312" s="5">
        <v>212.5</v>
      </c>
      <c r="H1312" t="str">
        <f>"19-19863"</f>
        <v>19-19863</v>
      </c>
    </row>
    <row r="1313" spans="1:8" x14ac:dyDescent="0.25">
      <c r="E1313" t="str">
        <f>"202003125894"</f>
        <v>202003125894</v>
      </c>
      <c r="F1313" t="str">
        <f>"20-20054"</f>
        <v>20-20054</v>
      </c>
      <c r="G1313" s="5">
        <v>250</v>
      </c>
      <c r="H1313" t="str">
        <f>"20-20054"</f>
        <v>20-20054</v>
      </c>
    </row>
    <row r="1314" spans="1:8" x14ac:dyDescent="0.25">
      <c r="E1314" t="str">
        <f>"202003135967"</f>
        <v>202003135967</v>
      </c>
      <c r="F1314" t="str">
        <f>"19-19537"</f>
        <v>19-19537</v>
      </c>
      <c r="G1314" s="5">
        <v>150</v>
      </c>
      <c r="H1314" t="str">
        <f>"19-19537"</f>
        <v>19-19537</v>
      </c>
    </row>
    <row r="1315" spans="1:8" x14ac:dyDescent="0.25">
      <c r="E1315" t="str">
        <f>"202003135968"</f>
        <v>202003135968</v>
      </c>
      <c r="F1315" t="str">
        <f>"20-20030"</f>
        <v>20-20030</v>
      </c>
      <c r="G1315" s="5">
        <v>300</v>
      </c>
      <c r="H1315" t="str">
        <f>"20-20030"</f>
        <v>20-20030</v>
      </c>
    </row>
    <row r="1316" spans="1:8" x14ac:dyDescent="0.25">
      <c r="E1316" t="str">
        <f>"202003135969"</f>
        <v>202003135969</v>
      </c>
      <c r="F1316" t="str">
        <f>"19-19591"</f>
        <v>19-19591</v>
      </c>
      <c r="G1316" s="5">
        <v>325</v>
      </c>
      <c r="H1316" t="str">
        <f>"19-19591"</f>
        <v>19-19591</v>
      </c>
    </row>
    <row r="1317" spans="1:8" x14ac:dyDescent="0.25">
      <c r="A1317" t="s">
        <v>400</v>
      </c>
      <c r="B1317">
        <v>131220</v>
      </c>
      <c r="C1317" s="5">
        <v>1188</v>
      </c>
      <c r="D1317" s="1">
        <v>43899</v>
      </c>
      <c r="E1317" t="str">
        <f>"841502928"</f>
        <v>841502928</v>
      </c>
      <c r="F1317" t="str">
        <f>"ACCT#1002053753/HLTH &amp; SANITAT"</f>
        <v>ACCT#1002053753/HLTH &amp; SANITAT</v>
      </c>
      <c r="G1317" s="5">
        <v>236</v>
      </c>
      <c r="H1317" t="str">
        <f>"ACCT#1002053753/HLTH &amp; SANITAT"</f>
        <v>ACCT#1002053753/HLTH &amp; SANITAT</v>
      </c>
    </row>
    <row r="1318" spans="1:8" x14ac:dyDescent="0.25">
      <c r="E1318" t="str">
        <f>"841747513"</f>
        <v>841747513</v>
      </c>
      <c r="F1318" t="str">
        <f>"ACCT#1000310962/WEST INFO CHRG"</f>
        <v>ACCT#1000310962/WEST INFO CHRG</v>
      </c>
      <c r="G1318" s="5">
        <v>952</v>
      </c>
      <c r="H1318" t="str">
        <f>"ACCT#1000310962/WEST INFO CHRG"</f>
        <v>ACCT#1000310962/WEST INFO CHRG</v>
      </c>
    </row>
    <row r="1319" spans="1:8" x14ac:dyDescent="0.25">
      <c r="A1319" t="s">
        <v>400</v>
      </c>
      <c r="B1319">
        <v>131438</v>
      </c>
      <c r="C1319" s="5">
        <v>1674</v>
      </c>
      <c r="D1319" s="1">
        <v>43913</v>
      </c>
      <c r="E1319" t="str">
        <f>"6133858136"</f>
        <v>6133858136</v>
      </c>
      <c r="F1319" t="str">
        <f>"ACCT#1003035377/ORD#203830413"</f>
        <v>ACCT#1003035377/ORD#203830413</v>
      </c>
      <c r="G1319" s="5">
        <v>150</v>
      </c>
      <c r="H1319" t="str">
        <f>"ACCT#1003035377/ORD#203830413"</f>
        <v>ACCT#1003035377/ORD#203830413</v>
      </c>
    </row>
    <row r="1320" spans="1:8" x14ac:dyDescent="0.25">
      <c r="E1320" t="str">
        <f>"841895020"</f>
        <v>841895020</v>
      </c>
      <c r="F1320" t="str">
        <f>"ACCT#841895020/WEST INFO CHRG"</f>
        <v>ACCT#841895020/WEST INFO CHRG</v>
      </c>
      <c r="G1320" s="5">
        <v>572</v>
      </c>
      <c r="H1320" t="str">
        <f>"ACCT#841895020/WEST INFO CHRG"</f>
        <v>ACCT#841895020/WEST INFO CHRG</v>
      </c>
    </row>
    <row r="1321" spans="1:8" x14ac:dyDescent="0.25">
      <c r="E1321" t="str">
        <f>"841910452"</f>
        <v>841910452</v>
      </c>
      <c r="F1321" t="str">
        <f>"ACCT#1000310962/WEST INFO CHRG"</f>
        <v>ACCT#1000310962/WEST INFO CHRG</v>
      </c>
      <c r="G1321" s="5">
        <v>952</v>
      </c>
      <c r="H1321" t="str">
        <f>"ACCT#1000310962/WEST INFO CHRG"</f>
        <v>ACCT#1000310962/WEST INFO CHRG</v>
      </c>
    </row>
    <row r="1322" spans="1:8" x14ac:dyDescent="0.25">
      <c r="A1322" t="s">
        <v>401</v>
      </c>
      <c r="B1322">
        <v>131439</v>
      </c>
      <c r="C1322" s="5">
        <v>11305.35</v>
      </c>
      <c r="D1322" s="1">
        <v>43913</v>
      </c>
      <c r="E1322" t="str">
        <f>"202003135976"</f>
        <v>202003135976</v>
      </c>
      <c r="F1322" t="str">
        <f>"ACCT#8260163000003669"</f>
        <v>ACCT#8260163000003669</v>
      </c>
      <c r="G1322" s="5">
        <v>11305.35</v>
      </c>
      <c r="H1322" t="str">
        <f>"ACCT#8260163000003669"</f>
        <v>ACCT#8260163000003669</v>
      </c>
    </row>
    <row r="1323" spans="1:8" x14ac:dyDescent="0.25">
      <c r="E1323" t="str">
        <f>""</f>
        <v/>
      </c>
      <c r="F1323" t="str">
        <f>""</f>
        <v/>
      </c>
      <c r="H1323" t="str">
        <f>"ACCT#8260163000003669"</f>
        <v>ACCT#8260163000003669</v>
      </c>
    </row>
    <row r="1324" spans="1:8" x14ac:dyDescent="0.25">
      <c r="A1324" t="s">
        <v>402</v>
      </c>
      <c r="B1324">
        <v>131221</v>
      </c>
      <c r="C1324" s="5">
        <v>1065.3</v>
      </c>
      <c r="D1324" s="1">
        <v>43899</v>
      </c>
      <c r="E1324" t="str">
        <f>"28069/A/B"</f>
        <v>28069/A/B</v>
      </c>
      <c r="F1324" t="str">
        <f>"inv#28069  28069B  28069A"</f>
        <v>inv#28069  28069B  28069A</v>
      </c>
      <c r="G1324" s="5">
        <v>1065.3</v>
      </c>
      <c r="H1324" t="str">
        <f>"inv#28069"</f>
        <v>inv#28069</v>
      </c>
    </row>
    <row r="1325" spans="1:8" x14ac:dyDescent="0.25">
      <c r="E1325" t="str">
        <f>""</f>
        <v/>
      </c>
      <c r="F1325" t="str">
        <f>""</f>
        <v/>
      </c>
      <c r="H1325" t="str">
        <f>"inv#28069B"</f>
        <v>inv#28069B</v>
      </c>
    </row>
    <row r="1326" spans="1:8" x14ac:dyDescent="0.25">
      <c r="E1326" t="str">
        <f>""</f>
        <v/>
      </c>
      <c r="F1326" t="str">
        <f>""</f>
        <v/>
      </c>
      <c r="H1326" t="str">
        <f>"inv#28069A"</f>
        <v>inv#28069A</v>
      </c>
    </row>
    <row r="1327" spans="1:8" x14ac:dyDescent="0.25">
      <c r="A1327" t="s">
        <v>402</v>
      </c>
      <c r="B1327">
        <v>131440</v>
      </c>
      <c r="C1327" s="5">
        <v>613.29999999999995</v>
      </c>
      <c r="D1327" s="1">
        <v>43913</v>
      </c>
      <c r="E1327" t="str">
        <f>"028875"</f>
        <v>028875</v>
      </c>
      <c r="F1327" t="str">
        <f>"Supply Order"</f>
        <v>Supply Order</v>
      </c>
      <c r="G1327" s="5">
        <v>613.29999999999995</v>
      </c>
      <c r="H1327" t="str">
        <f>"KC-47305"</f>
        <v>KC-47305</v>
      </c>
    </row>
    <row r="1328" spans="1:8" x14ac:dyDescent="0.25">
      <c r="A1328" t="s">
        <v>403</v>
      </c>
      <c r="B1328">
        <v>131222</v>
      </c>
      <c r="C1328" s="5">
        <v>656.69</v>
      </c>
      <c r="D1328" s="1">
        <v>43899</v>
      </c>
      <c r="E1328" t="str">
        <f>"202003035655"</f>
        <v>202003035655</v>
      </c>
      <c r="F1328" t="str">
        <f>"acct# 6035301200160982"</f>
        <v>acct# 6035301200160982</v>
      </c>
      <c r="G1328" s="5">
        <v>656.69</v>
      </c>
      <c r="H1328" t="str">
        <f>"Inv# 200626405"</f>
        <v>Inv# 200626405</v>
      </c>
    </row>
    <row r="1329" spans="1:8" x14ac:dyDescent="0.25">
      <c r="E1329" t="str">
        <f>""</f>
        <v/>
      </c>
      <c r="F1329" t="str">
        <f>""</f>
        <v/>
      </c>
      <c r="H1329" t="str">
        <f>"Inv# 200625028"</f>
        <v>Inv# 200625028</v>
      </c>
    </row>
    <row r="1330" spans="1:8" x14ac:dyDescent="0.25">
      <c r="E1330" t="str">
        <f>""</f>
        <v/>
      </c>
      <c r="F1330" t="str">
        <f>""</f>
        <v/>
      </c>
      <c r="H1330" t="str">
        <f>"Inv# 100161461"</f>
        <v>Inv# 100161461</v>
      </c>
    </row>
    <row r="1331" spans="1:8" x14ac:dyDescent="0.25">
      <c r="E1331" t="str">
        <f>""</f>
        <v/>
      </c>
      <c r="F1331" t="str">
        <f>""</f>
        <v/>
      </c>
      <c r="H1331" t="str">
        <f>"Inv# 300599466"</f>
        <v>Inv# 300599466</v>
      </c>
    </row>
    <row r="1332" spans="1:8" x14ac:dyDescent="0.25">
      <c r="E1332" t="str">
        <f>""</f>
        <v/>
      </c>
      <c r="F1332" t="str">
        <f>""</f>
        <v/>
      </c>
      <c r="H1332" t="str">
        <f>"Inv# 100161190"</f>
        <v>Inv# 100161190</v>
      </c>
    </row>
    <row r="1333" spans="1:8" x14ac:dyDescent="0.25">
      <c r="E1333" t="str">
        <f>""</f>
        <v/>
      </c>
      <c r="F1333" t="str">
        <f>""</f>
        <v/>
      </c>
      <c r="H1333" t="str">
        <f>"Inv# 100161468"</f>
        <v>Inv# 100161468</v>
      </c>
    </row>
    <row r="1334" spans="1:8" x14ac:dyDescent="0.25">
      <c r="E1334" t="str">
        <f>""</f>
        <v/>
      </c>
      <c r="F1334" t="str">
        <f>""</f>
        <v/>
      </c>
      <c r="H1334" t="str">
        <f>"Inv# 100165081"</f>
        <v>Inv# 100165081</v>
      </c>
    </row>
    <row r="1335" spans="1:8" x14ac:dyDescent="0.25">
      <c r="E1335" t="str">
        <f>""</f>
        <v/>
      </c>
      <c r="F1335" t="str">
        <f>""</f>
        <v/>
      </c>
      <c r="H1335" t="str">
        <f>"Inv# 100166630"</f>
        <v>Inv# 100166630</v>
      </c>
    </row>
    <row r="1336" spans="1:8" x14ac:dyDescent="0.25">
      <c r="A1336" t="s">
        <v>404</v>
      </c>
      <c r="B1336">
        <v>131223</v>
      </c>
      <c r="C1336" s="5">
        <v>367</v>
      </c>
      <c r="D1336" s="1">
        <v>43899</v>
      </c>
      <c r="E1336" t="s">
        <v>231</v>
      </c>
      <c r="F1336" t="str">
        <f>"SERVICE"</f>
        <v>SERVICE</v>
      </c>
      <c r="G1336" s="5">
        <v>64</v>
      </c>
      <c r="H1336" t="str">
        <f>"SERVICE"</f>
        <v>SERVICE</v>
      </c>
    </row>
    <row r="1337" spans="1:8" x14ac:dyDescent="0.25">
      <c r="E1337" t="str">
        <f>"12810"</f>
        <v>12810</v>
      </c>
      <c r="F1337" t="str">
        <f>"SERVICE"</f>
        <v>SERVICE</v>
      </c>
      <c r="G1337" s="5">
        <v>150</v>
      </c>
      <c r="H1337" t="str">
        <f>"SERVICE"</f>
        <v>SERVICE</v>
      </c>
    </row>
    <row r="1338" spans="1:8" x14ac:dyDescent="0.25">
      <c r="E1338" t="str">
        <f>"13072"</f>
        <v>13072</v>
      </c>
      <c r="F1338" t="str">
        <f>"SERVICE"</f>
        <v>SERVICE</v>
      </c>
      <c r="G1338" s="5">
        <v>78</v>
      </c>
      <c r="H1338" t="str">
        <f>"SERVICE"</f>
        <v>SERVICE</v>
      </c>
    </row>
    <row r="1339" spans="1:8" x14ac:dyDescent="0.25">
      <c r="E1339" t="str">
        <f>"13193"</f>
        <v>13193</v>
      </c>
      <c r="F1339" t="str">
        <f>"SERVICE"</f>
        <v>SERVICE</v>
      </c>
      <c r="G1339" s="5">
        <v>75</v>
      </c>
      <c r="H1339" t="str">
        <f>"SERVICE"</f>
        <v>SERVICE</v>
      </c>
    </row>
    <row r="1340" spans="1:8" x14ac:dyDescent="0.25">
      <c r="A1340" t="s">
        <v>404</v>
      </c>
      <c r="B1340">
        <v>131441</v>
      </c>
      <c r="C1340" s="5">
        <v>600</v>
      </c>
      <c r="D1340" s="1">
        <v>43913</v>
      </c>
      <c r="E1340" t="str">
        <f>"12136  12/19/19"</f>
        <v>12136  12/19/19</v>
      </c>
      <c r="F1340" t="str">
        <f>"SERVICE"</f>
        <v>SERVICE</v>
      </c>
      <c r="G1340" s="5">
        <v>150</v>
      </c>
      <c r="H1340" t="str">
        <f>"SERVICE"</f>
        <v>SERVICE</v>
      </c>
    </row>
    <row r="1341" spans="1:8" x14ac:dyDescent="0.25">
      <c r="E1341" t="str">
        <f>"12875  02/14/2020"</f>
        <v>12875  02/14/2020</v>
      </c>
      <c r="F1341" t="str">
        <f>"SERVICE"</f>
        <v>SERVICE</v>
      </c>
      <c r="G1341" s="5">
        <v>150</v>
      </c>
      <c r="H1341" t="str">
        <f>"SERVICE"</f>
        <v>SERVICE</v>
      </c>
    </row>
    <row r="1342" spans="1:8" x14ac:dyDescent="0.25">
      <c r="E1342" t="str">
        <f>"13037"</f>
        <v>13037</v>
      </c>
      <c r="F1342" t="str">
        <f>"SERVICE  12/19/19"</f>
        <v>SERVICE  12/19/19</v>
      </c>
      <c r="G1342" s="5">
        <v>75</v>
      </c>
      <c r="H1342" t="str">
        <f>"SERVICE  12/19/19"</f>
        <v>SERVICE  12/19/19</v>
      </c>
    </row>
    <row r="1343" spans="1:8" x14ac:dyDescent="0.25">
      <c r="E1343" t="str">
        <f>"13062"</f>
        <v>13062</v>
      </c>
      <c r="F1343" t="str">
        <f>"SERVICE  12/19/19"</f>
        <v>SERVICE  12/19/19</v>
      </c>
      <c r="G1343" s="5">
        <v>75</v>
      </c>
      <c r="H1343" t="str">
        <f>"SERVICE  12/19/19"</f>
        <v>SERVICE  12/19/19</v>
      </c>
    </row>
    <row r="1344" spans="1:8" x14ac:dyDescent="0.25">
      <c r="E1344" t="str">
        <f>"13109"</f>
        <v>13109</v>
      </c>
      <c r="F1344" t="str">
        <f>"SERVICE  12/19/19"</f>
        <v>SERVICE  12/19/19</v>
      </c>
      <c r="G1344" s="5">
        <v>150</v>
      </c>
      <c r="H1344" t="str">
        <f>"SERVICE  12/19/19"</f>
        <v>SERVICE  12/19/19</v>
      </c>
    </row>
    <row r="1345" spans="1:8" x14ac:dyDescent="0.25">
      <c r="A1345" t="s">
        <v>405</v>
      </c>
      <c r="B1345">
        <v>131442</v>
      </c>
      <c r="C1345" s="5">
        <v>98.98</v>
      </c>
      <c r="D1345" s="1">
        <v>43913</v>
      </c>
      <c r="E1345" t="str">
        <f>"4628*98082*1"</f>
        <v>4628*98082*1</v>
      </c>
      <c r="F1345" t="str">
        <f>"JAIL MEDICAL"</f>
        <v>JAIL MEDICAL</v>
      </c>
      <c r="G1345" s="5">
        <v>98.98</v>
      </c>
      <c r="H1345" t="str">
        <f>"JAIL MEDICAL"</f>
        <v>JAIL MEDICAL</v>
      </c>
    </row>
    <row r="1346" spans="1:8" x14ac:dyDescent="0.25">
      <c r="A1346" t="s">
        <v>406</v>
      </c>
      <c r="B1346">
        <v>131224</v>
      </c>
      <c r="C1346" s="5">
        <v>11600</v>
      </c>
      <c r="D1346" s="1">
        <v>43899</v>
      </c>
      <c r="E1346" t="str">
        <f>"3300003240"</f>
        <v>3300003240</v>
      </c>
      <c r="F1346" t="str">
        <f>"CUST#100733/INV#3300003240"</f>
        <v>CUST#100733/INV#3300003240</v>
      </c>
      <c r="G1346" s="5">
        <v>5800</v>
      </c>
      <c r="H1346" t="str">
        <f>"CUST#100733/INV#3300003240"</f>
        <v>CUST#100733/INV#3300003240</v>
      </c>
    </row>
    <row r="1347" spans="1:8" x14ac:dyDescent="0.25">
      <c r="E1347" t="str">
        <f>"3300003263"</f>
        <v>3300003263</v>
      </c>
      <c r="F1347" t="str">
        <f>"CUST#100010/INV#3300003263"</f>
        <v>CUST#100010/INV#3300003263</v>
      </c>
      <c r="G1347" s="5">
        <v>5800</v>
      </c>
      <c r="H1347" t="str">
        <f>"CUST#100010/INV#3300003263"</f>
        <v>CUST#100010/INV#3300003263</v>
      </c>
    </row>
    <row r="1348" spans="1:8" x14ac:dyDescent="0.25">
      <c r="A1348" t="s">
        <v>406</v>
      </c>
      <c r="B1348">
        <v>131443</v>
      </c>
      <c r="C1348" s="5">
        <v>5800</v>
      </c>
      <c r="D1348" s="1">
        <v>43913</v>
      </c>
      <c r="E1348" t="str">
        <f>"3300003184"</f>
        <v>3300003184</v>
      </c>
      <c r="F1348" t="str">
        <f>"CUST#100011/INV#3300003184"</f>
        <v>CUST#100011/INV#3300003184</v>
      </c>
      <c r="G1348" s="5">
        <v>2900</v>
      </c>
      <c r="H1348" t="str">
        <f>"CUST#100011/INV#3300003184"</f>
        <v>CUST#100011/INV#3300003184</v>
      </c>
    </row>
    <row r="1349" spans="1:8" x14ac:dyDescent="0.25">
      <c r="E1349" t="str">
        <f>"3300003255"</f>
        <v>3300003255</v>
      </c>
      <c r="F1349" t="str">
        <f>"CUST#100011/INV#3300003255"</f>
        <v>CUST#100011/INV#3300003255</v>
      </c>
      <c r="G1349" s="5">
        <v>2900</v>
      </c>
      <c r="H1349" t="str">
        <f>"CUST#100011/INV#3300003255"</f>
        <v>CUST#100011/INV#3300003255</v>
      </c>
    </row>
    <row r="1350" spans="1:8" x14ac:dyDescent="0.25">
      <c r="A1350" t="s">
        <v>407</v>
      </c>
      <c r="B1350">
        <v>2269</v>
      </c>
      <c r="C1350" s="5">
        <v>948.45</v>
      </c>
      <c r="D1350" s="1">
        <v>43900</v>
      </c>
      <c r="E1350" t="str">
        <f>"794343"</f>
        <v>794343</v>
      </c>
      <c r="F1350" t="str">
        <f>"INV 794343 / UNIT 0123"</f>
        <v>INV 794343 / UNIT 0123</v>
      </c>
      <c r="G1350" s="5">
        <v>568.44000000000005</v>
      </c>
      <c r="H1350" t="str">
        <f>"INV 794343 / UNIT 0123"</f>
        <v>INV 794343 / UNIT 0123</v>
      </c>
    </row>
    <row r="1351" spans="1:8" x14ac:dyDescent="0.25">
      <c r="E1351" t="str">
        <f>"801874"</f>
        <v>801874</v>
      </c>
      <c r="F1351" t="str">
        <f>"INV 801874 / UNIT 9646"</f>
        <v>INV 801874 / UNIT 9646</v>
      </c>
      <c r="G1351" s="5">
        <v>135.79</v>
      </c>
      <c r="H1351" t="str">
        <f>"INV 801874 / UNIT 9646"</f>
        <v>INV 801874 / UNIT 9646</v>
      </c>
    </row>
    <row r="1352" spans="1:8" x14ac:dyDescent="0.25">
      <c r="E1352" t="str">
        <f>"802232"</f>
        <v>802232</v>
      </c>
      <c r="F1352" t="str">
        <f>"INV 802232 / UNIT 77"</f>
        <v>INV 802232 / UNIT 77</v>
      </c>
      <c r="G1352" s="5">
        <v>244.22</v>
      </c>
      <c r="H1352" t="str">
        <f>"INV 802232 / UNIT 77"</f>
        <v>INV 802232 / UNIT 77</v>
      </c>
    </row>
    <row r="1353" spans="1:8" x14ac:dyDescent="0.25">
      <c r="A1353" t="s">
        <v>407</v>
      </c>
      <c r="B1353">
        <v>2348</v>
      </c>
      <c r="C1353" s="5">
        <v>568.44000000000005</v>
      </c>
      <c r="D1353" s="1">
        <v>43914</v>
      </c>
      <c r="E1353" t="str">
        <f>"803366"</f>
        <v>803366</v>
      </c>
      <c r="F1353" t="str">
        <f>"INV 803366 / UNIT 1665"</f>
        <v>INV 803366 / UNIT 1665</v>
      </c>
      <c r="G1353" s="5">
        <v>284.22000000000003</v>
      </c>
      <c r="H1353" t="str">
        <f>"INV 803366 / UNIT 1665"</f>
        <v>INV 803366 / UNIT 1665</v>
      </c>
    </row>
    <row r="1354" spans="1:8" x14ac:dyDescent="0.25">
      <c r="E1354" t="str">
        <f>"803693"</f>
        <v>803693</v>
      </c>
      <c r="F1354" t="str">
        <f>"INV 803693 / UNIT 6535"</f>
        <v>INV 803693 / UNIT 6535</v>
      </c>
      <c r="G1354" s="5">
        <v>284.22000000000003</v>
      </c>
      <c r="H1354" t="str">
        <f>"INV 803693 / UNIT 6535"</f>
        <v>INV 803693 / UNIT 6535</v>
      </c>
    </row>
    <row r="1355" spans="1:8" x14ac:dyDescent="0.25">
      <c r="A1355" t="s">
        <v>408</v>
      </c>
      <c r="B1355">
        <v>131444</v>
      </c>
      <c r="C1355" s="5">
        <v>117.74</v>
      </c>
      <c r="D1355" s="1">
        <v>43913</v>
      </c>
      <c r="E1355" t="str">
        <f>"4632*131*1"</f>
        <v>4632*131*1</v>
      </c>
      <c r="F1355" t="str">
        <f>"JAIL MEDICAL"</f>
        <v>JAIL MEDICAL</v>
      </c>
      <c r="G1355" s="5">
        <v>117.74</v>
      </c>
      <c r="H1355" t="str">
        <f>"JAIL MEDICAL"</f>
        <v>JAIL MEDICAL</v>
      </c>
    </row>
    <row r="1356" spans="1:8" x14ac:dyDescent="0.25">
      <c r="A1356" t="s">
        <v>409</v>
      </c>
      <c r="B1356">
        <v>2337</v>
      </c>
      <c r="C1356" s="5">
        <v>1924.57</v>
      </c>
      <c r="D1356" s="1">
        <v>43914</v>
      </c>
      <c r="E1356" t="str">
        <f>"202003176014"</f>
        <v>202003176014</v>
      </c>
      <c r="F1356" t="str">
        <f>"INV 219476/216678/220501/"</f>
        <v>INV 219476/216678/220501/</v>
      </c>
      <c r="G1356" s="5">
        <v>1924.57</v>
      </c>
      <c r="H1356" t="str">
        <f>"INV 219476"</f>
        <v>INV 219476</v>
      </c>
    </row>
    <row r="1357" spans="1:8" x14ac:dyDescent="0.25">
      <c r="E1357" t="str">
        <f>""</f>
        <v/>
      </c>
      <c r="F1357" t="str">
        <f>""</f>
        <v/>
      </c>
      <c r="H1357" t="str">
        <f>"INV 216678"</f>
        <v>INV 216678</v>
      </c>
    </row>
    <row r="1358" spans="1:8" x14ac:dyDescent="0.25">
      <c r="E1358" t="str">
        <f>""</f>
        <v/>
      </c>
      <c r="F1358" t="str">
        <f>""</f>
        <v/>
      </c>
      <c r="H1358" t="str">
        <f>"INV 220501"</f>
        <v>INV 220501</v>
      </c>
    </row>
    <row r="1359" spans="1:8" x14ac:dyDescent="0.25">
      <c r="E1359" t="str">
        <f>""</f>
        <v/>
      </c>
      <c r="F1359" t="str">
        <f>""</f>
        <v/>
      </c>
      <c r="H1359" t="str">
        <f>"INV 222647"</f>
        <v>INV 222647</v>
      </c>
    </row>
    <row r="1360" spans="1:8" x14ac:dyDescent="0.25">
      <c r="E1360" t="str">
        <f>""</f>
        <v/>
      </c>
      <c r="F1360" t="str">
        <f>""</f>
        <v/>
      </c>
      <c r="H1360" t="str">
        <f>"INV 219588"</f>
        <v>INV 219588</v>
      </c>
    </row>
    <row r="1361" spans="1:8" x14ac:dyDescent="0.25">
      <c r="E1361" t="str">
        <f>""</f>
        <v/>
      </c>
      <c r="F1361" t="str">
        <f>""</f>
        <v/>
      </c>
      <c r="H1361" t="str">
        <f>"INV 228350"</f>
        <v>INV 228350</v>
      </c>
    </row>
    <row r="1362" spans="1:8" x14ac:dyDescent="0.25">
      <c r="E1362" t="str">
        <f>""</f>
        <v/>
      </c>
      <c r="F1362" t="str">
        <f>""</f>
        <v/>
      </c>
      <c r="H1362" t="str">
        <f>"INV 229298"</f>
        <v>INV 229298</v>
      </c>
    </row>
    <row r="1363" spans="1:8" x14ac:dyDescent="0.25">
      <c r="A1363" t="s">
        <v>410</v>
      </c>
      <c r="B1363">
        <v>131225</v>
      </c>
      <c r="C1363" s="5">
        <v>7074.09</v>
      </c>
      <c r="D1363" s="1">
        <v>43899</v>
      </c>
      <c r="E1363" t="str">
        <f>"4908"</f>
        <v>4908</v>
      </c>
      <c r="F1363" t="str">
        <f>"2003 BELLY DUMP/PCT#3"</f>
        <v>2003 BELLY DUMP/PCT#3</v>
      </c>
      <c r="G1363" s="5">
        <v>7074.09</v>
      </c>
      <c r="H1363" t="str">
        <f>"2003 BELLY DUMP/PCT#3"</f>
        <v>2003 BELLY DUMP/PCT#3</v>
      </c>
    </row>
    <row r="1364" spans="1:8" x14ac:dyDescent="0.25">
      <c r="A1364" t="s">
        <v>411</v>
      </c>
      <c r="B1364">
        <v>2328</v>
      </c>
      <c r="C1364" s="5">
        <v>775</v>
      </c>
      <c r="D1364" s="1">
        <v>43900</v>
      </c>
      <c r="E1364" t="str">
        <f>"202002265492"</f>
        <v>202002265492</v>
      </c>
      <c r="F1364" t="str">
        <f>"19-S-01190 303032019D"</f>
        <v>19-S-01190 303032019D</v>
      </c>
      <c r="G1364" s="5">
        <v>400</v>
      </c>
      <c r="H1364" t="str">
        <f>"19-S-01190 303032019D"</f>
        <v>19-S-01190 303032019D</v>
      </c>
    </row>
    <row r="1365" spans="1:8" x14ac:dyDescent="0.25">
      <c r="E1365" t="str">
        <f>"202002275534"</f>
        <v>202002275534</v>
      </c>
      <c r="F1365" t="str">
        <f>"57 048  304252019D"</f>
        <v>57 048  304252019D</v>
      </c>
      <c r="G1365" s="5">
        <v>375</v>
      </c>
      <c r="H1365" t="str">
        <f>"57 048  304252019D"</f>
        <v>57 048  304252019D</v>
      </c>
    </row>
    <row r="1366" spans="1:8" x14ac:dyDescent="0.25">
      <c r="A1366" t="s">
        <v>412</v>
      </c>
      <c r="B1366">
        <v>131226</v>
      </c>
      <c r="C1366" s="5">
        <v>1843.75</v>
      </c>
      <c r="D1366" s="1">
        <v>43899</v>
      </c>
      <c r="E1366" t="str">
        <f>"025-286691"</f>
        <v>025-286691</v>
      </c>
      <c r="F1366" t="str">
        <f>"CUST#42161/ORD#51916"</f>
        <v>CUST#42161/ORD#51916</v>
      </c>
      <c r="G1366" s="5">
        <v>968.75</v>
      </c>
      <c r="H1366" t="str">
        <f>"CUST#42161/ORD#51916"</f>
        <v>CUST#42161/ORD#51916</v>
      </c>
    </row>
    <row r="1367" spans="1:8" x14ac:dyDescent="0.25">
      <c r="E1367" t="str">
        <f>"025-288297"</f>
        <v>025-288297</v>
      </c>
      <c r="F1367" t="str">
        <f>"CUST#42161/ORD#51916"</f>
        <v>CUST#42161/ORD#51916</v>
      </c>
      <c r="G1367" s="5">
        <v>875</v>
      </c>
      <c r="H1367" t="str">
        <f>"CUST#42161/ORD#51916"</f>
        <v>CUST#42161/ORD#51916</v>
      </c>
    </row>
    <row r="1368" spans="1:8" x14ac:dyDescent="0.25">
      <c r="A1368" t="s">
        <v>412</v>
      </c>
      <c r="B1368">
        <v>131445</v>
      </c>
      <c r="C1368" s="5">
        <v>375</v>
      </c>
      <c r="D1368" s="1">
        <v>43913</v>
      </c>
      <c r="E1368" t="str">
        <f>"025-288925"</f>
        <v>025-288925</v>
      </c>
      <c r="F1368" t="str">
        <f>"CUST#42161/ORD#51916"</f>
        <v>CUST#42161/ORD#51916</v>
      </c>
      <c r="G1368" s="5">
        <v>375</v>
      </c>
      <c r="H1368" t="str">
        <f>"CUST#42161/ORD#51916"</f>
        <v>CUST#42161/ORD#51916</v>
      </c>
    </row>
    <row r="1369" spans="1:8" x14ac:dyDescent="0.25">
      <c r="A1369" t="s">
        <v>413</v>
      </c>
      <c r="B1369">
        <v>2340</v>
      </c>
      <c r="C1369" s="5">
        <v>323.86</v>
      </c>
      <c r="D1369" s="1">
        <v>43914</v>
      </c>
      <c r="E1369" t="str">
        <f>"117975114"</f>
        <v>117975114</v>
      </c>
      <c r="F1369" t="str">
        <f>"Lab Coat"</f>
        <v>Lab Coat</v>
      </c>
      <c r="G1369" s="5">
        <v>323.86</v>
      </c>
      <c r="H1369" t="str">
        <f>"S-15374NB-2X"</f>
        <v>S-15374NB-2X</v>
      </c>
    </row>
    <row r="1370" spans="1:8" x14ac:dyDescent="0.25">
      <c r="E1370" t="str">
        <f>""</f>
        <v/>
      </c>
      <c r="F1370" t="str">
        <f>""</f>
        <v/>
      </c>
      <c r="H1370" t="str">
        <f>"Shipping"</f>
        <v>Shipping</v>
      </c>
    </row>
    <row r="1371" spans="1:8" x14ac:dyDescent="0.25">
      <c r="A1371" t="s">
        <v>414</v>
      </c>
      <c r="B1371">
        <v>2344</v>
      </c>
      <c r="C1371" s="5">
        <v>147.9</v>
      </c>
      <c r="D1371" s="1">
        <v>43914</v>
      </c>
      <c r="E1371" t="str">
        <f>"10836222"</f>
        <v>10836222</v>
      </c>
      <c r="F1371" t="str">
        <f>"ACCT#38052/PCT#4"</f>
        <v>ACCT#38052/PCT#4</v>
      </c>
      <c r="G1371" s="5">
        <v>-234.41</v>
      </c>
      <c r="H1371" t="str">
        <f>"ACCT#38052/PCT#4"</f>
        <v>ACCT#38052/PCT#4</v>
      </c>
    </row>
    <row r="1372" spans="1:8" x14ac:dyDescent="0.25">
      <c r="E1372" t="str">
        <f>"10833714"</f>
        <v>10833714</v>
      </c>
      <c r="F1372" t="str">
        <f>"ACCT#38052/PCT#4"</f>
        <v>ACCT#38052/PCT#4</v>
      </c>
      <c r="G1372" s="5">
        <v>382.31</v>
      </c>
      <c r="H1372" t="str">
        <f>"ACCT#38052/PCT#4"</f>
        <v>ACCT#38052/PCT#4</v>
      </c>
    </row>
    <row r="1373" spans="1:8" x14ac:dyDescent="0.25">
      <c r="A1373" t="s">
        <v>415</v>
      </c>
      <c r="B1373">
        <v>131446</v>
      </c>
      <c r="C1373" s="5">
        <v>562.84</v>
      </c>
      <c r="D1373" s="1">
        <v>43913</v>
      </c>
      <c r="E1373" t="str">
        <f>"202003176028"</f>
        <v>202003176028</v>
      </c>
      <c r="F1373" t="str">
        <f>"INDIGENT HEALTH"</f>
        <v>INDIGENT HEALTH</v>
      </c>
      <c r="G1373" s="5">
        <v>562.84</v>
      </c>
      <c r="H1373" t="str">
        <f>"INDIGENT HEALTH"</f>
        <v>INDIGENT HEALTH</v>
      </c>
    </row>
    <row r="1374" spans="1:8" x14ac:dyDescent="0.25">
      <c r="A1374" t="s">
        <v>416</v>
      </c>
      <c r="B1374">
        <v>131227</v>
      </c>
      <c r="C1374" s="5">
        <v>1162.5</v>
      </c>
      <c r="D1374" s="1">
        <v>43899</v>
      </c>
      <c r="E1374" t="str">
        <f>"0033955"</f>
        <v>0033955</v>
      </c>
      <c r="F1374" t="str">
        <f>"INV 0033955"</f>
        <v>INV 0033955</v>
      </c>
      <c r="G1374" s="5">
        <v>1162.5</v>
      </c>
      <c r="H1374" t="str">
        <f>"INV 0033955"</f>
        <v>INV 0033955</v>
      </c>
    </row>
    <row r="1375" spans="1:8" x14ac:dyDescent="0.25">
      <c r="A1375" t="s">
        <v>417</v>
      </c>
      <c r="B1375">
        <v>131447</v>
      </c>
      <c r="C1375" s="5">
        <v>234.24</v>
      </c>
      <c r="D1375" s="1">
        <v>43913</v>
      </c>
      <c r="E1375" t="str">
        <f>"2010340"</f>
        <v>2010340</v>
      </c>
      <c r="F1375" t="str">
        <f>"ACCT#17460002268 003/FEB 01-29"</f>
        <v>ACCT#17460002268 003/FEB 01-29</v>
      </c>
      <c r="G1375" s="5">
        <v>234.24</v>
      </c>
      <c r="H1375" t="str">
        <f>"ACCT#17460002268 003/FEB 01-29"</f>
        <v>ACCT#17460002268 003/FEB 01-29</v>
      </c>
    </row>
    <row r="1376" spans="1:8" x14ac:dyDescent="0.25">
      <c r="A1376" t="s">
        <v>418</v>
      </c>
      <c r="B1376">
        <v>2283</v>
      </c>
      <c r="C1376" s="5">
        <v>4175</v>
      </c>
      <c r="D1376" s="1">
        <v>43900</v>
      </c>
      <c r="E1376" t="str">
        <f>"202003025575"</f>
        <v>202003025575</v>
      </c>
      <c r="F1376" t="str">
        <f>"17 075 COMPETENCY EVALUATION"</f>
        <v>17 075 COMPETENCY EVALUATION</v>
      </c>
      <c r="G1376" s="5">
        <v>3325</v>
      </c>
      <c r="H1376" t="str">
        <f>"17 075 COMPETENCY EVALUATION"</f>
        <v>17 075 COMPETENCY EVALUATION</v>
      </c>
    </row>
    <row r="1377" spans="1:8" x14ac:dyDescent="0.25">
      <c r="E1377" t="str">
        <f>"202003025576"</f>
        <v>202003025576</v>
      </c>
      <c r="F1377" t="str">
        <f>"16 978 COMPETENCY EVALUATION"</f>
        <v>16 978 COMPETENCY EVALUATION</v>
      </c>
      <c r="G1377" s="5">
        <v>850</v>
      </c>
      <c r="H1377" t="str">
        <f>"16 978 COMPETENCY EVALUATION"</f>
        <v>16 978 COMPETENCY EVALUATION</v>
      </c>
    </row>
    <row r="1378" spans="1:8" x14ac:dyDescent="0.25">
      <c r="A1378" t="s">
        <v>419</v>
      </c>
      <c r="B1378">
        <v>131228</v>
      </c>
      <c r="C1378" s="5">
        <v>37156.5</v>
      </c>
      <c r="D1378" s="1">
        <v>43899</v>
      </c>
      <c r="E1378" t="str">
        <f>"202003035672"</f>
        <v>202003035672</v>
      </c>
      <c r="F1378" t="str">
        <f>"acct# 869395921"</f>
        <v>acct# 869395921</v>
      </c>
      <c r="G1378" s="5">
        <v>37156.5</v>
      </c>
      <c r="H1378" t="str">
        <f>"Fuel"</f>
        <v>Fuel</v>
      </c>
    </row>
    <row r="1379" spans="1:8" x14ac:dyDescent="0.25">
      <c r="E1379" t="str">
        <f>""</f>
        <v/>
      </c>
      <c r="F1379" t="str">
        <f>""</f>
        <v/>
      </c>
      <c r="H1379" t="str">
        <f>"Tax"</f>
        <v>Tax</v>
      </c>
    </row>
    <row r="1380" spans="1:8" x14ac:dyDescent="0.25">
      <c r="E1380" t="str">
        <f>""</f>
        <v/>
      </c>
      <c r="F1380" t="str">
        <f>""</f>
        <v/>
      </c>
      <c r="H1380" t="str">
        <f>"Fuel"</f>
        <v>Fuel</v>
      </c>
    </row>
    <row r="1381" spans="1:8" x14ac:dyDescent="0.25">
      <c r="E1381" t="str">
        <f>""</f>
        <v/>
      </c>
      <c r="F1381" t="str">
        <f>""</f>
        <v/>
      </c>
      <c r="H1381" t="str">
        <f>"Tax"</f>
        <v>Tax</v>
      </c>
    </row>
    <row r="1382" spans="1:8" x14ac:dyDescent="0.25">
      <c r="E1382" t="str">
        <f>""</f>
        <v/>
      </c>
      <c r="F1382" t="str">
        <f>""</f>
        <v/>
      </c>
      <c r="H1382" t="str">
        <f>"Maintenance"</f>
        <v>Maintenance</v>
      </c>
    </row>
    <row r="1383" spans="1:8" x14ac:dyDescent="0.25">
      <c r="E1383" t="str">
        <f>""</f>
        <v/>
      </c>
      <c r="F1383" t="str">
        <f>""</f>
        <v/>
      </c>
      <c r="H1383" t="str">
        <f>"Fuel"</f>
        <v>Fuel</v>
      </c>
    </row>
    <row r="1384" spans="1:8" x14ac:dyDescent="0.25">
      <c r="E1384" t="str">
        <f>""</f>
        <v/>
      </c>
      <c r="F1384" t="str">
        <f>""</f>
        <v/>
      </c>
      <c r="H1384" t="str">
        <f>"Tax"</f>
        <v>Tax</v>
      </c>
    </row>
    <row r="1385" spans="1:8" x14ac:dyDescent="0.25">
      <c r="E1385" t="str">
        <f>""</f>
        <v/>
      </c>
      <c r="F1385" t="str">
        <f>""</f>
        <v/>
      </c>
      <c r="H1385" t="str">
        <f>"Maintenance"</f>
        <v>Maintenance</v>
      </c>
    </row>
    <row r="1386" spans="1:8" x14ac:dyDescent="0.25">
      <c r="E1386" t="str">
        <f>""</f>
        <v/>
      </c>
      <c r="F1386" t="str">
        <f>""</f>
        <v/>
      </c>
      <c r="H1386" t="str">
        <f>"Fuel"</f>
        <v>Fuel</v>
      </c>
    </row>
    <row r="1387" spans="1:8" x14ac:dyDescent="0.25">
      <c r="E1387" t="str">
        <f>""</f>
        <v/>
      </c>
      <c r="F1387" t="str">
        <f>""</f>
        <v/>
      </c>
      <c r="H1387" t="str">
        <f>"Tax"</f>
        <v>Tax</v>
      </c>
    </row>
    <row r="1388" spans="1:8" x14ac:dyDescent="0.25">
      <c r="E1388" t="str">
        <f>""</f>
        <v/>
      </c>
      <c r="F1388" t="str">
        <f>""</f>
        <v/>
      </c>
      <c r="H1388" t="str">
        <f>"Maintenance"</f>
        <v>Maintenance</v>
      </c>
    </row>
    <row r="1389" spans="1:8" x14ac:dyDescent="0.25">
      <c r="E1389" t="str">
        <f>""</f>
        <v/>
      </c>
      <c r="F1389" t="str">
        <f>""</f>
        <v/>
      </c>
      <c r="H1389" t="str">
        <f>"Fuel"</f>
        <v>Fuel</v>
      </c>
    </row>
    <row r="1390" spans="1:8" x14ac:dyDescent="0.25">
      <c r="E1390" t="str">
        <f>""</f>
        <v/>
      </c>
      <c r="F1390" t="str">
        <f>""</f>
        <v/>
      </c>
      <c r="H1390" t="str">
        <f>"Tax"</f>
        <v>Tax</v>
      </c>
    </row>
    <row r="1391" spans="1:8" x14ac:dyDescent="0.25">
      <c r="E1391" t="str">
        <f>""</f>
        <v/>
      </c>
      <c r="F1391" t="str">
        <f>""</f>
        <v/>
      </c>
      <c r="H1391" t="str">
        <f>"Maintenance"</f>
        <v>Maintenance</v>
      </c>
    </row>
    <row r="1392" spans="1:8" x14ac:dyDescent="0.25">
      <c r="E1392" t="str">
        <f>""</f>
        <v/>
      </c>
      <c r="F1392" t="str">
        <f>""</f>
        <v/>
      </c>
      <c r="H1392" t="str">
        <f>"Fuel"</f>
        <v>Fuel</v>
      </c>
    </row>
    <row r="1393" spans="1:8" x14ac:dyDescent="0.25">
      <c r="E1393" t="str">
        <f>""</f>
        <v/>
      </c>
      <c r="F1393" t="str">
        <f>""</f>
        <v/>
      </c>
      <c r="H1393" t="str">
        <f>"Maintenance"</f>
        <v>Maintenance</v>
      </c>
    </row>
    <row r="1394" spans="1:8" x14ac:dyDescent="0.25">
      <c r="E1394" t="str">
        <f>""</f>
        <v/>
      </c>
      <c r="F1394" t="str">
        <f>""</f>
        <v/>
      </c>
      <c r="H1394" t="str">
        <f>"Fuel"</f>
        <v>Fuel</v>
      </c>
    </row>
    <row r="1395" spans="1:8" x14ac:dyDescent="0.25">
      <c r="E1395" t="str">
        <f>""</f>
        <v/>
      </c>
      <c r="F1395" t="str">
        <f>""</f>
        <v/>
      </c>
      <c r="H1395" t="str">
        <f>"Tax"</f>
        <v>Tax</v>
      </c>
    </row>
    <row r="1396" spans="1:8" x14ac:dyDescent="0.25">
      <c r="E1396" t="str">
        <f>""</f>
        <v/>
      </c>
      <c r="F1396" t="str">
        <f>""</f>
        <v/>
      </c>
      <c r="H1396" t="str">
        <f>"Maintenance"</f>
        <v>Maintenance</v>
      </c>
    </row>
    <row r="1397" spans="1:8" x14ac:dyDescent="0.25">
      <c r="E1397" t="str">
        <f>""</f>
        <v/>
      </c>
      <c r="F1397" t="str">
        <f>""</f>
        <v/>
      </c>
      <c r="H1397" t="str">
        <f>"Fuel"</f>
        <v>Fuel</v>
      </c>
    </row>
    <row r="1398" spans="1:8" x14ac:dyDescent="0.25">
      <c r="E1398" t="str">
        <f>""</f>
        <v/>
      </c>
      <c r="F1398" t="str">
        <f>""</f>
        <v/>
      </c>
      <c r="H1398" t="str">
        <f>"Tax"</f>
        <v>Tax</v>
      </c>
    </row>
    <row r="1399" spans="1:8" x14ac:dyDescent="0.25">
      <c r="E1399" t="str">
        <f>""</f>
        <v/>
      </c>
      <c r="F1399" t="str">
        <f>""</f>
        <v/>
      </c>
      <c r="H1399" t="str">
        <f>"maintenance"</f>
        <v>maintenance</v>
      </c>
    </row>
    <row r="1400" spans="1:8" x14ac:dyDescent="0.25">
      <c r="E1400" t="str">
        <f>""</f>
        <v/>
      </c>
      <c r="F1400" t="str">
        <f>""</f>
        <v/>
      </c>
      <c r="H1400" t="str">
        <f>"Fuel"</f>
        <v>Fuel</v>
      </c>
    </row>
    <row r="1401" spans="1:8" x14ac:dyDescent="0.25">
      <c r="E1401" t="str">
        <f>""</f>
        <v/>
      </c>
      <c r="F1401" t="str">
        <f>""</f>
        <v/>
      </c>
      <c r="H1401" t="str">
        <f>"Tax"</f>
        <v>Tax</v>
      </c>
    </row>
    <row r="1402" spans="1:8" x14ac:dyDescent="0.25">
      <c r="E1402" t="str">
        <f>""</f>
        <v/>
      </c>
      <c r="F1402" t="str">
        <f>""</f>
        <v/>
      </c>
      <c r="H1402" t="str">
        <f>"Maintenace"</f>
        <v>Maintenace</v>
      </c>
    </row>
    <row r="1403" spans="1:8" x14ac:dyDescent="0.25">
      <c r="E1403" t="str">
        <f>""</f>
        <v/>
      </c>
      <c r="F1403" t="str">
        <f>""</f>
        <v/>
      </c>
      <c r="H1403" t="str">
        <f>"Fuel"</f>
        <v>Fuel</v>
      </c>
    </row>
    <row r="1404" spans="1:8" x14ac:dyDescent="0.25">
      <c r="E1404" t="str">
        <f>""</f>
        <v/>
      </c>
      <c r="F1404" t="str">
        <f>""</f>
        <v/>
      </c>
      <c r="H1404" t="str">
        <f>"Tax"</f>
        <v>Tax</v>
      </c>
    </row>
    <row r="1405" spans="1:8" x14ac:dyDescent="0.25">
      <c r="E1405" t="str">
        <f>""</f>
        <v/>
      </c>
      <c r="F1405" t="str">
        <f>""</f>
        <v/>
      </c>
      <c r="H1405" t="str">
        <f>"Maintenance"</f>
        <v>Maintenance</v>
      </c>
    </row>
    <row r="1406" spans="1:8" x14ac:dyDescent="0.25">
      <c r="A1406" t="s">
        <v>420</v>
      </c>
      <c r="B1406">
        <v>2273</v>
      </c>
      <c r="C1406" s="5">
        <v>2815.25</v>
      </c>
      <c r="D1406" s="1">
        <v>43900</v>
      </c>
      <c r="E1406" t="str">
        <f>"18289"</f>
        <v>18289</v>
      </c>
      <c r="F1406" t="str">
        <f>"COLD MIX/FREIGHT/PCT#3"</f>
        <v>COLD MIX/FREIGHT/PCT#3</v>
      </c>
      <c r="G1406" s="5">
        <v>2815.25</v>
      </c>
      <c r="H1406" t="str">
        <f>"COLD MIX/FREIGHT/PCT#3"</f>
        <v>COLD MIX/FREIGHT/PCT#3</v>
      </c>
    </row>
    <row r="1407" spans="1:8" x14ac:dyDescent="0.25">
      <c r="A1407" t="s">
        <v>420</v>
      </c>
      <c r="B1407">
        <v>2352</v>
      </c>
      <c r="C1407" s="5">
        <v>8164.2</v>
      </c>
      <c r="D1407" s="1">
        <v>43914</v>
      </c>
      <c r="E1407" t="str">
        <f>"18328"</f>
        <v>18328</v>
      </c>
      <c r="F1407" t="str">
        <f>"COLD MIX/FREIGHT/PCT#4"</f>
        <v>COLD MIX/FREIGHT/PCT#4</v>
      </c>
      <c r="G1407" s="5">
        <v>2779.7</v>
      </c>
      <c r="H1407" t="str">
        <f>"COLD MIX/FREIGHT/PCT#4"</f>
        <v>COLD MIX/FREIGHT/PCT#4</v>
      </c>
    </row>
    <row r="1408" spans="1:8" x14ac:dyDescent="0.25">
      <c r="E1408" t="str">
        <f>"18396"</f>
        <v>18396</v>
      </c>
      <c r="F1408" t="str">
        <f>"COLD MIX/FREIGHT/PCT#3"</f>
        <v>COLD MIX/FREIGHT/PCT#3</v>
      </c>
      <c r="G1408" s="5">
        <v>2760.5</v>
      </c>
      <c r="H1408" t="str">
        <f>"COLD MIX/FREIGHT/PCT#3"</f>
        <v>COLD MIX/FREIGHT/PCT#3</v>
      </c>
    </row>
    <row r="1409" spans="1:8" x14ac:dyDescent="0.25">
      <c r="E1409" t="str">
        <f>"18426"</f>
        <v>18426</v>
      </c>
      <c r="F1409" t="str">
        <f>"COLD MIX/FREIGHT/PCT#4"</f>
        <v>COLD MIX/FREIGHT/PCT#4</v>
      </c>
      <c r="G1409" s="5">
        <v>2624</v>
      </c>
      <c r="H1409" t="str">
        <f>"COLD MIX/FREIGHT/PCT#4"</f>
        <v>COLD MIX/FREIGHT/PCT#4</v>
      </c>
    </row>
    <row r="1410" spans="1:8" x14ac:dyDescent="0.25">
      <c r="A1410" t="s">
        <v>421</v>
      </c>
      <c r="B1410">
        <v>131081</v>
      </c>
      <c r="C1410" s="5">
        <v>25095.45</v>
      </c>
      <c r="D1410" s="1">
        <v>43895</v>
      </c>
      <c r="E1410" t="str">
        <f>"10374512"</f>
        <v>10374512</v>
      </c>
      <c r="F1410" t="str">
        <f>"ACCT#5150-005117630/03052020"</f>
        <v>ACCT#5150-005117630/03052020</v>
      </c>
      <c r="G1410" s="5">
        <v>262.81</v>
      </c>
      <c r="H1410" t="str">
        <f>"ACCT#5150-005117630/03052020"</f>
        <v>ACCT#5150-005117630/03052020</v>
      </c>
    </row>
    <row r="1411" spans="1:8" x14ac:dyDescent="0.25">
      <c r="E1411" t="str">
        <f>"10374519"</f>
        <v>10374519</v>
      </c>
      <c r="F1411" t="str">
        <f>"ACCT#5150-005117766/03052020"</f>
        <v>ACCT#5150-005117766/03052020</v>
      </c>
      <c r="G1411" s="5">
        <v>115.36</v>
      </c>
      <c r="H1411" t="str">
        <f>"ACCT#5150-005117766/03052020"</f>
        <v>ACCT#5150-005117766/03052020</v>
      </c>
    </row>
    <row r="1412" spans="1:8" x14ac:dyDescent="0.25">
      <c r="E1412" t="str">
        <f>"10374524"</f>
        <v>10374524</v>
      </c>
      <c r="F1412" t="str">
        <f>"ACCT#5150-005117838/03052020"</f>
        <v>ACCT#5150-005117838/03052020</v>
      </c>
      <c r="G1412" s="5">
        <v>106.76</v>
      </c>
      <c r="H1412" t="str">
        <f>"ACCT#5150-005117838/03052020"</f>
        <v>ACCT#5150-005117838/03052020</v>
      </c>
    </row>
    <row r="1413" spans="1:8" x14ac:dyDescent="0.25">
      <c r="E1413" t="str">
        <f>"10374526"</f>
        <v>10374526</v>
      </c>
      <c r="F1413" t="str">
        <f>"ACCT#5150-005117882/03052020"</f>
        <v>ACCT#5150-005117882/03052020</v>
      </c>
      <c r="G1413" s="5">
        <v>144.19</v>
      </c>
      <c r="H1413" t="str">
        <f>"ACCT#5150-005117882/03052020"</f>
        <v>ACCT#5150-005117882/03052020</v>
      </c>
    </row>
    <row r="1414" spans="1:8" x14ac:dyDescent="0.25">
      <c r="E1414" t="str">
        <f>"10374534"</f>
        <v>10374534</v>
      </c>
      <c r="F1414" t="str">
        <f>"ACCT#5150-005118183/03052020"</f>
        <v>ACCT#5150-005118183/03052020</v>
      </c>
      <c r="G1414" s="5">
        <v>618.96</v>
      </c>
      <c r="H1414" t="str">
        <f>"ACCT#5150-005118183/03052020"</f>
        <v>ACCT#5150-005118183/03052020</v>
      </c>
    </row>
    <row r="1415" spans="1:8" x14ac:dyDescent="0.25">
      <c r="E1415" t="str">
        <f>"10374572"</f>
        <v>10374572</v>
      </c>
      <c r="F1415" t="str">
        <f>"ACCT#5150-005129483/03052020"</f>
        <v>ACCT#5150-005129483/03052020</v>
      </c>
      <c r="G1415" s="5">
        <v>23735</v>
      </c>
      <c r="H1415" t="str">
        <f>"ACCT#5150-005129483/03052020"</f>
        <v>ACCT#5150-005129483/03052020</v>
      </c>
    </row>
    <row r="1416" spans="1:8" x14ac:dyDescent="0.25">
      <c r="E1416" t="str">
        <f>"10379075"</f>
        <v>10379075</v>
      </c>
      <c r="F1416" t="str">
        <f>"ACCT#5150-16203415/03052020"</f>
        <v>ACCT#5150-16203415/03052020</v>
      </c>
      <c r="G1416" s="5">
        <v>83.48</v>
      </c>
      <c r="H1416" t="str">
        <f>"ACCT#5150-16203415/03052020"</f>
        <v>ACCT#5150-16203415/03052020</v>
      </c>
    </row>
    <row r="1417" spans="1:8" x14ac:dyDescent="0.25">
      <c r="E1417" t="str">
        <f>"10379076"</f>
        <v>10379076</v>
      </c>
      <c r="F1417" t="str">
        <f>"ACCT#5150-16203417/03052020"</f>
        <v>ACCT#5150-16203417/03052020</v>
      </c>
      <c r="G1417" s="5">
        <v>28.89</v>
      </c>
      <c r="H1417" t="str">
        <f>"ACCT#5150-16203417/03052020"</f>
        <v>ACCT#5150-16203417/03052020</v>
      </c>
    </row>
    <row r="1418" spans="1:8" x14ac:dyDescent="0.25">
      <c r="A1418" t="s">
        <v>422</v>
      </c>
      <c r="B1418">
        <v>131229</v>
      </c>
      <c r="C1418" s="5">
        <v>409.86</v>
      </c>
      <c r="D1418" s="1">
        <v>43899</v>
      </c>
      <c r="E1418" t="str">
        <f>"0074965-2161-3"</f>
        <v>0074965-2161-3</v>
      </c>
      <c r="F1418" t="str">
        <f>"CUST:2-56581-95066/ANIMAL CONT"</f>
        <v>CUST:2-56581-95066/ANIMAL CONT</v>
      </c>
      <c r="G1418" s="5">
        <v>409.86</v>
      </c>
      <c r="H1418" t="str">
        <f>"CUST:2-56581-95066/ANIMAL CONT"</f>
        <v>CUST:2-56581-95066/ANIMAL CONT</v>
      </c>
    </row>
    <row r="1419" spans="1:8" x14ac:dyDescent="0.25">
      <c r="A1419" t="s">
        <v>422</v>
      </c>
      <c r="B1419">
        <v>131448</v>
      </c>
      <c r="C1419" s="5">
        <v>4647.5200000000004</v>
      </c>
      <c r="D1419" s="1">
        <v>43913</v>
      </c>
      <c r="E1419" t="str">
        <f>"0025893-2161-7"</f>
        <v>0025893-2161-7</v>
      </c>
      <c r="F1419" t="str">
        <f>"CUST ID:2-57060-55062/PCT#4"</f>
        <v>CUST ID:2-57060-55062/PCT#4</v>
      </c>
      <c r="G1419" s="5">
        <v>4537.4399999999996</v>
      </c>
      <c r="H1419" t="str">
        <f>"CUST ID:2-57060-55062/PCT#4"</f>
        <v>CUST ID:2-57060-55062/PCT#4</v>
      </c>
    </row>
    <row r="1420" spans="1:8" x14ac:dyDescent="0.25">
      <c r="E1420" t="str">
        <f>"0040279-2162-8"</f>
        <v>0040279-2162-8</v>
      </c>
      <c r="F1420" t="str">
        <f>"CUST ID:16-27603-83003/ANIMAL"</f>
        <v>CUST ID:16-27603-83003/ANIMAL</v>
      </c>
      <c r="G1420" s="5">
        <v>110.08</v>
      </c>
      <c r="H1420" t="str">
        <f>"CUST ID:16-27603-83003/ANIMAL"</f>
        <v>CUST ID:16-27603-83003/ANIMAL</v>
      </c>
    </row>
    <row r="1421" spans="1:8" x14ac:dyDescent="0.25">
      <c r="A1421" t="s">
        <v>423</v>
      </c>
      <c r="B1421">
        <v>2282</v>
      </c>
      <c r="C1421" s="5">
        <v>104</v>
      </c>
      <c r="D1421" s="1">
        <v>43900</v>
      </c>
      <c r="E1421" t="str">
        <f>"4851"</f>
        <v>4851</v>
      </c>
      <c r="F1421" t="str">
        <f>"INV 4851"</f>
        <v>INV 4851</v>
      </c>
      <c r="G1421" s="5">
        <v>104</v>
      </c>
      <c r="H1421" t="str">
        <f>"INV 4851"</f>
        <v>INV 4851</v>
      </c>
    </row>
    <row r="1422" spans="1:8" x14ac:dyDescent="0.25">
      <c r="A1422" t="s">
        <v>424</v>
      </c>
      <c r="B1422">
        <v>2358</v>
      </c>
      <c r="C1422" s="5">
        <v>14536.72</v>
      </c>
      <c r="D1422" s="1">
        <v>43914</v>
      </c>
      <c r="E1422" t="str">
        <f>"24241"</f>
        <v>24241</v>
      </c>
      <c r="F1422" t="str">
        <f>"INV 24241"</f>
        <v>INV 24241</v>
      </c>
      <c r="G1422" s="5">
        <v>14536.72</v>
      </c>
      <c r="H1422" t="str">
        <f>"INV 24241"</f>
        <v>INV 24241</v>
      </c>
    </row>
    <row r="1423" spans="1:8" x14ac:dyDescent="0.25">
      <c r="A1423" t="s">
        <v>425</v>
      </c>
      <c r="B1423">
        <v>131449</v>
      </c>
      <c r="C1423" s="5">
        <v>70</v>
      </c>
      <c r="D1423" s="1">
        <v>43913</v>
      </c>
      <c r="E1423" t="str">
        <f>"13371"</f>
        <v>13371</v>
      </c>
      <c r="F1423" t="str">
        <f>"SERVICE"</f>
        <v>SERVICE</v>
      </c>
      <c r="G1423" s="5">
        <v>70</v>
      </c>
      <c r="H1423" t="str">
        <f>"SERVICE"</f>
        <v>SERVICE</v>
      </c>
    </row>
    <row r="1424" spans="1:8" x14ac:dyDescent="0.25">
      <c r="A1424" t="s">
        <v>426</v>
      </c>
      <c r="B1424">
        <v>131231</v>
      </c>
      <c r="C1424" s="5">
        <v>170</v>
      </c>
      <c r="D1424" s="1">
        <v>43899</v>
      </c>
      <c r="E1424" t="str">
        <f>"S006250-IN"</f>
        <v>S006250-IN</v>
      </c>
      <c r="F1424" t="str">
        <f>"INV S006250-IN"</f>
        <v>INV S006250-IN</v>
      </c>
      <c r="G1424" s="5">
        <v>170</v>
      </c>
      <c r="H1424" t="str">
        <f>"INV S006250-IN"</f>
        <v>INV S006250-IN</v>
      </c>
    </row>
    <row r="1425" spans="1:8" x14ac:dyDescent="0.25">
      <c r="A1425" t="s">
        <v>427</v>
      </c>
      <c r="B1425">
        <v>131232</v>
      </c>
      <c r="C1425" s="5">
        <v>19180</v>
      </c>
      <c r="D1425" s="1">
        <v>43899</v>
      </c>
      <c r="E1425" t="str">
        <f>"1474"</f>
        <v>1474</v>
      </c>
      <c r="F1425" t="str">
        <f>"BACKFILL MATERIAL/ROAD BASE/P2"</f>
        <v>BACKFILL MATERIAL/ROAD BASE/P2</v>
      </c>
      <c r="G1425" s="5">
        <v>19180</v>
      </c>
      <c r="H1425" t="str">
        <f>"BACKFILL MATERIAL/ROAD BASE/P2"</f>
        <v>BACKFILL MATERIAL/ROAD BASE/P2</v>
      </c>
    </row>
    <row r="1426" spans="1:8" x14ac:dyDescent="0.25">
      <c r="A1426" t="s">
        <v>428</v>
      </c>
      <c r="B1426">
        <v>131450</v>
      </c>
      <c r="C1426" s="5">
        <v>228.38</v>
      </c>
      <c r="D1426" s="1">
        <v>43913</v>
      </c>
      <c r="E1426" t="str">
        <f>"507630  507631"</f>
        <v>507630  507631</v>
      </c>
      <c r="F1426" t="str">
        <f>"ORDER ID 507630/507631"</f>
        <v>ORDER ID 507630/507631</v>
      </c>
      <c r="G1426" s="5">
        <v>228.38</v>
      </c>
      <c r="H1426" t="str">
        <f>"ORDER ID 507630"</f>
        <v>ORDER ID 507630</v>
      </c>
    </row>
    <row r="1427" spans="1:8" x14ac:dyDescent="0.25">
      <c r="E1427" t="str">
        <f>""</f>
        <v/>
      </c>
      <c r="F1427" t="str">
        <f>""</f>
        <v/>
      </c>
      <c r="H1427" t="str">
        <f>"ORDER ID 507631"</f>
        <v>ORDER ID 507631</v>
      </c>
    </row>
    <row r="1428" spans="1:8" x14ac:dyDescent="0.25">
      <c r="A1428" t="s">
        <v>429</v>
      </c>
      <c r="B1428">
        <v>131234</v>
      </c>
      <c r="C1428" s="5">
        <v>1968.4</v>
      </c>
      <c r="D1428" s="1">
        <v>43899</v>
      </c>
      <c r="E1428" t="str">
        <f>"9009901679"</f>
        <v>9009901679</v>
      </c>
      <c r="F1428" t="str">
        <f>"CUST#2000053103/ANIMAL SVCS"</f>
        <v>CUST#2000053103/ANIMAL SVCS</v>
      </c>
      <c r="G1428" s="5">
        <v>954</v>
      </c>
      <c r="H1428" t="str">
        <f>"CUST#2000053103/ANIMAL SVCS"</f>
        <v>CUST#2000053103/ANIMAL SVCS</v>
      </c>
    </row>
    <row r="1429" spans="1:8" x14ac:dyDescent="0.25">
      <c r="E1429" t="str">
        <f>"9009946942"</f>
        <v>9009946942</v>
      </c>
      <c r="F1429" t="str">
        <f>"CUST#2000053103/ANIMAL SHELTER"</f>
        <v>CUST#2000053103/ANIMAL SHELTER</v>
      </c>
      <c r="G1429" s="5">
        <v>1014.4</v>
      </c>
      <c r="H1429" t="str">
        <f>"CUST#2000053103/ANIMAL SHELTER"</f>
        <v>CUST#2000053103/ANIMAL SHELTER</v>
      </c>
    </row>
    <row r="1430" spans="1:8" x14ac:dyDescent="0.25">
      <c r="A1430" t="s">
        <v>430</v>
      </c>
      <c r="B1430">
        <v>131451</v>
      </c>
      <c r="C1430" s="5">
        <v>100</v>
      </c>
      <c r="D1430" s="1">
        <v>43913</v>
      </c>
      <c r="E1430" t="s">
        <v>431</v>
      </c>
      <c r="F1430" t="str">
        <f>"RESTITUTION - E.F. RAMON"</f>
        <v>RESTITUTION - E.F. RAMON</v>
      </c>
      <c r="G1430" s="5">
        <v>100</v>
      </c>
      <c r="H1430" t="str">
        <f>"RESTITUTION - E.F. RAMON"</f>
        <v>RESTITUTION - E.F. RAMON</v>
      </c>
    </row>
    <row r="1431" spans="1:8" x14ac:dyDescent="0.25">
      <c r="A1431" t="s">
        <v>35</v>
      </c>
      <c r="B1431">
        <v>131235</v>
      </c>
      <c r="C1431" s="5">
        <v>94.99</v>
      </c>
      <c r="D1431" s="1">
        <v>43899</v>
      </c>
      <c r="E1431" t="str">
        <f>"202003035668"</f>
        <v>202003035668</v>
      </c>
      <c r="F1431" t="str">
        <f>"ACCT#015397/JUVENILE BOOT CAMP"</f>
        <v>ACCT#015397/JUVENILE BOOT CAMP</v>
      </c>
      <c r="G1431" s="5">
        <v>94.99</v>
      </c>
      <c r="H1431" t="str">
        <f>"ACCT#015397/JUVENILE BOOT CAMP"</f>
        <v>ACCT#015397/JUVENILE BOOT CAMP</v>
      </c>
    </row>
    <row r="1432" spans="1:8" x14ac:dyDescent="0.25">
      <c r="A1432" t="s">
        <v>432</v>
      </c>
      <c r="B1432">
        <v>131236</v>
      </c>
      <c r="C1432" s="5">
        <v>11490.5</v>
      </c>
      <c r="D1432" s="1">
        <v>43899</v>
      </c>
      <c r="E1432" t="str">
        <f>"1083"</f>
        <v>1083</v>
      </c>
      <c r="F1432" t="str">
        <f>"BOOT CAMP EXPENSES-OCT-DEC19"</f>
        <v>BOOT CAMP EXPENSES-OCT-DEC19</v>
      </c>
      <c r="G1432" s="5">
        <v>11490.5</v>
      </c>
      <c r="H1432" t="str">
        <f>"BOOT CAMP EXPENSES-OCT-DEC19"</f>
        <v>BOOT CAMP EXPENSES-OCT-DEC19</v>
      </c>
    </row>
    <row r="1433" spans="1:8" x14ac:dyDescent="0.25">
      <c r="A1433" t="s">
        <v>433</v>
      </c>
      <c r="B1433">
        <v>131452</v>
      </c>
      <c r="C1433" s="5">
        <v>10000</v>
      </c>
      <c r="D1433" s="1">
        <v>43913</v>
      </c>
      <c r="E1433" t="str">
        <f>"19-7355.1"</f>
        <v>19-7355.1</v>
      </c>
      <c r="F1433" t="str">
        <f>"inv# 19-7355.1"</f>
        <v>inv# 19-7355.1</v>
      </c>
      <c r="G1433" s="5">
        <v>10000</v>
      </c>
      <c r="H1433" t="str">
        <f>"inv# 19-7355.1"</f>
        <v>inv# 19-7355.1</v>
      </c>
    </row>
    <row r="1434" spans="1:8" x14ac:dyDescent="0.25">
      <c r="A1434" t="s">
        <v>68</v>
      </c>
      <c r="B1434">
        <v>131293</v>
      </c>
      <c r="C1434" s="5">
        <v>395.71</v>
      </c>
      <c r="D1434" s="1">
        <v>43900</v>
      </c>
      <c r="E1434" t="str">
        <f>"202003105876"</f>
        <v>202003105876</v>
      </c>
      <c r="F1434" t="str">
        <f>"ACCT#5000057374 / 03042020"</f>
        <v>ACCT#5000057374 / 03042020</v>
      </c>
      <c r="G1434" s="5">
        <v>395.71</v>
      </c>
      <c r="H1434" t="str">
        <f>"ACCT#5000057374 / 03042020"</f>
        <v>ACCT#5000057374 / 03042020</v>
      </c>
    </row>
    <row r="1435" spans="1:8" x14ac:dyDescent="0.25">
      <c r="A1435" t="s">
        <v>80</v>
      </c>
      <c r="B1435">
        <v>441</v>
      </c>
      <c r="C1435" s="5">
        <v>176.21</v>
      </c>
      <c r="D1435" s="1">
        <v>43899</v>
      </c>
      <c r="E1435" t="str">
        <f>"202003045737"</f>
        <v>202003045737</v>
      </c>
      <c r="F1435" t="str">
        <f>"ACCT# 0058"</f>
        <v>ACCT# 0058</v>
      </c>
      <c r="G1435" s="5">
        <v>176.21</v>
      </c>
      <c r="H1435" t="str">
        <f>"WALMART"</f>
        <v>WALMART</v>
      </c>
    </row>
    <row r="1436" spans="1:8" x14ac:dyDescent="0.25">
      <c r="A1436" t="s">
        <v>434</v>
      </c>
      <c r="B1436">
        <v>131237</v>
      </c>
      <c r="C1436" s="5">
        <v>220488.44</v>
      </c>
      <c r="D1436" s="1">
        <v>43899</v>
      </c>
      <c r="E1436" t="str">
        <f>"202003025560"</f>
        <v>202003025560</v>
      </c>
      <c r="F1436" t="str">
        <f>"PO6722A-4 PHASE 1"</f>
        <v>PO6722A-4 PHASE 1</v>
      </c>
      <c r="G1436" s="5">
        <v>220488.44</v>
      </c>
      <c r="H1436" t="str">
        <f>"PO6722A-4 PHASE 1"</f>
        <v>PO6722A-4 PHASE 1</v>
      </c>
    </row>
    <row r="1437" spans="1:8" x14ac:dyDescent="0.25">
      <c r="A1437" t="s">
        <v>102</v>
      </c>
      <c r="B1437">
        <v>131453</v>
      </c>
      <c r="C1437" s="5">
        <v>12802</v>
      </c>
      <c r="D1437" s="1">
        <v>43913</v>
      </c>
      <c r="E1437" t="str">
        <f>"20056627"</f>
        <v>20056627</v>
      </c>
      <c r="F1437" t="str">
        <f>"Pipe for Ulupau circle"</f>
        <v>Pipe for Ulupau circle</v>
      </c>
      <c r="G1437" s="5">
        <v>12802</v>
      </c>
      <c r="H1437" t="str">
        <f>"50FT"</f>
        <v>50FT</v>
      </c>
    </row>
    <row r="1438" spans="1:8" x14ac:dyDescent="0.25">
      <c r="E1438" t="str">
        <f>""</f>
        <v/>
      </c>
      <c r="F1438" t="str">
        <f>""</f>
        <v/>
      </c>
      <c r="H1438" t="str">
        <f>"60FT"</f>
        <v>60FT</v>
      </c>
    </row>
    <row r="1439" spans="1:8" x14ac:dyDescent="0.25">
      <c r="E1439" t="str">
        <f>""</f>
        <v/>
      </c>
      <c r="F1439" t="str">
        <f>""</f>
        <v/>
      </c>
      <c r="H1439" t="str">
        <f>"Hugger"</f>
        <v>Hugger</v>
      </c>
    </row>
    <row r="1440" spans="1:8" x14ac:dyDescent="0.25">
      <c r="E1440" t="str">
        <f>""</f>
        <v/>
      </c>
      <c r="F1440" t="str">
        <f>""</f>
        <v/>
      </c>
      <c r="H1440" t="str">
        <f>"shipping"</f>
        <v>shipping</v>
      </c>
    </row>
    <row r="1441" spans="1:8" x14ac:dyDescent="0.25">
      <c r="A1441" t="s">
        <v>435</v>
      </c>
      <c r="B1441">
        <v>131468</v>
      </c>
      <c r="C1441" s="5">
        <v>4750</v>
      </c>
      <c r="D1441" s="1">
        <v>43920</v>
      </c>
      <c r="E1441" t="str">
        <f>"202003306114"</f>
        <v>202003306114</v>
      </c>
      <c r="F1441" t="str">
        <f>"Medical PPE"</f>
        <v>Medical PPE</v>
      </c>
      <c r="G1441" s="5">
        <v>4750</v>
      </c>
      <c r="H1441" t="str">
        <f>"50% PPE Total Cost"</f>
        <v>50% PPE Total Cost</v>
      </c>
    </row>
    <row r="1442" spans="1:8" x14ac:dyDescent="0.25">
      <c r="E1442" t="str">
        <f>""</f>
        <v/>
      </c>
      <c r="F1442" t="str">
        <f>""</f>
        <v/>
      </c>
      <c r="H1442" t="str">
        <f>"50% PPE Total Cost"</f>
        <v>50% PPE Total Cost</v>
      </c>
    </row>
    <row r="1443" spans="1:8" x14ac:dyDescent="0.25">
      <c r="A1443" t="s">
        <v>200</v>
      </c>
      <c r="B1443">
        <v>131238</v>
      </c>
      <c r="C1443" s="5">
        <v>7380.83</v>
      </c>
      <c r="D1443" s="1">
        <v>43899</v>
      </c>
      <c r="E1443" t="str">
        <f>"817646"</f>
        <v>817646</v>
      </c>
      <c r="F1443" t="str">
        <f>"Animal Control Security"</f>
        <v>Animal Control Security</v>
      </c>
      <c r="G1443" s="5">
        <v>7380.83</v>
      </c>
      <c r="H1443" t="str">
        <f>"Remaining Balance"</f>
        <v>Remaining Balance</v>
      </c>
    </row>
    <row r="1444" spans="1:8" x14ac:dyDescent="0.25">
      <c r="A1444" t="s">
        <v>205</v>
      </c>
      <c r="B1444">
        <v>131454</v>
      </c>
      <c r="C1444" s="5">
        <v>9300</v>
      </c>
      <c r="D1444" s="1">
        <v>43913</v>
      </c>
      <c r="E1444" t="str">
        <f>"3910"</f>
        <v>3910</v>
      </c>
      <c r="F1444" t="str">
        <f>"HMGP ADMIN-DRAINAGE IMPROV PRO"</f>
        <v>HMGP ADMIN-DRAINAGE IMPROV PRO</v>
      </c>
      <c r="G1444" s="5">
        <v>4300</v>
      </c>
      <c r="H1444" t="str">
        <f>"HMGP ADMIN-DRAINAGE IMPROV PRO"</f>
        <v>HMGP ADMIN-DRAINAGE IMPROV PRO</v>
      </c>
    </row>
    <row r="1445" spans="1:8" x14ac:dyDescent="0.25">
      <c r="E1445" t="str">
        <f>"3924"</f>
        <v>3924</v>
      </c>
      <c r="F1445" t="str">
        <f>"FMAG ADMIN/FUEL REDUCTION PROJ"</f>
        <v>FMAG ADMIN/FUEL REDUCTION PROJ</v>
      </c>
      <c r="G1445" s="5">
        <v>5000</v>
      </c>
      <c r="H1445" t="str">
        <f>"FMAG ADMIN/FUEL REDUCTION PROJ"</f>
        <v>FMAG ADMIN/FUEL REDUCTION PROJ</v>
      </c>
    </row>
    <row r="1446" spans="1:8" x14ac:dyDescent="0.25">
      <c r="A1446" t="s">
        <v>436</v>
      </c>
      <c r="B1446">
        <v>131239</v>
      </c>
      <c r="C1446" s="5">
        <v>33380.239999999998</v>
      </c>
      <c r="D1446" s="1">
        <v>43899</v>
      </c>
      <c r="E1446" t="str">
        <f>"202003035652"</f>
        <v>202003035652</v>
      </c>
      <c r="F1446" t="str">
        <f>"CJIS Firewall Replacement"</f>
        <v>CJIS Firewall Replacement</v>
      </c>
      <c r="G1446" s="5">
        <v>33380.239999999998</v>
      </c>
      <c r="H1446" t="str">
        <f>"FPR2130-NGFW-K9"</f>
        <v>FPR2130-NGFW-K9</v>
      </c>
    </row>
    <row r="1447" spans="1:8" x14ac:dyDescent="0.25">
      <c r="E1447" t="str">
        <f>""</f>
        <v/>
      </c>
      <c r="F1447" t="str">
        <f>""</f>
        <v/>
      </c>
      <c r="H1447" t="str">
        <f>"GLC-XS-MMD"</f>
        <v>GLC-XS-MMD</v>
      </c>
    </row>
    <row r="1448" spans="1:8" x14ac:dyDescent="0.25">
      <c r="E1448" t="str">
        <f>""</f>
        <v/>
      </c>
      <c r="F1448" t="str">
        <f>""</f>
        <v/>
      </c>
      <c r="H1448" t="str">
        <f>"FPR-MSP-SSD"</f>
        <v>FPR-MSP-SSD</v>
      </c>
    </row>
    <row r="1449" spans="1:8" x14ac:dyDescent="0.25">
      <c r="E1449" t="str">
        <f>""</f>
        <v/>
      </c>
      <c r="F1449" t="str">
        <f>""</f>
        <v/>
      </c>
      <c r="H1449" t="str">
        <f>"CON-SNT-FRP2130W"</f>
        <v>CON-SNT-FRP2130W</v>
      </c>
    </row>
    <row r="1450" spans="1:8" x14ac:dyDescent="0.25">
      <c r="E1450" t="str">
        <f>""</f>
        <v/>
      </c>
      <c r="F1450" t="str">
        <f>""</f>
        <v/>
      </c>
      <c r="H1450" t="str">
        <f>"L-FPR2130T-TM-1Y"</f>
        <v>L-FPR2130T-TM-1Y</v>
      </c>
    </row>
    <row r="1451" spans="1:8" x14ac:dyDescent="0.25">
      <c r="E1451" t="str">
        <f>""</f>
        <v/>
      </c>
      <c r="F1451" t="str">
        <f>""</f>
        <v/>
      </c>
      <c r="H1451" t="str">
        <f>"SF-FMC-KVM-10-K9"</f>
        <v>SF-FMC-KVM-10-K9</v>
      </c>
    </row>
    <row r="1452" spans="1:8" x14ac:dyDescent="0.25">
      <c r="E1452" t="str">
        <f>""</f>
        <v/>
      </c>
      <c r="F1452" t="str">
        <f>""</f>
        <v/>
      </c>
      <c r="H1452" t="str">
        <f>"CON-ECMUS-SFFMCK01"</f>
        <v>CON-ECMUS-SFFMCK01</v>
      </c>
    </row>
    <row r="1453" spans="1:8" x14ac:dyDescent="0.25">
      <c r="A1453" t="s">
        <v>387</v>
      </c>
      <c r="B1453">
        <v>131467</v>
      </c>
      <c r="C1453" s="5">
        <v>1047.4000000000001</v>
      </c>
      <c r="D1453" s="1">
        <v>43916</v>
      </c>
      <c r="E1453" t="str">
        <f>"27081-WC2-APTF"</f>
        <v>27081-WC2-APTF</v>
      </c>
      <c r="F1453" t="str">
        <f>"2ND QTR 2020 WRKRS COMP/#0110"</f>
        <v>2ND QTR 2020 WRKRS COMP/#0110</v>
      </c>
      <c r="G1453" s="5">
        <v>1047.4000000000001</v>
      </c>
      <c r="H1453" t="str">
        <f>"2ND QTR 2020 WRKRS COMP/#0110"</f>
        <v>2ND QTR 2020 WRKRS COMP/#0110</v>
      </c>
    </row>
    <row r="1454" spans="1:8" x14ac:dyDescent="0.25">
      <c r="A1454" t="s">
        <v>437</v>
      </c>
      <c r="B1454">
        <v>131240</v>
      </c>
      <c r="C1454" s="5">
        <v>600</v>
      </c>
      <c r="D1454" s="1">
        <v>43899</v>
      </c>
      <c r="E1454" t="str">
        <f>"202003035643"</f>
        <v>202003035643</v>
      </c>
      <c r="F1454" t="str">
        <f>"19-20028 ORDER SETTING FEE"</f>
        <v>19-20028 ORDER SETTING FEE</v>
      </c>
      <c r="G1454" s="5">
        <v>600</v>
      </c>
      <c r="H1454" t="str">
        <f>"19-20028 ORDER SETTING FEE"</f>
        <v>19-20028 ORDER SETTING FEE</v>
      </c>
    </row>
    <row r="1455" spans="1:8" x14ac:dyDescent="0.25">
      <c r="A1455" t="s">
        <v>438</v>
      </c>
      <c r="B1455">
        <v>131241</v>
      </c>
      <c r="C1455" s="5">
        <v>600</v>
      </c>
      <c r="D1455" s="1">
        <v>43899</v>
      </c>
      <c r="E1455" t="str">
        <f>"202003035644"</f>
        <v>202003035644</v>
      </c>
      <c r="F1455" t="str">
        <f>"19-20028 ORDER SETTING FEE"</f>
        <v>19-20028 ORDER SETTING FEE</v>
      </c>
      <c r="G1455" s="5">
        <v>600</v>
      </c>
      <c r="H1455" t="str">
        <f>"19-20028 ORDER SETTING FEE"</f>
        <v>19-20028 ORDER SETTING FEE</v>
      </c>
    </row>
    <row r="1456" spans="1:8" x14ac:dyDescent="0.25">
      <c r="A1456" t="s">
        <v>439</v>
      </c>
      <c r="B1456">
        <v>464</v>
      </c>
      <c r="C1456" s="5">
        <v>5027.04</v>
      </c>
      <c r="D1456" s="1">
        <v>43917</v>
      </c>
      <c r="E1456" t="str">
        <f>"202003266111"</f>
        <v>202003266111</v>
      </c>
      <c r="F1456" t="str">
        <f>"ALLSTATE-AMERICAN HERITAGE LIF"</f>
        <v>ALLSTATE-AMERICAN HERITAGE LIF</v>
      </c>
      <c r="G1456" s="5">
        <v>0.04</v>
      </c>
      <c r="H1456" t="str">
        <f>"ALLSTATE-AMERICAN HERITAGE LIF"</f>
        <v>ALLSTATE-AMERICAN HERITAGE LIF</v>
      </c>
    </row>
    <row r="1457" spans="1:8" x14ac:dyDescent="0.25">
      <c r="E1457" t="str">
        <f>"AS 202003035702"</f>
        <v>AS 202003035702</v>
      </c>
      <c r="F1457" t="str">
        <f t="shared" ref="F1457:F1470" si="21">"ALLSTATE"</f>
        <v>ALLSTATE</v>
      </c>
      <c r="G1457" s="5">
        <v>478.93</v>
      </c>
      <c r="H1457" t="str">
        <f t="shared" ref="H1457:H1470" si="22">"ALLSTATE"</f>
        <v>ALLSTATE</v>
      </c>
    </row>
    <row r="1458" spans="1:8" x14ac:dyDescent="0.25">
      <c r="E1458" t="str">
        <f>"AS 202003045735"</f>
        <v>AS 202003045735</v>
      </c>
      <c r="F1458" t="str">
        <f t="shared" si="21"/>
        <v>ALLSTATE</v>
      </c>
      <c r="G1458" s="5">
        <v>27.14</v>
      </c>
      <c r="H1458" t="str">
        <f t="shared" si="22"/>
        <v>ALLSTATE</v>
      </c>
    </row>
    <row r="1459" spans="1:8" x14ac:dyDescent="0.25">
      <c r="E1459" t="str">
        <f>"AS 202003186056"</f>
        <v>AS 202003186056</v>
      </c>
      <c r="F1459" t="str">
        <f t="shared" si="21"/>
        <v>ALLSTATE</v>
      </c>
      <c r="G1459" s="5">
        <v>478.93</v>
      </c>
      <c r="H1459" t="str">
        <f t="shared" si="22"/>
        <v>ALLSTATE</v>
      </c>
    </row>
    <row r="1460" spans="1:8" x14ac:dyDescent="0.25">
      <c r="E1460" t="str">
        <f>"AS 202003186057"</f>
        <v>AS 202003186057</v>
      </c>
      <c r="F1460" t="str">
        <f t="shared" si="21"/>
        <v>ALLSTATE</v>
      </c>
      <c r="G1460" s="5">
        <v>27.14</v>
      </c>
      <c r="H1460" t="str">
        <f t="shared" si="22"/>
        <v>ALLSTATE</v>
      </c>
    </row>
    <row r="1461" spans="1:8" x14ac:dyDescent="0.25">
      <c r="E1461" t="str">
        <f>"ASD202003035702"</f>
        <v>ASD202003035702</v>
      </c>
      <c r="F1461" t="str">
        <f t="shared" si="21"/>
        <v>ALLSTATE</v>
      </c>
      <c r="G1461" s="5">
        <v>170.21</v>
      </c>
      <c r="H1461" t="str">
        <f t="shared" si="22"/>
        <v>ALLSTATE</v>
      </c>
    </row>
    <row r="1462" spans="1:8" x14ac:dyDescent="0.25">
      <c r="E1462" t="str">
        <f>"ASD202003186056"</f>
        <v>ASD202003186056</v>
      </c>
      <c r="F1462" t="str">
        <f t="shared" si="21"/>
        <v>ALLSTATE</v>
      </c>
      <c r="G1462" s="5">
        <v>170.21</v>
      </c>
      <c r="H1462" t="str">
        <f t="shared" si="22"/>
        <v>ALLSTATE</v>
      </c>
    </row>
    <row r="1463" spans="1:8" x14ac:dyDescent="0.25">
      <c r="E1463" t="str">
        <f>"ASI202003035702"</f>
        <v>ASI202003035702</v>
      </c>
      <c r="F1463" t="str">
        <f t="shared" si="21"/>
        <v>ALLSTATE</v>
      </c>
      <c r="G1463" s="5">
        <v>592.16</v>
      </c>
      <c r="H1463" t="str">
        <f t="shared" si="22"/>
        <v>ALLSTATE</v>
      </c>
    </row>
    <row r="1464" spans="1:8" x14ac:dyDescent="0.25">
      <c r="E1464" t="str">
        <f>"ASI202003045735"</f>
        <v>ASI202003045735</v>
      </c>
      <c r="F1464" t="str">
        <f t="shared" si="21"/>
        <v>ALLSTATE</v>
      </c>
      <c r="G1464" s="5">
        <v>67.150000000000006</v>
      </c>
      <c r="H1464" t="str">
        <f t="shared" si="22"/>
        <v>ALLSTATE</v>
      </c>
    </row>
    <row r="1465" spans="1:8" x14ac:dyDescent="0.25">
      <c r="E1465" t="str">
        <f>"ASI202003186056"</f>
        <v>ASI202003186056</v>
      </c>
      <c r="F1465" t="str">
        <f t="shared" si="21"/>
        <v>ALLSTATE</v>
      </c>
      <c r="G1465" s="5">
        <v>592.16</v>
      </c>
      <c r="H1465" t="str">
        <f t="shared" si="22"/>
        <v>ALLSTATE</v>
      </c>
    </row>
    <row r="1466" spans="1:8" x14ac:dyDescent="0.25">
      <c r="E1466" t="str">
        <f>"ASI202003186057"</f>
        <v>ASI202003186057</v>
      </c>
      <c r="F1466" t="str">
        <f t="shared" si="21"/>
        <v>ALLSTATE</v>
      </c>
      <c r="G1466" s="5">
        <v>67.150000000000006</v>
      </c>
      <c r="H1466" t="str">
        <f t="shared" si="22"/>
        <v>ALLSTATE</v>
      </c>
    </row>
    <row r="1467" spans="1:8" x14ac:dyDescent="0.25">
      <c r="E1467" t="str">
        <f>"AST202003035702"</f>
        <v>AST202003035702</v>
      </c>
      <c r="F1467" t="str">
        <f t="shared" si="21"/>
        <v>ALLSTATE</v>
      </c>
      <c r="G1467" s="5">
        <v>1135.3</v>
      </c>
      <c r="H1467" t="str">
        <f t="shared" si="22"/>
        <v>ALLSTATE</v>
      </c>
    </row>
    <row r="1468" spans="1:8" x14ac:dyDescent="0.25">
      <c r="E1468" t="str">
        <f>"AST202003045735"</f>
        <v>AST202003045735</v>
      </c>
      <c r="F1468" t="str">
        <f t="shared" si="21"/>
        <v>ALLSTATE</v>
      </c>
      <c r="G1468" s="5">
        <v>42.61</v>
      </c>
      <c r="H1468" t="str">
        <f t="shared" si="22"/>
        <v>ALLSTATE</v>
      </c>
    </row>
    <row r="1469" spans="1:8" x14ac:dyDescent="0.25">
      <c r="E1469" t="str">
        <f>"AST202003186056"</f>
        <v>AST202003186056</v>
      </c>
      <c r="F1469" t="str">
        <f t="shared" si="21"/>
        <v>ALLSTATE</v>
      </c>
      <c r="G1469" s="5">
        <v>1135.3</v>
      </c>
      <c r="H1469" t="str">
        <f t="shared" si="22"/>
        <v>ALLSTATE</v>
      </c>
    </row>
    <row r="1470" spans="1:8" x14ac:dyDescent="0.25">
      <c r="E1470" t="str">
        <f>"AST202003186057"</f>
        <v>AST202003186057</v>
      </c>
      <c r="F1470" t="str">
        <f t="shared" si="21"/>
        <v>ALLSTATE</v>
      </c>
      <c r="G1470" s="5">
        <v>42.61</v>
      </c>
      <c r="H1470" t="str">
        <f t="shared" si="22"/>
        <v>ALLSTATE</v>
      </c>
    </row>
    <row r="1471" spans="1:8" x14ac:dyDescent="0.25">
      <c r="A1471" t="s">
        <v>440</v>
      </c>
      <c r="B1471">
        <v>460</v>
      </c>
      <c r="C1471" s="5">
        <v>27259.599999999999</v>
      </c>
      <c r="D1471" s="1">
        <v>43917</v>
      </c>
      <c r="E1471" t="str">
        <f>"202003266110"</f>
        <v>202003266110</v>
      </c>
      <c r="F1471" t="str">
        <f>"AmWINS Group Benefits march 20"</f>
        <v>AmWINS Group Benefits march 20</v>
      </c>
      <c r="G1471" s="5">
        <v>27259.599999999999</v>
      </c>
      <c r="H1471" t="str">
        <f>"AmWINS Group Benefits march 20"</f>
        <v>AmWINS Group Benefits march 20</v>
      </c>
    </row>
    <row r="1472" spans="1:8" x14ac:dyDescent="0.25">
      <c r="A1472" t="s">
        <v>441</v>
      </c>
      <c r="B1472">
        <v>436</v>
      </c>
      <c r="C1472" s="5">
        <v>2378.08</v>
      </c>
      <c r="D1472" s="1">
        <v>43896</v>
      </c>
      <c r="E1472" t="str">
        <f>"DHM202003045736"</f>
        <v>DHM202003045736</v>
      </c>
      <c r="F1472" t="str">
        <f>"AP - DENTAL HMO"</f>
        <v>AP - DENTAL HMO</v>
      </c>
      <c r="G1472" s="5">
        <v>45.09</v>
      </c>
      <c r="H1472" t="str">
        <f>"AP - DENTAL HMO"</f>
        <v>AP - DENTAL HMO</v>
      </c>
    </row>
    <row r="1473" spans="1:8" x14ac:dyDescent="0.25">
      <c r="E1473" t="str">
        <f>"DTX202003045736"</f>
        <v>DTX202003045736</v>
      </c>
      <c r="F1473" t="str">
        <f>"AP - TEXAS DENTAL"</f>
        <v>AP - TEXAS DENTAL</v>
      </c>
      <c r="G1473" s="5">
        <v>405.38</v>
      </c>
      <c r="H1473" t="str">
        <f>"AP - TEXAS DENTAL"</f>
        <v>AP - TEXAS DENTAL</v>
      </c>
    </row>
    <row r="1474" spans="1:8" x14ac:dyDescent="0.25">
      <c r="E1474" t="str">
        <f>"FD 202003045736"</f>
        <v>FD 202003045736</v>
      </c>
      <c r="F1474" t="str">
        <f>"AP - FT DEARBORN PRE-TAX"</f>
        <v>AP - FT DEARBORN PRE-TAX</v>
      </c>
      <c r="G1474" s="5">
        <v>80.09</v>
      </c>
      <c r="H1474" t="str">
        <f>"AP - FT DEARBORN PRE-TAX"</f>
        <v>AP - FT DEARBORN PRE-TAX</v>
      </c>
    </row>
    <row r="1475" spans="1:8" x14ac:dyDescent="0.25">
      <c r="E1475" t="str">
        <f>"FDT202003045736"</f>
        <v>FDT202003045736</v>
      </c>
      <c r="F1475" t="str">
        <f>"AP - FT DEARBORN AFTER TAX"</f>
        <v>AP - FT DEARBORN AFTER TAX</v>
      </c>
      <c r="G1475" s="5">
        <v>68.44</v>
      </c>
      <c r="H1475" t="str">
        <f>"AP - FT DEARBORN AFTER TAX"</f>
        <v>AP - FT DEARBORN AFTER TAX</v>
      </c>
    </row>
    <row r="1476" spans="1:8" x14ac:dyDescent="0.25">
      <c r="E1476" t="str">
        <f>"FLX202003045736"</f>
        <v>FLX202003045736</v>
      </c>
      <c r="F1476" t="str">
        <f>"AP - TEX FLEX"</f>
        <v>AP - TEX FLEX</v>
      </c>
      <c r="G1476" s="5">
        <v>80.5</v>
      </c>
      <c r="H1476" t="str">
        <f>"AP - TEX FLEX"</f>
        <v>AP - TEX FLEX</v>
      </c>
    </row>
    <row r="1477" spans="1:8" x14ac:dyDescent="0.25">
      <c r="E1477" t="str">
        <f>"HSA202003045736"</f>
        <v>HSA202003045736</v>
      </c>
      <c r="F1477" t="str">
        <f>"AP- HSA"</f>
        <v>AP- HSA</v>
      </c>
      <c r="G1477" s="5">
        <v>20</v>
      </c>
      <c r="H1477" t="str">
        <f>"AP- HSA"</f>
        <v>AP- HSA</v>
      </c>
    </row>
    <row r="1478" spans="1:8" x14ac:dyDescent="0.25">
      <c r="E1478" t="str">
        <f>"MHS202003045736"</f>
        <v>MHS202003045736</v>
      </c>
      <c r="F1478" t="str">
        <f>"AP - HEALTH SELECT MEDICAL"</f>
        <v>AP - HEALTH SELECT MEDICAL</v>
      </c>
      <c r="G1478" s="5">
        <v>1257.6500000000001</v>
      </c>
      <c r="H1478" t="str">
        <f>"AP - HEALTH SELECT MEDICAL"</f>
        <v>AP - HEALTH SELECT MEDICAL</v>
      </c>
    </row>
    <row r="1479" spans="1:8" x14ac:dyDescent="0.25">
      <c r="E1479" t="str">
        <f>"MSW202003045736"</f>
        <v>MSW202003045736</v>
      </c>
      <c r="F1479" t="str">
        <f>"AP - SCOTT &amp; WHITE MEDICAL"</f>
        <v>AP - SCOTT &amp; WHITE MEDICAL</v>
      </c>
      <c r="G1479" s="5">
        <v>372.9</v>
      </c>
      <c r="H1479" t="str">
        <f>"AP - SCOTT &amp; WHITE MEDICAL"</f>
        <v>AP - SCOTT &amp; WHITE MEDICAL</v>
      </c>
    </row>
    <row r="1480" spans="1:8" x14ac:dyDescent="0.25">
      <c r="E1480" t="str">
        <f>"SPE202003045736"</f>
        <v>SPE202003045736</v>
      </c>
      <c r="F1480" t="str">
        <f>"AP - STATE VISION"</f>
        <v>AP - STATE VISION</v>
      </c>
      <c r="G1480" s="5">
        <v>48.03</v>
      </c>
      <c r="H1480" t="str">
        <f>"AP - STATE VISION"</f>
        <v>AP - STATE VISION</v>
      </c>
    </row>
    <row r="1481" spans="1:8" x14ac:dyDescent="0.25">
      <c r="A1481" t="s">
        <v>441</v>
      </c>
      <c r="B1481">
        <v>453</v>
      </c>
      <c r="C1481" s="5">
        <v>2378.08</v>
      </c>
      <c r="D1481" s="1">
        <v>43910</v>
      </c>
      <c r="E1481" t="str">
        <f>"DHM202003186058"</f>
        <v>DHM202003186058</v>
      </c>
      <c r="F1481" t="str">
        <f>"AP - DENTAL HMO"</f>
        <v>AP - DENTAL HMO</v>
      </c>
      <c r="G1481" s="5">
        <v>45.09</v>
      </c>
      <c r="H1481" t="str">
        <f>"AP - DENTAL HMO"</f>
        <v>AP - DENTAL HMO</v>
      </c>
    </row>
    <row r="1482" spans="1:8" x14ac:dyDescent="0.25">
      <c r="E1482" t="str">
        <f>"DTX202003186058"</f>
        <v>DTX202003186058</v>
      </c>
      <c r="F1482" t="str">
        <f>"AP - TEXAS DENTAL"</f>
        <v>AP - TEXAS DENTAL</v>
      </c>
      <c r="G1482" s="5">
        <v>405.38</v>
      </c>
      <c r="H1482" t="str">
        <f>"AP - TEXAS DENTAL"</f>
        <v>AP - TEXAS DENTAL</v>
      </c>
    </row>
    <row r="1483" spans="1:8" x14ac:dyDescent="0.25">
      <c r="E1483" t="str">
        <f>"FD 202003186058"</f>
        <v>FD 202003186058</v>
      </c>
      <c r="F1483" t="str">
        <f>"AP - FT DEARBORN PRE-TAX"</f>
        <v>AP - FT DEARBORN PRE-TAX</v>
      </c>
      <c r="G1483" s="5">
        <v>80.09</v>
      </c>
      <c r="H1483" t="str">
        <f>"AP - FT DEARBORN PRE-TAX"</f>
        <v>AP - FT DEARBORN PRE-TAX</v>
      </c>
    </row>
    <row r="1484" spans="1:8" x14ac:dyDescent="0.25">
      <c r="E1484" t="str">
        <f>"FDT202003186058"</f>
        <v>FDT202003186058</v>
      </c>
      <c r="F1484" t="str">
        <f>"AP - FT DEARBORN AFTER TAX"</f>
        <v>AP - FT DEARBORN AFTER TAX</v>
      </c>
      <c r="G1484" s="5">
        <v>68.44</v>
      </c>
      <c r="H1484" t="str">
        <f>"AP - FT DEARBORN AFTER TAX"</f>
        <v>AP - FT DEARBORN AFTER TAX</v>
      </c>
    </row>
    <row r="1485" spans="1:8" x14ac:dyDescent="0.25">
      <c r="E1485" t="str">
        <f>"FLX202003186058"</f>
        <v>FLX202003186058</v>
      </c>
      <c r="F1485" t="str">
        <f>"AP - TEX FLEX"</f>
        <v>AP - TEX FLEX</v>
      </c>
      <c r="G1485" s="5">
        <v>80.5</v>
      </c>
      <c r="H1485" t="str">
        <f>"AP - TEX FLEX"</f>
        <v>AP - TEX FLEX</v>
      </c>
    </row>
    <row r="1486" spans="1:8" x14ac:dyDescent="0.25">
      <c r="E1486" t="str">
        <f>"HSA202003186058"</f>
        <v>HSA202003186058</v>
      </c>
      <c r="F1486" t="str">
        <f>"AP- HSA"</f>
        <v>AP- HSA</v>
      </c>
      <c r="G1486" s="5">
        <v>20</v>
      </c>
      <c r="H1486" t="str">
        <f>"AP- HSA"</f>
        <v>AP- HSA</v>
      </c>
    </row>
    <row r="1487" spans="1:8" x14ac:dyDescent="0.25">
      <c r="E1487" t="str">
        <f>"MHS202003186058"</f>
        <v>MHS202003186058</v>
      </c>
      <c r="F1487" t="str">
        <f>"AP - HEALTH SELECT MEDICAL"</f>
        <v>AP - HEALTH SELECT MEDICAL</v>
      </c>
      <c r="G1487" s="5">
        <v>1257.6500000000001</v>
      </c>
      <c r="H1487" t="str">
        <f>"AP - HEALTH SELECT MEDICAL"</f>
        <v>AP - HEALTH SELECT MEDICAL</v>
      </c>
    </row>
    <row r="1488" spans="1:8" x14ac:dyDescent="0.25">
      <c r="E1488" t="str">
        <f>"MSW202003186058"</f>
        <v>MSW202003186058</v>
      </c>
      <c r="F1488" t="str">
        <f>"AP - SCOTT &amp; WHITE MEDICAL"</f>
        <v>AP - SCOTT &amp; WHITE MEDICAL</v>
      </c>
      <c r="G1488" s="5">
        <v>372.9</v>
      </c>
      <c r="H1488" t="str">
        <f>"AP - SCOTT &amp; WHITE MEDICAL"</f>
        <v>AP - SCOTT &amp; WHITE MEDICAL</v>
      </c>
    </row>
    <row r="1489" spans="1:8" x14ac:dyDescent="0.25">
      <c r="E1489" t="str">
        <f>"SPE202003186058"</f>
        <v>SPE202003186058</v>
      </c>
      <c r="F1489" t="str">
        <f>"AP - STATE VISION"</f>
        <v>AP - STATE VISION</v>
      </c>
      <c r="G1489" s="5">
        <v>48.03</v>
      </c>
      <c r="H1489" t="str">
        <f>"AP - STATE VISION"</f>
        <v>AP - STATE VISION</v>
      </c>
    </row>
    <row r="1490" spans="1:8" x14ac:dyDescent="0.25">
      <c r="A1490" t="s">
        <v>442</v>
      </c>
      <c r="B1490">
        <v>465</v>
      </c>
      <c r="C1490" s="5">
        <v>4864.38</v>
      </c>
      <c r="D1490" s="1">
        <v>43917</v>
      </c>
      <c r="E1490" t="str">
        <f>"202003266112"</f>
        <v>202003266112</v>
      </c>
      <c r="F1490" t="str">
        <f>"COLONIAL LIFE &amp; ACCIDENT INS."</f>
        <v>COLONIAL LIFE &amp; ACCIDENT INS.</v>
      </c>
      <c r="G1490" s="5">
        <v>0.46</v>
      </c>
      <c r="H1490" t="str">
        <f>"COLONIAL LIFE &amp; ACCIDENT INS."</f>
        <v>COLONIAL LIFE &amp; ACCIDENT INS.</v>
      </c>
    </row>
    <row r="1491" spans="1:8" x14ac:dyDescent="0.25">
      <c r="E1491" t="str">
        <f>"CL 202003035702"</f>
        <v>CL 202003035702</v>
      </c>
      <c r="F1491" t="str">
        <f t="shared" ref="F1491:F1510" si="23">"COLONIAL"</f>
        <v>COLONIAL</v>
      </c>
      <c r="G1491" s="5">
        <v>610.64</v>
      </c>
      <c r="H1491" t="str">
        <f t="shared" ref="H1491:H1510" si="24">"COLONIAL"</f>
        <v>COLONIAL</v>
      </c>
    </row>
    <row r="1492" spans="1:8" x14ac:dyDescent="0.25">
      <c r="E1492" t="str">
        <f>"CL 202003045735"</f>
        <v>CL 202003045735</v>
      </c>
      <c r="F1492" t="str">
        <f t="shared" si="23"/>
        <v>COLONIAL</v>
      </c>
      <c r="G1492" s="5">
        <v>14.49</v>
      </c>
      <c r="H1492" t="str">
        <f t="shared" si="24"/>
        <v>COLONIAL</v>
      </c>
    </row>
    <row r="1493" spans="1:8" x14ac:dyDescent="0.25">
      <c r="E1493" t="str">
        <f>"CL 202003186056"</f>
        <v>CL 202003186056</v>
      </c>
      <c r="F1493" t="str">
        <f t="shared" si="23"/>
        <v>COLONIAL</v>
      </c>
      <c r="G1493" s="5">
        <v>610.64</v>
      </c>
      <c r="H1493" t="str">
        <f t="shared" si="24"/>
        <v>COLONIAL</v>
      </c>
    </row>
    <row r="1494" spans="1:8" x14ac:dyDescent="0.25">
      <c r="E1494" t="str">
        <f>"CL 202003186057"</f>
        <v>CL 202003186057</v>
      </c>
      <c r="F1494" t="str">
        <f t="shared" si="23"/>
        <v>COLONIAL</v>
      </c>
      <c r="G1494" s="5">
        <v>14.49</v>
      </c>
      <c r="H1494" t="str">
        <f t="shared" si="24"/>
        <v>COLONIAL</v>
      </c>
    </row>
    <row r="1495" spans="1:8" x14ac:dyDescent="0.25">
      <c r="E1495" t="str">
        <f>"CLC202003035702"</f>
        <v>CLC202003035702</v>
      </c>
      <c r="F1495" t="str">
        <f t="shared" si="23"/>
        <v>COLONIAL</v>
      </c>
      <c r="G1495" s="5">
        <v>33.99</v>
      </c>
      <c r="H1495" t="str">
        <f t="shared" si="24"/>
        <v>COLONIAL</v>
      </c>
    </row>
    <row r="1496" spans="1:8" x14ac:dyDescent="0.25">
      <c r="E1496" t="str">
        <f>"CLC202003186056"</f>
        <v>CLC202003186056</v>
      </c>
      <c r="F1496" t="str">
        <f t="shared" si="23"/>
        <v>COLONIAL</v>
      </c>
      <c r="G1496" s="5">
        <v>33.99</v>
      </c>
      <c r="H1496" t="str">
        <f t="shared" si="24"/>
        <v>COLONIAL</v>
      </c>
    </row>
    <row r="1497" spans="1:8" x14ac:dyDescent="0.25">
      <c r="E1497" t="str">
        <f>"CLI202003035702"</f>
        <v>CLI202003035702</v>
      </c>
      <c r="F1497" t="str">
        <f t="shared" si="23"/>
        <v>COLONIAL</v>
      </c>
      <c r="G1497" s="5">
        <v>570.70000000000005</v>
      </c>
      <c r="H1497" t="str">
        <f t="shared" si="24"/>
        <v>COLONIAL</v>
      </c>
    </row>
    <row r="1498" spans="1:8" x14ac:dyDescent="0.25">
      <c r="E1498" t="str">
        <f>"CLI202003186056"</f>
        <v>CLI202003186056</v>
      </c>
      <c r="F1498" t="str">
        <f t="shared" si="23"/>
        <v>COLONIAL</v>
      </c>
      <c r="G1498" s="5">
        <v>570.70000000000005</v>
      </c>
      <c r="H1498" t="str">
        <f t="shared" si="24"/>
        <v>COLONIAL</v>
      </c>
    </row>
    <row r="1499" spans="1:8" x14ac:dyDescent="0.25">
      <c r="E1499" t="str">
        <f>"CLK202003035702"</f>
        <v>CLK202003035702</v>
      </c>
      <c r="F1499" t="str">
        <f t="shared" si="23"/>
        <v>COLONIAL</v>
      </c>
      <c r="G1499" s="5">
        <v>27.09</v>
      </c>
      <c r="H1499" t="str">
        <f t="shared" si="24"/>
        <v>COLONIAL</v>
      </c>
    </row>
    <row r="1500" spans="1:8" x14ac:dyDescent="0.25">
      <c r="E1500" t="str">
        <f>"CLK202003186056"</f>
        <v>CLK202003186056</v>
      </c>
      <c r="F1500" t="str">
        <f t="shared" si="23"/>
        <v>COLONIAL</v>
      </c>
      <c r="G1500" s="5">
        <v>27.09</v>
      </c>
      <c r="H1500" t="str">
        <f t="shared" si="24"/>
        <v>COLONIAL</v>
      </c>
    </row>
    <row r="1501" spans="1:8" x14ac:dyDescent="0.25">
      <c r="E1501" t="str">
        <f>"CLS202003035702"</f>
        <v>CLS202003035702</v>
      </c>
      <c r="F1501" t="str">
        <f t="shared" si="23"/>
        <v>COLONIAL</v>
      </c>
      <c r="G1501" s="5">
        <v>373.88</v>
      </c>
      <c r="H1501" t="str">
        <f t="shared" si="24"/>
        <v>COLONIAL</v>
      </c>
    </row>
    <row r="1502" spans="1:8" x14ac:dyDescent="0.25">
      <c r="E1502" t="str">
        <f>"CLS202003045735"</f>
        <v>CLS202003045735</v>
      </c>
      <c r="F1502" t="str">
        <f t="shared" si="23"/>
        <v>COLONIAL</v>
      </c>
      <c r="G1502" s="5">
        <v>15.73</v>
      </c>
      <c r="H1502" t="str">
        <f t="shared" si="24"/>
        <v>COLONIAL</v>
      </c>
    </row>
    <row r="1503" spans="1:8" x14ac:dyDescent="0.25">
      <c r="E1503" t="str">
        <f>"CLS202003186056"</f>
        <v>CLS202003186056</v>
      </c>
      <c r="F1503" t="str">
        <f t="shared" si="23"/>
        <v>COLONIAL</v>
      </c>
      <c r="G1503" s="5">
        <v>373.88</v>
      </c>
      <c r="H1503" t="str">
        <f t="shared" si="24"/>
        <v>COLONIAL</v>
      </c>
    </row>
    <row r="1504" spans="1:8" x14ac:dyDescent="0.25">
      <c r="E1504" t="str">
        <f>"CLS202003186057"</f>
        <v>CLS202003186057</v>
      </c>
      <c r="F1504" t="str">
        <f t="shared" si="23"/>
        <v>COLONIAL</v>
      </c>
      <c r="G1504" s="5">
        <v>15.73</v>
      </c>
      <c r="H1504" t="str">
        <f t="shared" si="24"/>
        <v>COLONIAL</v>
      </c>
    </row>
    <row r="1505" spans="1:8" x14ac:dyDescent="0.25">
      <c r="E1505" t="str">
        <f>"CLT202003035702"</f>
        <v>CLT202003035702</v>
      </c>
      <c r="F1505" t="str">
        <f t="shared" si="23"/>
        <v>COLONIAL</v>
      </c>
      <c r="G1505" s="5">
        <v>365.09</v>
      </c>
      <c r="H1505" t="str">
        <f t="shared" si="24"/>
        <v>COLONIAL</v>
      </c>
    </row>
    <row r="1506" spans="1:8" x14ac:dyDescent="0.25">
      <c r="E1506" t="str">
        <f>"CLT202003186056"</f>
        <v>CLT202003186056</v>
      </c>
      <c r="F1506" t="str">
        <f t="shared" si="23"/>
        <v>COLONIAL</v>
      </c>
      <c r="G1506" s="5">
        <v>365.09</v>
      </c>
      <c r="H1506" t="str">
        <f t="shared" si="24"/>
        <v>COLONIAL</v>
      </c>
    </row>
    <row r="1507" spans="1:8" x14ac:dyDescent="0.25">
      <c r="E1507" t="str">
        <f>"CLU202003035702"</f>
        <v>CLU202003035702</v>
      </c>
      <c r="F1507" t="str">
        <f t="shared" si="23"/>
        <v>COLONIAL</v>
      </c>
      <c r="G1507" s="5">
        <v>111.55</v>
      </c>
      <c r="H1507" t="str">
        <f t="shared" si="24"/>
        <v>COLONIAL</v>
      </c>
    </row>
    <row r="1508" spans="1:8" x14ac:dyDescent="0.25">
      <c r="E1508" t="str">
        <f>"CLU202003186056"</f>
        <v>CLU202003186056</v>
      </c>
      <c r="F1508" t="str">
        <f t="shared" si="23"/>
        <v>COLONIAL</v>
      </c>
      <c r="G1508" s="5">
        <v>111.55</v>
      </c>
      <c r="H1508" t="str">
        <f t="shared" si="24"/>
        <v>COLONIAL</v>
      </c>
    </row>
    <row r="1509" spans="1:8" x14ac:dyDescent="0.25">
      <c r="E1509" t="str">
        <f>"CLW202003035702"</f>
        <v>CLW202003035702</v>
      </c>
      <c r="F1509" t="str">
        <f t="shared" si="23"/>
        <v>COLONIAL</v>
      </c>
      <c r="G1509" s="5">
        <v>308.8</v>
      </c>
      <c r="H1509" t="str">
        <f t="shared" si="24"/>
        <v>COLONIAL</v>
      </c>
    </row>
    <row r="1510" spans="1:8" x14ac:dyDescent="0.25">
      <c r="E1510" t="str">
        <f>"CLW202003186056"</f>
        <v>CLW202003186056</v>
      </c>
      <c r="F1510" t="str">
        <f t="shared" si="23"/>
        <v>COLONIAL</v>
      </c>
      <c r="G1510" s="5">
        <v>308.8</v>
      </c>
      <c r="H1510" t="str">
        <f t="shared" si="24"/>
        <v>COLONIAL</v>
      </c>
    </row>
    <row r="1511" spans="1:8" x14ac:dyDescent="0.25">
      <c r="A1511" t="s">
        <v>443</v>
      </c>
      <c r="B1511">
        <v>437</v>
      </c>
      <c r="C1511" s="5">
        <v>5100.03</v>
      </c>
      <c r="D1511" s="1">
        <v>43896</v>
      </c>
      <c r="E1511" t="str">
        <f>"CPI202003035702"</f>
        <v>CPI202003035702</v>
      </c>
      <c r="F1511" t="str">
        <f>"DEFERRED COMP 457B PAYABLE"</f>
        <v>DEFERRED COMP 457B PAYABLE</v>
      </c>
      <c r="G1511" s="5">
        <v>4992.53</v>
      </c>
      <c r="H1511" t="str">
        <f>"DEFERRED COMP 457B PAYABLE"</f>
        <v>DEFERRED COMP 457B PAYABLE</v>
      </c>
    </row>
    <row r="1512" spans="1:8" x14ac:dyDescent="0.25">
      <c r="E1512" t="str">
        <f>"CPI202003045735"</f>
        <v>CPI202003045735</v>
      </c>
      <c r="F1512" t="str">
        <f>"DEFERRED COMP 457B PAYABLE"</f>
        <v>DEFERRED COMP 457B PAYABLE</v>
      </c>
      <c r="G1512" s="5">
        <v>107.5</v>
      </c>
      <c r="H1512" t="str">
        <f>"DEFERRED COMP 457B PAYABLE"</f>
        <v>DEFERRED COMP 457B PAYABLE</v>
      </c>
    </row>
    <row r="1513" spans="1:8" x14ac:dyDescent="0.25">
      <c r="A1513" t="s">
        <v>443</v>
      </c>
      <c r="B1513">
        <v>454</v>
      </c>
      <c r="C1513" s="5">
        <v>7250.03</v>
      </c>
      <c r="D1513" s="1">
        <v>43910</v>
      </c>
      <c r="E1513" t="str">
        <f>"CPI202003186056"</f>
        <v>CPI202003186056</v>
      </c>
      <c r="F1513" t="str">
        <f>"DEFERRED COMP 457B PAYABLE"</f>
        <v>DEFERRED COMP 457B PAYABLE</v>
      </c>
      <c r="G1513" s="5">
        <v>7142.53</v>
      </c>
      <c r="H1513" t="str">
        <f>"DEFERRED COMP 457B PAYABLE"</f>
        <v>DEFERRED COMP 457B PAYABLE</v>
      </c>
    </row>
    <row r="1514" spans="1:8" x14ac:dyDescent="0.25">
      <c r="E1514" t="str">
        <f>"CPI202003186057"</f>
        <v>CPI202003186057</v>
      </c>
      <c r="F1514" t="str">
        <f>"DEFERRED COMP 457B PAYABLE"</f>
        <v>DEFERRED COMP 457B PAYABLE</v>
      </c>
      <c r="G1514" s="5">
        <v>107.5</v>
      </c>
      <c r="H1514" t="str">
        <f>"DEFERRED COMP 457B PAYABLE"</f>
        <v>DEFERRED COMP 457B PAYABLE</v>
      </c>
    </row>
    <row r="1515" spans="1:8" x14ac:dyDescent="0.25">
      <c r="A1515" t="s">
        <v>444</v>
      </c>
      <c r="B1515">
        <v>47836</v>
      </c>
      <c r="C1515" s="5">
        <v>853.85</v>
      </c>
      <c r="D1515" s="1">
        <v>43896</v>
      </c>
      <c r="E1515" t="str">
        <f>"B13202003035702"</f>
        <v>B13202003035702</v>
      </c>
      <c r="F1515" t="str">
        <f>"Rosa Warren 15-10357-TMD"</f>
        <v>Rosa Warren 15-10357-TMD</v>
      </c>
      <c r="G1515" s="5">
        <v>853.85</v>
      </c>
      <c r="H1515" t="str">
        <f>"Rosa Warren 15-10357-TMD"</f>
        <v>Rosa Warren 15-10357-TMD</v>
      </c>
    </row>
    <row r="1516" spans="1:8" x14ac:dyDescent="0.25">
      <c r="A1516" t="s">
        <v>444</v>
      </c>
      <c r="B1516">
        <v>47873</v>
      </c>
      <c r="C1516" s="5">
        <v>853.85</v>
      </c>
      <c r="D1516" s="1">
        <v>43910</v>
      </c>
      <c r="E1516" t="str">
        <f>"B13202003186056"</f>
        <v>B13202003186056</v>
      </c>
      <c r="F1516" t="str">
        <f>"Rosa Warren 15-10357-TMD"</f>
        <v>Rosa Warren 15-10357-TMD</v>
      </c>
      <c r="G1516" s="5">
        <v>853.85</v>
      </c>
      <c r="H1516" t="str">
        <f>"Rosa Warren 15-10357-TMD"</f>
        <v>Rosa Warren 15-10357-TMD</v>
      </c>
    </row>
    <row r="1517" spans="1:8" x14ac:dyDescent="0.25">
      <c r="A1517" t="s">
        <v>445</v>
      </c>
      <c r="B1517">
        <v>461</v>
      </c>
      <c r="C1517" s="5">
        <v>41956.12</v>
      </c>
      <c r="D1517" s="1">
        <v>43917</v>
      </c>
      <c r="E1517" t="str">
        <f>"202003266106"</f>
        <v>202003266106</v>
      </c>
      <c r="F1517" t="str">
        <f>"Schneider Credit taken in Feb"</f>
        <v>Schneider Credit taken in Feb</v>
      </c>
      <c r="G1517" s="5">
        <v>-91.3</v>
      </c>
      <c r="H1517" t="str">
        <f>"Schneider Credit taken in Feb"</f>
        <v>Schneider Credit taken in Feb</v>
      </c>
    </row>
    <row r="1518" spans="1:8" x14ac:dyDescent="0.25">
      <c r="E1518" t="str">
        <f>"202003266105"</f>
        <v>202003266105</v>
      </c>
      <c r="F1518" t="str">
        <f>"RETIREE MARCH 2020"</f>
        <v>RETIREE MARCH 2020</v>
      </c>
      <c r="G1518" s="5">
        <v>3423.44</v>
      </c>
      <c r="H1518" t="str">
        <f>"RETIREE MARCH 2020"</f>
        <v>RETIREE MARCH 2020</v>
      </c>
    </row>
    <row r="1519" spans="1:8" x14ac:dyDescent="0.25">
      <c r="E1519" t="str">
        <f>"202003266107"</f>
        <v>202003266107</v>
      </c>
      <c r="F1519" t="str">
        <f>"Rounding March 2020"</f>
        <v>Rounding March 2020</v>
      </c>
      <c r="G1519" s="5">
        <v>1.1000000000000001</v>
      </c>
      <c r="H1519" t="str">
        <f>"Rounding March 2020"</f>
        <v>Rounding March 2020</v>
      </c>
    </row>
    <row r="1520" spans="1:8" x14ac:dyDescent="0.25">
      <c r="E1520" t="str">
        <f>"ADC202003035702"</f>
        <v>ADC202003035702</v>
      </c>
      <c r="F1520" t="str">
        <f t="shared" ref="F1520:F1532" si="25">"GUARDIAN"</f>
        <v>GUARDIAN</v>
      </c>
      <c r="G1520" s="5">
        <v>4.97</v>
      </c>
      <c r="H1520" t="str">
        <f t="shared" ref="H1520:H1583" si="26">"GUARDIAN"</f>
        <v>GUARDIAN</v>
      </c>
    </row>
    <row r="1521" spans="5:8" x14ac:dyDescent="0.25">
      <c r="E1521" t="str">
        <f>"ADC202003045735"</f>
        <v>ADC202003045735</v>
      </c>
      <c r="F1521" t="str">
        <f t="shared" si="25"/>
        <v>GUARDIAN</v>
      </c>
      <c r="G1521" s="5">
        <v>0.16</v>
      </c>
      <c r="H1521" t="str">
        <f t="shared" si="26"/>
        <v>GUARDIAN</v>
      </c>
    </row>
    <row r="1522" spans="5:8" x14ac:dyDescent="0.25">
      <c r="E1522" t="str">
        <f>"ADC202003186056"</f>
        <v>ADC202003186056</v>
      </c>
      <c r="F1522" t="str">
        <f t="shared" si="25"/>
        <v>GUARDIAN</v>
      </c>
      <c r="G1522" s="5">
        <v>4.97</v>
      </c>
      <c r="H1522" t="str">
        <f t="shared" si="26"/>
        <v>GUARDIAN</v>
      </c>
    </row>
    <row r="1523" spans="5:8" x14ac:dyDescent="0.25">
      <c r="E1523" t="str">
        <f>"ADC202003186057"</f>
        <v>ADC202003186057</v>
      </c>
      <c r="F1523" t="str">
        <f t="shared" si="25"/>
        <v>GUARDIAN</v>
      </c>
      <c r="G1523" s="5">
        <v>0.16</v>
      </c>
      <c r="H1523" t="str">
        <f t="shared" si="26"/>
        <v>GUARDIAN</v>
      </c>
    </row>
    <row r="1524" spans="5:8" x14ac:dyDescent="0.25">
      <c r="E1524" t="str">
        <f>"ADE202003035702"</f>
        <v>ADE202003035702</v>
      </c>
      <c r="F1524" t="str">
        <f t="shared" si="25"/>
        <v>GUARDIAN</v>
      </c>
      <c r="G1524" s="5">
        <v>234.26</v>
      </c>
      <c r="H1524" t="str">
        <f t="shared" si="26"/>
        <v>GUARDIAN</v>
      </c>
    </row>
    <row r="1525" spans="5:8" x14ac:dyDescent="0.25">
      <c r="E1525" t="str">
        <f>"ADE202003045735"</f>
        <v>ADE202003045735</v>
      </c>
      <c r="F1525" t="str">
        <f t="shared" si="25"/>
        <v>GUARDIAN</v>
      </c>
      <c r="G1525" s="5">
        <v>6.3</v>
      </c>
      <c r="H1525" t="str">
        <f t="shared" si="26"/>
        <v>GUARDIAN</v>
      </c>
    </row>
    <row r="1526" spans="5:8" x14ac:dyDescent="0.25">
      <c r="E1526" t="str">
        <f>"ADE202003186056"</f>
        <v>ADE202003186056</v>
      </c>
      <c r="F1526" t="str">
        <f t="shared" si="25"/>
        <v>GUARDIAN</v>
      </c>
      <c r="G1526" s="5">
        <v>234.26</v>
      </c>
      <c r="H1526" t="str">
        <f t="shared" si="26"/>
        <v>GUARDIAN</v>
      </c>
    </row>
    <row r="1527" spans="5:8" x14ac:dyDescent="0.25">
      <c r="E1527" t="str">
        <f>"ADE202003186057"</f>
        <v>ADE202003186057</v>
      </c>
      <c r="F1527" t="str">
        <f t="shared" si="25"/>
        <v>GUARDIAN</v>
      </c>
      <c r="G1527" s="5">
        <v>6.3</v>
      </c>
      <c r="H1527" t="str">
        <f t="shared" si="26"/>
        <v>GUARDIAN</v>
      </c>
    </row>
    <row r="1528" spans="5:8" x14ac:dyDescent="0.25">
      <c r="E1528" t="str">
        <f>"ADS202003035702"</f>
        <v>ADS202003035702</v>
      </c>
      <c r="F1528" t="str">
        <f t="shared" si="25"/>
        <v>GUARDIAN</v>
      </c>
      <c r="G1528" s="5">
        <v>44.82</v>
      </c>
      <c r="H1528" t="str">
        <f t="shared" si="26"/>
        <v>GUARDIAN</v>
      </c>
    </row>
    <row r="1529" spans="5:8" x14ac:dyDescent="0.25">
      <c r="E1529" t="str">
        <f>"ADS202003045735"</f>
        <v>ADS202003045735</v>
      </c>
      <c r="F1529" t="str">
        <f t="shared" si="25"/>
        <v>GUARDIAN</v>
      </c>
      <c r="G1529" s="5">
        <v>0.53</v>
      </c>
      <c r="H1529" t="str">
        <f t="shared" si="26"/>
        <v>GUARDIAN</v>
      </c>
    </row>
    <row r="1530" spans="5:8" x14ac:dyDescent="0.25">
      <c r="E1530" t="str">
        <f>"ADS202003186056"</f>
        <v>ADS202003186056</v>
      </c>
      <c r="F1530" t="str">
        <f t="shared" si="25"/>
        <v>GUARDIAN</v>
      </c>
      <c r="G1530" s="5">
        <v>44.82</v>
      </c>
      <c r="H1530" t="str">
        <f t="shared" si="26"/>
        <v>GUARDIAN</v>
      </c>
    </row>
    <row r="1531" spans="5:8" x14ac:dyDescent="0.25">
      <c r="E1531" t="str">
        <f>"ADS202003186057"</f>
        <v>ADS202003186057</v>
      </c>
      <c r="F1531" t="str">
        <f t="shared" si="25"/>
        <v>GUARDIAN</v>
      </c>
      <c r="G1531" s="5">
        <v>0.53</v>
      </c>
      <c r="H1531" t="str">
        <f t="shared" si="26"/>
        <v>GUARDIAN</v>
      </c>
    </row>
    <row r="1532" spans="5:8" x14ac:dyDescent="0.25">
      <c r="E1532" t="str">
        <f>"GDC202003035702"</f>
        <v>GDC202003035702</v>
      </c>
      <c r="F1532" t="str">
        <f t="shared" si="25"/>
        <v>GUARDIAN</v>
      </c>
      <c r="G1532" s="5">
        <v>2716.8</v>
      </c>
      <c r="H1532" t="str">
        <f t="shared" si="26"/>
        <v>GUARDIAN</v>
      </c>
    </row>
    <row r="1533" spans="5:8" x14ac:dyDescent="0.25">
      <c r="E1533" t="str">
        <f>""</f>
        <v/>
      </c>
      <c r="F1533" t="str">
        <f>""</f>
        <v/>
      </c>
      <c r="H1533" t="str">
        <f t="shared" si="26"/>
        <v>GUARDIAN</v>
      </c>
    </row>
    <row r="1534" spans="5:8" x14ac:dyDescent="0.25">
      <c r="E1534" t="str">
        <f>""</f>
        <v/>
      </c>
      <c r="F1534" t="str">
        <f>""</f>
        <v/>
      </c>
      <c r="H1534" t="str">
        <f t="shared" si="26"/>
        <v>GUARDIAN</v>
      </c>
    </row>
    <row r="1535" spans="5:8" x14ac:dyDescent="0.25">
      <c r="E1535" t="str">
        <f>""</f>
        <v/>
      </c>
      <c r="F1535" t="str">
        <f>""</f>
        <v/>
      </c>
      <c r="H1535" t="str">
        <f t="shared" si="26"/>
        <v>GUARDIAN</v>
      </c>
    </row>
    <row r="1536" spans="5:8" x14ac:dyDescent="0.25">
      <c r="E1536" t="str">
        <f>""</f>
        <v/>
      </c>
      <c r="F1536" t="str">
        <f>""</f>
        <v/>
      </c>
      <c r="H1536" t="str">
        <f t="shared" si="26"/>
        <v>GUARDIAN</v>
      </c>
    </row>
    <row r="1537" spans="5:8" x14ac:dyDescent="0.25">
      <c r="E1537" t="str">
        <f>""</f>
        <v/>
      </c>
      <c r="F1537" t="str">
        <f>""</f>
        <v/>
      </c>
      <c r="H1537" t="str">
        <f t="shared" si="26"/>
        <v>GUARDIAN</v>
      </c>
    </row>
    <row r="1538" spans="5:8" x14ac:dyDescent="0.25">
      <c r="E1538" t="str">
        <f>""</f>
        <v/>
      </c>
      <c r="F1538" t="str">
        <f>""</f>
        <v/>
      </c>
      <c r="H1538" t="str">
        <f t="shared" si="26"/>
        <v>GUARDIAN</v>
      </c>
    </row>
    <row r="1539" spans="5:8" x14ac:dyDescent="0.25">
      <c r="E1539" t="str">
        <f>""</f>
        <v/>
      </c>
      <c r="F1539" t="str">
        <f>""</f>
        <v/>
      </c>
      <c r="H1539" t="str">
        <f t="shared" si="26"/>
        <v>GUARDIAN</v>
      </c>
    </row>
    <row r="1540" spans="5:8" x14ac:dyDescent="0.25">
      <c r="E1540" t="str">
        <f>""</f>
        <v/>
      </c>
      <c r="F1540" t="str">
        <f>""</f>
        <v/>
      </c>
      <c r="H1540" t="str">
        <f t="shared" si="26"/>
        <v>GUARDIAN</v>
      </c>
    </row>
    <row r="1541" spans="5:8" x14ac:dyDescent="0.25">
      <c r="E1541" t="str">
        <f>""</f>
        <v/>
      </c>
      <c r="F1541" t="str">
        <f>""</f>
        <v/>
      </c>
      <c r="H1541" t="str">
        <f t="shared" si="26"/>
        <v>GUARDIAN</v>
      </c>
    </row>
    <row r="1542" spans="5:8" x14ac:dyDescent="0.25">
      <c r="E1542" t="str">
        <f>""</f>
        <v/>
      </c>
      <c r="F1542" t="str">
        <f>""</f>
        <v/>
      </c>
      <c r="H1542" t="str">
        <f t="shared" si="26"/>
        <v>GUARDIAN</v>
      </c>
    </row>
    <row r="1543" spans="5:8" x14ac:dyDescent="0.25">
      <c r="E1543" t="str">
        <f>""</f>
        <v/>
      </c>
      <c r="F1543" t="str">
        <f>""</f>
        <v/>
      </c>
      <c r="H1543" t="str">
        <f t="shared" si="26"/>
        <v>GUARDIAN</v>
      </c>
    </row>
    <row r="1544" spans="5:8" x14ac:dyDescent="0.25">
      <c r="E1544" t="str">
        <f>""</f>
        <v/>
      </c>
      <c r="F1544" t="str">
        <f>""</f>
        <v/>
      </c>
      <c r="H1544" t="str">
        <f t="shared" si="26"/>
        <v>GUARDIAN</v>
      </c>
    </row>
    <row r="1545" spans="5:8" x14ac:dyDescent="0.25">
      <c r="E1545" t="str">
        <f>""</f>
        <v/>
      </c>
      <c r="F1545" t="str">
        <f>""</f>
        <v/>
      </c>
      <c r="H1545" t="str">
        <f t="shared" si="26"/>
        <v>GUARDIAN</v>
      </c>
    </row>
    <row r="1546" spans="5:8" x14ac:dyDescent="0.25">
      <c r="E1546" t="str">
        <f>""</f>
        <v/>
      </c>
      <c r="F1546" t="str">
        <f>""</f>
        <v/>
      </c>
      <c r="H1546" t="str">
        <f t="shared" si="26"/>
        <v>GUARDIAN</v>
      </c>
    </row>
    <row r="1547" spans="5:8" x14ac:dyDescent="0.25">
      <c r="E1547" t="str">
        <f>""</f>
        <v/>
      </c>
      <c r="F1547" t="str">
        <f>""</f>
        <v/>
      </c>
      <c r="H1547" t="str">
        <f t="shared" si="26"/>
        <v>GUARDIAN</v>
      </c>
    </row>
    <row r="1548" spans="5:8" x14ac:dyDescent="0.25">
      <c r="E1548" t="str">
        <f>""</f>
        <v/>
      </c>
      <c r="F1548" t="str">
        <f>""</f>
        <v/>
      </c>
      <c r="H1548" t="str">
        <f t="shared" si="26"/>
        <v>GUARDIAN</v>
      </c>
    </row>
    <row r="1549" spans="5:8" x14ac:dyDescent="0.25">
      <c r="E1549" t="str">
        <f>""</f>
        <v/>
      </c>
      <c r="F1549" t="str">
        <f>""</f>
        <v/>
      </c>
      <c r="H1549" t="str">
        <f t="shared" si="26"/>
        <v>GUARDIAN</v>
      </c>
    </row>
    <row r="1550" spans="5:8" x14ac:dyDescent="0.25">
      <c r="E1550" t="str">
        <f>""</f>
        <v/>
      </c>
      <c r="F1550" t="str">
        <f>""</f>
        <v/>
      </c>
      <c r="H1550" t="str">
        <f t="shared" si="26"/>
        <v>GUARDIAN</v>
      </c>
    </row>
    <row r="1551" spans="5:8" x14ac:dyDescent="0.25">
      <c r="E1551" t="str">
        <f>""</f>
        <v/>
      </c>
      <c r="F1551" t="str">
        <f>""</f>
        <v/>
      </c>
      <c r="H1551" t="str">
        <f t="shared" si="26"/>
        <v>GUARDIAN</v>
      </c>
    </row>
    <row r="1552" spans="5:8" x14ac:dyDescent="0.25">
      <c r="E1552" t="str">
        <f>""</f>
        <v/>
      </c>
      <c r="F1552" t="str">
        <f>""</f>
        <v/>
      </c>
      <c r="H1552" t="str">
        <f t="shared" si="26"/>
        <v>GUARDIAN</v>
      </c>
    </row>
    <row r="1553" spans="5:8" x14ac:dyDescent="0.25">
      <c r="E1553" t="str">
        <f>""</f>
        <v/>
      </c>
      <c r="F1553" t="str">
        <f>""</f>
        <v/>
      </c>
      <c r="H1553" t="str">
        <f t="shared" si="26"/>
        <v>GUARDIAN</v>
      </c>
    </row>
    <row r="1554" spans="5:8" x14ac:dyDescent="0.25">
      <c r="E1554" t="str">
        <f>""</f>
        <v/>
      </c>
      <c r="F1554" t="str">
        <f>""</f>
        <v/>
      </c>
      <c r="H1554" t="str">
        <f t="shared" si="26"/>
        <v>GUARDIAN</v>
      </c>
    </row>
    <row r="1555" spans="5:8" x14ac:dyDescent="0.25">
      <c r="E1555" t="str">
        <f>""</f>
        <v/>
      </c>
      <c r="F1555" t="str">
        <f>""</f>
        <v/>
      </c>
      <c r="H1555" t="str">
        <f t="shared" si="26"/>
        <v>GUARDIAN</v>
      </c>
    </row>
    <row r="1556" spans="5:8" x14ac:dyDescent="0.25">
      <c r="E1556" t="str">
        <f>""</f>
        <v/>
      </c>
      <c r="F1556" t="str">
        <f>""</f>
        <v/>
      </c>
      <c r="H1556" t="str">
        <f t="shared" si="26"/>
        <v>GUARDIAN</v>
      </c>
    </row>
    <row r="1557" spans="5:8" x14ac:dyDescent="0.25">
      <c r="E1557" t="str">
        <f>""</f>
        <v/>
      </c>
      <c r="F1557" t="str">
        <f>""</f>
        <v/>
      </c>
      <c r="H1557" t="str">
        <f t="shared" si="26"/>
        <v>GUARDIAN</v>
      </c>
    </row>
    <row r="1558" spans="5:8" x14ac:dyDescent="0.25">
      <c r="E1558" t="str">
        <f>""</f>
        <v/>
      </c>
      <c r="F1558" t="str">
        <f>""</f>
        <v/>
      </c>
      <c r="H1558" t="str">
        <f t="shared" si="26"/>
        <v>GUARDIAN</v>
      </c>
    </row>
    <row r="1559" spans="5:8" x14ac:dyDescent="0.25">
      <c r="E1559" t="str">
        <f>""</f>
        <v/>
      </c>
      <c r="F1559" t="str">
        <f>""</f>
        <v/>
      </c>
      <c r="H1559" t="str">
        <f t="shared" si="26"/>
        <v>GUARDIAN</v>
      </c>
    </row>
    <row r="1560" spans="5:8" x14ac:dyDescent="0.25">
      <c r="E1560" t="str">
        <f>""</f>
        <v/>
      </c>
      <c r="F1560" t="str">
        <f>""</f>
        <v/>
      </c>
      <c r="H1560" t="str">
        <f t="shared" si="26"/>
        <v>GUARDIAN</v>
      </c>
    </row>
    <row r="1561" spans="5:8" x14ac:dyDescent="0.25">
      <c r="E1561" t="str">
        <f>"GDC202003045735"</f>
        <v>GDC202003045735</v>
      </c>
      <c r="F1561" t="str">
        <f>"GUARDIAN"</f>
        <v>GUARDIAN</v>
      </c>
      <c r="G1561" s="5">
        <v>135.84</v>
      </c>
      <c r="H1561" t="str">
        <f t="shared" si="26"/>
        <v>GUARDIAN</v>
      </c>
    </row>
    <row r="1562" spans="5:8" x14ac:dyDescent="0.25">
      <c r="E1562" t="str">
        <f>""</f>
        <v/>
      </c>
      <c r="F1562" t="str">
        <f>""</f>
        <v/>
      </c>
      <c r="H1562" t="str">
        <f t="shared" si="26"/>
        <v>GUARDIAN</v>
      </c>
    </row>
    <row r="1563" spans="5:8" x14ac:dyDescent="0.25">
      <c r="E1563" t="str">
        <f>"GDC202003186056"</f>
        <v>GDC202003186056</v>
      </c>
      <c r="F1563" t="str">
        <f>"GUARDIAN"</f>
        <v>GUARDIAN</v>
      </c>
      <c r="G1563" s="5">
        <v>2716.8</v>
      </c>
      <c r="H1563" t="str">
        <f t="shared" si="26"/>
        <v>GUARDIAN</v>
      </c>
    </row>
    <row r="1564" spans="5:8" x14ac:dyDescent="0.25">
      <c r="E1564" t="str">
        <f>""</f>
        <v/>
      </c>
      <c r="F1564" t="str">
        <f>""</f>
        <v/>
      </c>
      <c r="H1564" t="str">
        <f t="shared" si="26"/>
        <v>GUARDIAN</v>
      </c>
    </row>
    <row r="1565" spans="5:8" x14ac:dyDescent="0.25">
      <c r="E1565" t="str">
        <f>""</f>
        <v/>
      </c>
      <c r="F1565" t="str">
        <f>""</f>
        <v/>
      </c>
      <c r="H1565" t="str">
        <f t="shared" si="26"/>
        <v>GUARDIAN</v>
      </c>
    </row>
    <row r="1566" spans="5:8" x14ac:dyDescent="0.25">
      <c r="E1566" t="str">
        <f>""</f>
        <v/>
      </c>
      <c r="F1566" t="str">
        <f>""</f>
        <v/>
      </c>
      <c r="H1566" t="str">
        <f t="shared" si="26"/>
        <v>GUARDIAN</v>
      </c>
    </row>
    <row r="1567" spans="5:8" x14ac:dyDescent="0.25">
      <c r="E1567" t="str">
        <f>""</f>
        <v/>
      </c>
      <c r="F1567" t="str">
        <f>""</f>
        <v/>
      </c>
      <c r="H1567" t="str">
        <f t="shared" si="26"/>
        <v>GUARDIAN</v>
      </c>
    </row>
    <row r="1568" spans="5:8" x14ac:dyDescent="0.25">
      <c r="E1568" t="str">
        <f>""</f>
        <v/>
      </c>
      <c r="F1568" t="str">
        <f>""</f>
        <v/>
      </c>
      <c r="H1568" t="str">
        <f t="shared" si="26"/>
        <v>GUARDIAN</v>
      </c>
    </row>
    <row r="1569" spans="5:8" x14ac:dyDescent="0.25">
      <c r="E1569" t="str">
        <f>""</f>
        <v/>
      </c>
      <c r="F1569" t="str">
        <f>""</f>
        <v/>
      </c>
      <c r="H1569" t="str">
        <f t="shared" si="26"/>
        <v>GUARDIAN</v>
      </c>
    </row>
    <row r="1570" spans="5:8" x14ac:dyDescent="0.25">
      <c r="E1570" t="str">
        <f>""</f>
        <v/>
      </c>
      <c r="F1570" t="str">
        <f>""</f>
        <v/>
      </c>
      <c r="H1570" t="str">
        <f t="shared" si="26"/>
        <v>GUARDIAN</v>
      </c>
    </row>
    <row r="1571" spans="5:8" x14ac:dyDescent="0.25">
      <c r="E1571" t="str">
        <f>""</f>
        <v/>
      </c>
      <c r="F1571" t="str">
        <f>""</f>
        <v/>
      </c>
      <c r="H1571" t="str">
        <f t="shared" si="26"/>
        <v>GUARDIAN</v>
      </c>
    </row>
    <row r="1572" spans="5:8" x14ac:dyDescent="0.25">
      <c r="E1572" t="str">
        <f>""</f>
        <v/>
      </c>
      <c r="F1572" t="str">
        <f>""</f>
        <v/>
      </c>
      <c r="H1572" t="str">
        <f t="shared" si="26"/>
        <v>GUARDIAN</v>
      </c>
    </row>
    <row r="1573" spans="5:8" x14ac:dyDescent="0.25">
      <c r="E1573" t="str">
        <f>""</f>
        <v/>
      </c>
      <c r="F1573" t="str">
        <f>""</f>
        <v/>
      </c>
      <c r="H1573" t="str">
        <f t="shared" si="26"/>
        <v>GUARDIAN</v>
      </c>
    </row>
    <row r="1574" spans="5:8" x14ac:dyDescent="0.25">
      <c r="E1574" t="str">
        <f>""</f>
        <v/>
      </c>
      <c r="F1574" t="str">
        <f>""</f>
        <v/>
      </c>
      <c r="H1574" t="str">
        <f t="shared" si="26"/>
        <v>GUARDIAN</v>
      </c>
    </row>
    <row r="1575" spans="5:8" x14ac:dyDescent="0.25">
      <c r="E1575" t="str">
        <f>""</f>
        <v/>
      </c>
      <c r="F1575" t="str">
        <f>""</f>
        <v/>
      </c>
      <c r="H1575" t="str">
        <f t="shared" si="26"/>
        <v>GUARDIAN</v>
      </c>
    </row>
    <row r="1576" spans="5:8" x14ac:dyDescent="0.25">
      <c r="E1576" t="str">
        <f>""</f>
        <v/>
      </c>
      <c r="F1576" t="str">
        <f>""</f>
        <v/>
      </c>
      <c r="H1576" t="str">
        <f t="shared" si="26"/>
        <v>GUARDIAN</v>
      </c>
    </row>
    <row r="1577" spans="5:8" x14ac:dyDescent="0.25">
      <c r="E1577" t="str">
        <f>""</f>
        <v/>
      </c>
      <c r="F1577" t="str">
        <f>""</f>
        <v/>
      </c>
      <c r="H1577" t="str">
        <f t="shared" si="26"/>
        <v>GUARDIAN</v>
      </c>
    </row>
    <row r="1578" spans="5:8" x14ac:dyDescent="0.25">
      <c r="E1578" t="str">
        <f>""</f>
        <v/>
      </c>
      <c r="F1578" t="str">
        <f>""</f>
        <v/>
      </c>
      <c r="H1578" t="str">
        <f t="shared" si="26"/>
        <v>GUARDIAN</v>
      </c>
    </row>
    <row r="1579" spans="5:8" x14ac:dyDescent="0.25">
      <c r="E1579" t="str">
        <f>""</f>
        <v/>
      </c>
      <c r="F1579" t="str">
        <f>""</f>
        <v/>
      </c>
      <c r="H1579" t="str">
        <f t="shared" si="26"/>
        <v>GUARDIAN</v>
      </c>
    </row>
    <row r="1580" spans="5:8" x14ac:dyDescent="0.25">
      <c r="E1580" t="str">
        <f>""</f>
        <v/>
      </c>
      <c r="F1580" t="str">
        <f>""</f>
        <v/>
      </c>
      <c r="H1580" t="str">
        <f t="shared" si="26"/>
        <v>GUARDIAN</v>
      </c>
    </row>
    <row r="1581" spans="5:8" x14ac:dyDescent="0.25">
      <c r="E1581" t="str">
        <f>""</f>
        <v/>
      </c>
      <c r="F1581" t="str">
        <f>""</f>
        <v/>
      </c>
      <c r="H1581" t="str">
        <f t="shared" si="26"/>
        <v>GUARDIAN</v>
      </c>
    </row>
    <row r="1582" spans="5:8" x14ac:dyDescent="0.25">
      <c r="E1582" t="str">
        <f>""</f>
        <v/>
      </c>
      <c r="F1582" t="str">
        <f>""</f>
        <v/>
      </c>
      <c r="H1582" t="str">
        <f t="shared" si="26"/>
        <v>GUARDIAN</v>
      </c>
    </row>
    <row r="1583" spans="5:8" x14ac:dyDescent="0.25">
      <c r="E1583" t="str">
        <f>""</f>
        <v/>
      </c>
      <c r="F1583" t="str">
        <f>""</f>
        <v/>
      </c>
      <c r="H1583" t="str">
        <f t="shared" si="26"/>
        <v>GUARDIAN</v>
      </c>
    </row>
    <row r="1584" spans="5:8" x14ac:dyDescent="0.25">
      <c r="E1584" t="str">
        <f>""</f>
        <v/>
      </c>
      <c r="F1584" t="str">
        <f>""</f>
        <v/>
      </c>
      <c r="H1584" t="str">
        <f t="shared" ref="H1584:H1647" si="27">"GUARDIAN"</f>
        <v>GUARDIAN</v>
      </c>
    </row>
    <row r="1585" spans="5:8" x14ac:dyDescent="0.25">
      <c r="E1585" t="str">
        <f>""</f>
        <v/>
      </c>
      <c r="F1585" t="str">
        <f>""</f>
        <v/>
      </c>
      <c r="H1585" t="str">
        <f t="shared" si="27"/>
        <v>GUARDIAN</v>
      </c>
    </row>
    <row r="1586" spans="5:8" x14ac:dyDescent="0.25">
      <c r="E1586" t="str">
        <f>""</f>
        <v/>
      </c>
      <c r="F1586" t="str">
        <f>""</f>
        <v/>
      </c>
      <c r="H1586" t="str">
        <f t="shared" si="27"/>
        <v>GUARDIAN</v>
      </c>
    </row>
    <row r="1587" spans="5:8" x14ac:dyDescent="0.25">
      <c r="E1587" t="str">
        <f>""</f>
        <v/>
      </c>
      <c r="F1587" t="str">
        <f>""</f>
        <v/>
      </c>
      <c r="H1587" t="str">
        <f t="shared" si="27"/>
        <v>GUARDIAN</v>
      </c>
    </row>
    <row r="1588" spans="5:8" x14ac:dyDescent="0.25">
      <c r="E1588" t="str">
        <f>""</f>
        <v/>
      </c>
      <c r="F1588" t="str">
        <f>""</f>
        <v/>
      </c>
      <c r="H1588" t="str">
        <f t="shared" si="27"/>
        <v>GUARDIAN</v>
      </c>
    </row>
    <row r="1589" spans="5:8" x14ac:dyDescent="0.25">
      <c r="E1589" t="str">
        <f>""</f>
        <v/>
      </c>
      <c r="F1589" t="str">
        <f>""</f>
        <v/>
      </c>
      <c r="H1589" t="str">
        <f t="shared" si="27"/>
        <v>GUARDIAN</v>
      </c>
    </row>
    <row r="1590" spans="5:8" x14ac:dyDescent="0.25">
      <c r="E1590" t="str">
        <f>""</f>
        <v/>
      </c>
      <c r="F1590" t="str">
        <f>""</f>
        <v/>
      </c>
      <c r="H1590" t="str">
        <f t="shared" si="27"/>
        <v>GUARDIAN</v>
      </c>
    </row>
    <row r="1591" spans="5:8" x14ac:dyDescent="0.25">
      <c r="E1591" t="str">
        <f>""</f>
        <v/>
      </c>
      <c r="F1591" t="str">
        <f>""</f>
        <v/>
      </c>
      <c r="H1591" t="str">
        <f t="shared" si="27"/>
        <v>GUARDIAN</v>
      </c>
    </row>
    <row r="1592" spans="5:8" x14ac:dyDescent="0.25">
      <c r="E1592" t="str">
        <f>"GDC202003186057"</f>
        <v>GDC202003186057</v>
      </c>
      <c r="F1592" t="str">
        <f>"GUARDIAN"</f>
        <v>GUARDIAN</v>
      </c>
      <c r="G1592" s="5">
        <v>135.84</v>
      </c>
      <c r="H1592" t="str">
        <f t="shared" si="27"/>
        <v>GUARDIAN</v>
      </c>
    </row>
    <row r="1593" spans="5:8" x14ac:dyDescent="0.25">
      <c r="E1593" t="str">
        <f>""</f>
        <v/>
      </c>
      <c r="F1593" t="str">
        <f>""</f>
        <v/>
      </c>
      <c r="H1593" t="str">
        <f t="shared" si="27"/>
        <v>GUARDIAN</v>
      </c>
    </row>
    <row r="1594" spans="5:8" x14ac:dyDescent="0.25">
      <c r="E1594" t="str">
        <f>"GDE202003035702"</f>
        <v>GDE202003035702</v>
      </c>
      <c r="F1594" t="str">
        <f>"GUARDIAN"</f>
        <v>GUARDIAN</v>
      </c>
      <c r="G1594" s="5">
        <v>4416.93</v>
      </c>
      <c r="H1594" t="str">
        <f t="shared" si="27"/>
        <v>GUARDIAN</v>
      </c>
    </row>
    <row r="1595" spans="5:8" x14ac:dyDescent="0.25">
      <c r="E1595" t="str">
        <f>""</f>
        <v/>
      </c>
      <c r="F1595" t="str">
        <f>""</f>
        <v/>
      </c>
      <c r="H1595" t="str">
        <f t="shared" si="27"/>
        <v>GUARDIAN</v>
      </c>
    </row>
    <row r="1596" spans="5:8" x14ac:dyDescent="0.25">
      <c r="E1596" t="str">
        <f>""</f>
        <v/>
      </c>
      <c r="F1596" t="str">
        <f>""</f>
        <v/>
      </c>
      <c r="H1596" t="str">
        <f t="shared" si="27"/>
        <v>GUARDIAN</v>
      </c>
    </row>
    <row r="1597" spans="5:8" x14ac:dyDescent="0.25">
      <c r="E1597" t="str">
        <f>""</f>
        <v/>
      </c>
      <c r="F1597" t="str">
        <f>""</f>
        <v/>
      </c>
      <c r="H1597" t="str">
        <f t="shared" si="27"/>
        <v>GUARDIAN</v>
      </c>
    </row>
    <row r="1598" spans="5:8" x14ac:dyDescent="0.25">
      <c r="E1598" t="str">
        <f>""</f>
        <v/>
      </c>
      <c r="F1598" t="str">
        <f>""</f>
        <v/>
      </c>
      <c r="H1598" t="str">
        <f t="shared" si="27"/>
        <v>GUARDIAN</v>
      </c>
    </row>
    <row r="1599" spans="5:8" x14ac:dyDescent="0.25">
      <c r="E1599" t="str">
        <f>""</f>
        <v/>
      </c>
      <c r="F1599" t="str">
        <f>""</f>
        <v/>
      </c>
      <c r="H1599" t="str">
        <f t="shared" si="27"/>
        <v>GUARDIAN</v>
      </c>
    </row>
    <row r="1600" spans="5:8" x14ac:dyDescent="0.25">
      <c r="E1600" t="str">
        <f>""</f>
        <v/>
      </c>
      <c r="F1600" t="str">
        <f>""</f>
        <v/>
      </c>
      <c r="H1600" t="str">
        <f t="shared" si="27"/>
        <v>GUARDIAN</v>
      </c>
    </row>
    <row r="1601" spans="5:8" x14ac:dyDescent="0.25">
      <c r="E1601" t="str">
        <f>""</f>
        <v/>
      </c>
      <c r="F1601" t="str">
        <f>""</f>
        <v/>
      </c>
      <c r="H1601" t="str">
        <f t="shared" si="27"/>
        <v>GUARDIAN</v>
      </c>
    </row>
    <row r="1602" spans="5:8" x14ac:dyDescent="0.25">
      <c r="E1602" t="str">
        <f>""</f>
        <v/>
      </c>
      <c r="F1602" t="str">
        <f>""</f>
        <v/>
      </c>
      <c r="H1602" t="str">
        <f t="shared" si="27"/>
        <v>GUARDIAN</v>
      </c>
    </row>
    <row r="1603" spans="5:8" x14ac:dyDescent="0.25">
      <c r="E1603" t="str">
        <f>""</f>
        <v/>
      </c>
      <c r="F1603" t="str">
        <f>""</f>
        <v/>
      </c>
      <c r="H1603" t="str">
        <f t="shared" si="27"/>
        <v>GUARDIAN</v>
      </c>
    </row>
    <row r="1604" spans="5:8" x14ac:dyDescent="0.25">
      <c r="E1604" t="str">
        <f>""</f>
        <v/>
      </c>
      <c r="F1604" t="str">
        <f>""</f>
        <v/>
      </c>
      <c r="H1604" t="str">
        <f t="shared" si="27"/>
        <v>GUARDIAN</v>
      </c>
    </row>
    <row r="1605" spans="5:8" x14ac:dyDescent="0.25">
      <c r="E1605" t="str">
        <f>""</f>
        <v/>
      </c>
      <c r="F1605" t="str">
        <f>""</f>
        <v/>
      </c>
      <c r="H1605" t="str">
        <f t="shared" si="27"/>
        <v>GUARDIAN</v>
      </c>
    </row>
    <row r="1606" spans="5:8" x14ac:dyDescent="0.25">
      <c r="E1606" t="str">
        <f>""</f>
        <v/>
      </c>
      <c r="F1606" t="str">
        <f>""</f>
        <v/>
      </c>
      <c r="H1606" t="str">
        <f t="shared" si="27"/>
        <v>GUARDIAN</v>
      </c>
    </row>
    <row r="1607" spans="5:8" x14ac:dyDescent="0.25">
      <c r="E1607" t="str">
        <f>""</f>
        <v/>
      </c>
      <c r="F1607" t="str">
        <f>""</f>
        <v/>
      </c>
      <c r="H1607" t="str">
        <f t="shared" si="27"/>
        <v>GUARDIAN</v>
      </c>
    </row>
    <row r="1608" spans="5:8" x14ac:dyDescent="0.25">
      <c r="E1608" t="str">
        <f>""</f>
        <v/>
      </c>
      <c r="F1608" t="str">
        <f>""</f>
        <v/>
      </c>
      <c r="H1608" t="str">
        <f t="shared" si="27"/>
        <v>GUARDIAN</v>
      </c>
    </row>
    <row r="1609" spans="5:8" x14ac:dyDescent="0.25">
      <c r="E1609" t="str">
        <f>""</f>
        <v/>
      </c>
      <c r="F1609" t="str">
        <f>""</f>
        <v/>
      </c>
      <c r="H1609" t="str">
        <f t="shared" si="27"/>
        <v>GUARDIAN</v>
      </c>
    </row>
    <row r="1610" spans="5:8" x14ac:dyDescent="0.25">
      <c r="E1610" t="str">
        <f>""</f>
        <v/>
      </c>
      <c r="F1610" t="str">
        <f>""</f>
        <v/>
      </c>
      <c r="H1610" t="str">
        <f t="shared" si="27"/>
        <v>GUARDIAN</v>
      </c>
    </row>
    <row r="1611" spans="5:8" x14ac:dyDescent="0.25">
      <c r="E1611" t="str">
        <f>""</f>
        <v/>
      </c>
      <c r="F1611" t="str">
        <f>""</f>
        <v/>
      </c>
      <c r="H1611" t="str">
        <f t="shared" si="27"/>
        <v>GUARDIAN</v>
      </c>
    </row>
    <row r="1612" spans="5:8" x14ac:dyDescent="0.25">
      <c r="E1612" t="str">
        <f>""</f>
        <v/>
      </c>
      <c r="F1612" t="str">
        <f>""</f>
        <v/>
      </c>
      <c r="H1612" t="str">
        <f t="shared" si="27"/>
        <v>GUARDIAN</v>
      </c>
    </row>
    <row r="1613" spans="5:8" x14ac:dyDescent="0.25">
      <c r="E1613" t="str">
        <f>""</f>
        <v/>
      </c>
      <c r="F1613" t="str">
        <f>""</f>
        <v/>
      </c>
      <c r="H1613" t="str">
        <f t="shared" si="27"/>
        <v>GUARDIAN</v>
      </c>
    </row>
    <row r="1614" spans="5:8" x14ac:dyDescent="0.25">
      <c r="E1614" t="str">
        <f>""</f>
        <v/>
      </c>
      <c r="F1614" t="str">
        <f>""</f>
        <v/>
      </c>
      <c r="H1614" t="str">
        <f t="shared" si="27"/>
        <v>GUARDIAN</v>
      </c>
    </row>
    <row r="1615" spans="5:8" x14ac:dyDescent="0.25">
      <c r="E1615" t="str">
        <f>""</f>
        <v/>
      </c>
      <c r="F1615" t="str">
        <f>""</f>
        <v/>
      </c>
      <c r="H1615" t="str">
        <f t="shared" si="27"/>
        <v>GUARDIAN</v>
      </c>
    </row>
    <row r="1616" spans="5:8" x14ac:dyDescent="0.25">
      <c r="E1616" t="str">
        <f>""</f>
        <v/>
      </c>
      <c r="F1616" t="str">
        <f>""</f>
        <v/>
      </c>
      <c r="H1616" t="str">
        <f t="shared" si="27"/>
        <v>GUARDIAN</v>
      </c>
    </row>
    <row r="1617" spans="5:8" x14ac:dyDescent="0.25">
      <c r="E1617" t="str">
        <f>""</f>
        <v/>
      </c>
      <c r="F1617" t="str">
        <f>""</f>
        <v/>
      </c>
      <c r="H1617" t="str">
        <f t="shared" si="27"/>
        <v>GUARDIAN</v>
      </c>
    </row>
    <row r="1618" spans="5:8" x14ac:dyDescent="0.25">
      <c r="E1618" t="str">
        <f>""</f>
        <v/>
      </c>
      <c r="F1618" t="str">
        <f>""</f>
        <v/>
      </c>
      <c r="H1618" t="str">
        <f t="shared" si="27"/>
        <v>GUARDIAN</v>
      </c>
    </row>
    <row r="1619" spans="5:8" x14ac:dyDescent="0.25">
      <c r="E1619" t="str">
        <f>""</f>
        <v/>
      </c>
      <c r="F1619" t="str">
        <f>""</f>
        <v/>
      </c>
      <c r="H1619" t="str">
        <f t="shared" si="27"/>
        <v>GUARDIAN</v>
      </c>
    </row>
    <row r="1620" spans="5:8" x14ac:dyDescent="0.25">
      <c r="E1620" t="str">
        <f>""</f>
        <v/>
      </c>
      <c r="F1620" t="str">
        <f>""</f>
        <v/>
      </c>
      <c r="H1620" t="str">
        <f t="shared" si="27"/>
        <v>GUARDIAN</v>
      </c>
    </row>
    <row r="1621" spans="5:8" x14ac:dyDescent="0.25">
      <c r="E1621" t="str">
        <f>""</f>
        <v/>
      </c>
      <c r="F1621" t="str">
        <f>""</f>
        <v/>
      </c>
      <c r="H1621" t="str">
        <f t="shared" si="27"/>
        <v>GUARDIAN</v>
      </c>
    </row>
    <row r="1622" spans="5:8" x14ac:dyDescent="0.25">
      <c r="E1622" t="str">
        <f>""</f>
        <v/>
      </c>
      <c r="F1622" t="str">
        <f>""</f>
        <v/>
      </c>
      <c r="H1622" t="str">
        <f t="shared" si="27"/>
        <v>GUARDIAN</v>
      </c>
    </row>
    <row r="1623" spans="5:8" x14ac:dyDescent="0.25">
      <c r="E1623" t="str">
        <f>""</f>
        <v/>
      </c>
      <c r="F1623" t="str">
        <f>""</f>
        <v/>
      </c>
      <c r="H1623" t="str">
        <f t="shared" si="27"/>
        <v>GUARDIAN</v>
      </c>
    </row>
    <row r="1624" spans="5:8" x14ac:dyDescent="0.25">
      <c r="E1624" t="str">
        <f>""</f>
        <v/>
      </c>
      <c r="F1624" t="str">
        <f>""</f>
        <v/>
      </c>
      <c r="H1624" t="str">
        <f t="shared" si="27"/>
        <v>GUARDIAN</v>
      </c>
    </row>
    <row r="1625" spans="5:8" x14ac:dyDescent="0.25">
      <c r="E1625" t="str">
        <f>""</f>
        <v/>
      </c>
      <c r="F1625" t="str">
        <f>""</f>
        <v/>
      </c>
      <c r="H1625" t="str">
        <f t="shared" si="27"/>
        <v>GUARDIAN</v>
      </c>
    </row>
    <row r="1626" spans="5:8" x14ac:dyDescent="0.25">
      <c r="E1626" t="str">
        <f>""</f>
        <v/>
      </c>
      <c r="F1626" t="str">
        <f>""</f>
        <v/>
      </c>
      <c r="H1626" t="str">
        <f t="shared" si="27"/>
        <v>GUARDIAN</v>
      </c>
    </row>
    <row r="1627" spans="5:8" x14ac:dyDescent="0.25">
      <c r="E1627" t="str">
        <f>""</f>
        <v/>
      </c>
      <c r="F1627" t="str">
        <f>""</f>
        <v/>
      </c>
      <c r="H1627" t="str">
        <f t="shared" si="27"/>
        <v>GUARDIAN</v>
      </c>
    </row>
    <row r="1628" spans="5:8" x14ac:dyDescent="0.25">
      <c r="E1628" t="str">
        <f>""</f>
        <v/>
      </c>
      <c r="F1628" t="str">
        <f>""</f>
        <v/>
      </c>
      <c r="H1628" t="str">
        <f t="shared" si="27"/>
        <v>GUARDIAN</v>
      </c>
    </row>
    <row r="1629" spans="5:8" x14ac:dyDescent="0.25">
      <c r="E1629" t="str">
        <f>""</f>
        <v/>
      </c>
      <c r="F1629" t="str">
        <f>""</f>
        <v/>
      </c>
      <c r="H1629" t="str">
        <f t="shared" si="27"/>
        <v>GUARDIAN</v>
      </c>
    </row>
    <row r="1630" spans="5:8" x14ac:dyDescent="0.25">
      <c r="E1630" t="str">
        <f>""</f>
        <v/>
      </c>
      <c r="F1630" t="str">
        <f>""</f>
        <v/>
      </c>
      <c r="H1630" t="str">
        <f t="shared" si="27"/>
        <v>GUARDIAN</v>
      </c>
    </row>
    <row r="1631" spans="5:8" x14ac:dyDescent="0.25">
      <c r="E1631" t="str">
        <f>""</f>
        <v/>
      </c>
      <c r="F1631" t="str">
        <f>""</f>
        <v/>
      </c>
      <c r="H1631" t="str">
        <f t="shared" si="27"/>
        <v>GUARDIAN</v>
      </c>
    </row>
    <row r="1632" spans="5:8" x14ac:dyDescent="0.25">
      <c r="E1632" t="str">
        <f>""</f>
        <v/>
      </c>
      <c r="F1632" t="str">
        <f>""</f>
        <v/>
      </c>
      <c r="H1632" t="str">
        <f t="shared" si="27"/>
        <v>GUARDIAN</v>
      </c>
    </row>
    <row r="1633" spans="5:8" x14ac:dyDescent="0.25">
      <c r="E1633" t="str">
        <f>""</f>
        <v/>
      </c>
      <c r="F1633" t="str">
        <f>""</f>
        <v/>
      </c>
      <c r="H1633" t="str">
        <f t="shared" si="27"/>
        <v>GUARDIAN</v>
      </c>
    </row>
    <row r="1634" spans="5:8" x14ac:dyDescent="0.25">
      <c r="E1634" t="str">
        <f>""</f>
        <v/>
      </c>
      <c r="F1634" t="str">
        <f>""</f>
        <v/>
      </c>
      <c r="H1634" t="str">
        <f t="shared" si="27"/>
        <v>GUARDIAN</v>
      </c>
    </row>
    <row r="1635" spans="5:8" x14ac:dyDescent="0.25">
      <c r="E1635" t="str">
        <f>""</f>
        <v/>
      </c>
      <c r="F1635" t="str">
        <f>""</f>
        <v/>
      </c>
      <c r="H1635" t="str">
        <f t="shared" si="27"/>
        <v>GUARDIAN</v>
      </c>
    </row>
    <row r="1636" spans="5:8" x14ac:dyDescent="0.25">
      <c r="E1636" t="str">
        <f>""</f>
        <v/>
      </c>
      <c r="F1636" t="str">
        <f>""</f>
        <v/>
      </c>
      <c r="H1636" t="str">
        <f t="shared" si="27"/>
        <v>GUARDIAN</v>
      </c>
    </row>
    <row r="1637" spans="5:8" x14ac:dyDescent="0.25">
      <c r="E1637" t="str">
        <f>""</f>
        <v/>
      </c>
      <c r="F1637" t="str">
        <f>""</f>
        <v/>
      </c>
      <c r="H1637" t="str">
        <f t="shared" si="27"/>
        <v>GUARDIAN</v>
      </c>
    </row>
    <row r="1638" spans="5:8" x14ac:dyDescent="0.25">
      <c r="E1638" t="str">
        <f>""</f>
        <v/>
      </c>
      <c r="F1638" t="str">
        <f>""</f>
        <v/>
      </c>
      <c r="H1638" t="str">
        <f t="shared" si="27"/>
        <v>GUARDIAN</v>
      </c>
    </row>
    <row r="1639" spans="5:8" x14ac:dyDescent="0.25">
      <c r="E1639" t="str">
        <f>""</f>
        <v/>
      </c>
      <c r="F1639" t="str">
        <f>""</f>
        <v/>
      </c>
      <c r="H1639" t="str">
        <f t="shared" si="27"/>
        <v>GUARDIAN</v>
      </c>
    </row>
    <row r="1640" spans="5:8" x14ac:dyDescent="0.25">
      <c r="E1640" t="str">
        <f>"GDE202003045735"</f>
        <v>GDE202003045735</v>
      </c>
      <c r="F1640" t="str">
        <f>"GUARDIAN"</f>
        <v>GUARDIAN</v>
      </c>
      <c r="G1640" s="5">
        <v>184.68</v>
      </c>
      <c r="H1640" t="str">
        <f t="shared" si="27"/>
        <v>GUARDIAN</v>
      </c>
    </row>
    <row r="1641" spans="5:8" x14ac:dyDescent="0.25">
      <c r="E1641" t="str">
        <f>"GDE202003186056"</f>
        <v>GDE202003186056</v>
      </c>
      <c r="F1641" t="str">
        <f>"GUARDIAN"</f>
        <v>GUARDIAN</v>
      </c>
      <c r="G1641" s="5">
        <v>4416.93</v>
      </c>
      <c r="H1641" t="str">
        <f t="shared" si="27"/>
        <v>GUARDIAN</v>
      </c>
    </row>
    <row r="1642" spans="5:8" x14ac:dyDescent="0.25">
      <c r="E1642" t="str">
        <f>""</f>
        <v/>
      </c>
      <c r="F1642" t="str">
        <f>""</f>
        <v/>
      </c>
      <c r="H1642" t="str">
        <f t="shared" si="27"/>
        <v>GUARDIAN</v>
      </c>
    </row>
    <row r="1643" spans="5:8" x14ac:dyDescent="0.25">
      <c r="E1643" t="str">
        <f>""</f>
        <v/>
      </c>
      <c r="F1643" t="str">
        <f>""</f>
        <v/>
      </c>
      <c r="H1643" t="str">
        <f t="shared" si="27"/>
        <v>GUARDIAN</v>
      </c>
    </row>
    <row r="1644" spans="5:8" x14ac:dyDescent="0.25">
      <c r="E1644" t="str">
        <f>""</f>
        <v/>
      </c>
      <c r="F1644" t="str">
        <f>""</f>
        <v/>
      </c>
      <c r="H1644" t="str">
        <f t="shared" si="27"/>
        <v>GUARDIAN</v>
      </c>
    </row>
    <row r="1645" spans="5:8" x14ac:dyDescent="0.25">
      <c r="E1645" t="str">
        <f>""</f>
        <v/>
      </c>
      <c r="F1645" t="str">
        <f>""</f>
        <v/>
      </c>
      <c r="H1645" t="str">
        <f t="shared" si="27"/>
        <v>GUARDIAN</v>
      </c>
    </row>
    <row r="1646" spans="5:8" x14ac:dyDescent="0.25">
      <c r="E1646" t="str">
        <f>""</f>
        <v/>
      </c>
      <c r="F1646" t="str">
        <f>""</f>
        <v/>
      </c>
      <c r="H1646" t="str">
        <f t="shared" si="27"/>
        <v>GUARDIAN</v>
      </c>
    </row>
    <row r="1647" spans="5:8" x14ac:dyDescent="0.25">
      <c r="E1647" t="str">
        <f>""</f>
        <v/>
      </c>
      <c r="F1647" t="str">
        <f>""</f>
        <v/>
      </c>
      <c r="H1647" t="str">
        <f t="shared" si="27"/>
        <v>GUARDIAN</v>
      </c>
    </row>
    <row r="1648" spans="5:8" x14ac:dyDescent="0.25">
      <c r="E1648" t="str">
        <f>""</f>
        <v/>
      </c>
      <c r="F1648" t="str">
        <f>""</f>
        <v/>
      </c>
      <c r="H1648" t="str">
        <f t="shared" ref="H1648:H1711" si="28">"GUARDIAN"</f>
        <v>GUARDIAN</v>
      </c>
    </row>
    <row r="1649" spans="5:8" x14ac:dyDescent="0.25">
      <c r="E1649" t="str">
        <f>""</f>
        <v/>
      </c>
      <c r="F1649" t="str">
        <f>""</f>
        <v/>
      </c>
      <c r="H1649" t="str">
        <f t="shared" si="28"/>
        <v>GUARDIAN</v>
      </c>
    </row>
    <row r="1650" spans="5:8" x14ac:dyDescent="0.25">
      <c r="E1650" t="str">
        <f>""</f>
        <v/>
      </c>
      <c r="F1650" t="str">
        <f>""</f>
        <v/>
      </c>
      <c r="H1650" t="str">
        <f t="shared" si="28"/>
        <v>GUARDIAN</v>
      </c>
    </row>
    <row r="1651" spans="5:8" x14ac:dyDescent="0.25">
      <c r="E1651" t="str">
        <f>""</f>
        <v/>
      </c>
      <c r="F1651" t="str">
        <f>""</f>
        <v/>
      </c>
      <c r="H1651" t="str">
        <f t="shared" si="28"/>
        <v>GUARDIAN</v>
      </c>
    </row>
    <row r="1652" spans="5:8" x14ac:dyDescent="0.25">
      <c r="E1652" t="str">
        <f>""</f>
        <v/>
      </c>
      <c r="F1652" t="str">
        <f>""</f>
        <v/>
      </c>
      <c r="H1652" t="str">
        <f t="shared" si="28"/>
        <v>GUARDIAN</v>
      </c>
    </row>
    <row r="1653" spans="5:8" x14ac:dyDescent="0.25">
      <c r="E1653" t="str">
        <f>""</f>
        <v/>
      </c>
      <c r="F1653" t="str">
        <f>""</f>
        <v/>
      </c>
      <c r="H1653" t="str">
        <f t="shared" si="28"/>
        <v>GUARDIAN</v>
      </c>
    </row>
    <row r="1654" spans="5:8" x14ac:dyDescent="0.25">
      <c r="E1654" t="str">
        <f>""</f>
        <v/>
      </c>
      <c r="F1654" t="str">
        <f>""</f>
        <v/>
      </c>
      <c r="H1654" t="str">
        <f t="shared" si="28"/>
        <v>GUARDIAN</v>
      </c>
    </row>
    <row r="1655" spans="5:8" x14ac:dyDescent="0.25">
      <c r="E1655" t="str">
        <f>""</f>
        <v/>
      </c>
      <c r="F1655" t="str">
        <f>""</f>
        <v/>
      </c>
      <c r="H1655" t="str">
        <f t="shared" si="28"/>
        <v>GUARDIAN</v>
      </c>
    </row>
    <row r="1656" spans="5:8" x14ac:dyDescent="0.25">
      <c r="E1656" t="str">
        <f>""</f>
        <v/>
      </c>
      <c r="F1656" t="str">
        <f>""</f>
        <v/>
      </c>
      <c r="H1656" t="str">
        <f t="shared" si="28"/>
        <v>GUARDIAN</v>
      </c>
    </row>
    <row r="1657" spans="5:8" x14ac:dyDescent="0.25">
      <c r="E1657" t="str">
        <f>""</f>
        <v/>
      </c>
      <c r="F1657" t="str">
        <f>""</f>
        <v/>
      </c>
      <c r="H1657" t="str">
        <f t="shared" si="28"/>
        <v>GUARDIAN</v>
      </c>
    </row>
    <row r="1658" spans="5:8" x14ac:dyDescent="0.25">
      <c r="E1658" t="str">
        <f>""</f>
        <v/>
      </c>
      <c r="F1658" t="str">
        <f>""</f>
        <v/>
      </c>
      <c r="H1658" t="str">
        <f t="shared" si="28"/>
        <v>GUARDIAN</v>
      </c>
    </row>
    <row r="1659" spans="5:8" x14ac:dyDescent="0.25">
      <c r="E1659" t="str">
        <f>""</f>
        <v/>
      </c>
      <c r="F1659" t="str">
        <f>""</f>
        <v/>
      </c>
      <c r="H1659" t="str">
        <f t="shared" si="28"/>
        <v>GUARDIAN</v>
      </c>
    </row>
    <row r="1660" spans="5:8" x14ac:dyDescent="0.25">
      <c r="E1660" t="str">
        <f>""</f>
        <v/>
      </c>
      <c r="F1660" t="str">
        <f>""</f>
        <v/>
      </c>
      <c r="H1660" t="str">
        <f t="shared" si="28"/>
        <v>GUARDIAN</v>
      </c>
    </row>
    <row r="1661" spans="5:8" x14ac:dyDescent="0.25">
      <c r="E1661" t="str">
        <f>""</f>
        <v/>
      </c>
      <c r="F1661" t="str">
        <f>""</f>
        <v/>
      </c>
      <c r="H1661" t="str">
        <f t="shared" si="28"/>
        <v>GUARDIAN</v>
      </c>
    </row>
    <row r="1662" spans="5:8" x14ac:dyDescent="0.25">
      <c r="E1662" t="str">
        <f>""</f>
        <v/>
      </c>
      <c r="F1662" t="str">
        <f>""</f>
        <v/>
      </c>
      <c r="H1662" t="str">
        <f t="shared" si="28"/>
        <v>GUARDIAN</v>
      </c>
    </row>
    <row r="1663" spans="5:8" x14ac:dyDescent="0.25">
      <c r="E1663" t="str">
        <f>""</f>
        <v/>
      </c>
      <c r="F1663" t="str">
        <f>""</f>
        <v/>
      </c>
      <c r="H1663" t="str">
        <f t="shared" si="28"/>
        <v>GUARDIAN</v>
      </c>
    </row>
    <row r="1664" spans="5:8" x14ac:dyDescent="0.25">
      <c r="E1664" t="str">
        <f>""</f>
        <v/>
      </c>
      <c r="F1664" t="str">
        <f>""</f>
        <v/>
      </c>
      <c r="H1664" t="str">
        <f t="shared" si="28"/>
        <v>GUARDIAN</v>
      </c>
    </row>
    <row r="1665" spans="5:8" x14ac:dyDescent="0.25">
      <c r="E1665" t="str">
        <f>""</f>
        <v/>
      </c>
      <c r="F1665" t="str">
        <f>""</f>
        <v/>
      </c>
      <c r="H1665" t="str">
        <f t="shared" si="28"/>
        <v>GUARDIAN</v>
      </c>
    </row>
    <row r="1666" spans="5:8" x14ac:dyDescent="0.25">
      <c r="E1666" t="str">
        <f>""</f>
        <v/>
      </c>
      <c r="F1666" t="str">
        <f>""</f>
        <v/>
      </c>
      <c r="H1666" t="str">
        <f t="shared" si="28"/>
        <v>GUARDIAN</v>
      </c>
    </row>
    <row r="1667" spans="5:8" x14ac:dyDescent="0.25">
      <c r="E1667" t="str">
        <f>""</f>
        <v/>
      </c>
      <c r="F1667" t="str">
        <f>""</f>
        <v/>
      </c>
      <c r="H1667" t="str">
        <f t="shared" si="28"/>
        <v>GUARDIAN</v>
      </c>
    </row>
    <row r="1668" spans="5:8" x14ac:dyDescent="0.25">
      <c r="E1668" t="str">
        <f>""</f>
        <v/>
      </c>
      <c r="F1668" t="str">
        <f>""</f>
        <v/>
      </c>
      <c r="H1668" t="str">
        <f t="shared" si="28"/>
        <v>GUARDIAN</v>
      </c>
    </row>
    <row r="1669" spans="5:8" x14ac:dyDescent="0.25">
      <c r="E1669" t="str">
        <f>""</f>
        <v/>
      </c>
      <c r="F1669" t="str">
        <f>""</f>
        <v/>
      </c>
      <c r="H1669" t="str">
        <f t="shared" si="28"/>
        <v>GUARDIAN</v>
      </c>
    </row>
    <row r="1670" spans="5:8" x14ac:dyDescent="0.25">
      <c r="E1670" t="str">
        <f>""</f>
        <v/>
      </c>
      <c r="F1670" t="str">
        <f>""</f>
        <v/>
      </c>
      <c r="H1670" t="str">
        <f t="shared" si="28"/>
        <v>GUARDIAN</v>
      </c>
    </row>
    <row r="1671" spans="5:8" x14ac:dyDescent="0.25">
      <c r="E1671" t="str">
        <f>""</f>
        <v/>
      </c>
      <c r="F1671" t="str">
        <f>""</f>
        <v/>
      </c>
      <c r="H1671" t="str">
        <f t="shared" si="28"/>
        <v>GUARDIAN</v>
      </c>
    </row>
    <row r="1672" spans="5:8" x14ac:dyDescent="0.25">
      <c r="E1672" t="str">
        <f>""</f>
        <v/>
      </c>
      <c r="F1672" t="str">
        <f>""</f>
        <v/>
      </c>
      <c r="H1672" t="str">
        <f t="shared" si="28"/>
        <v>GUARDIAN</v>
      </c>
    </row>
    <row r="1673" spans="5:8" x14ac:dyDescent="0.25">
      <c r="E1673" t="str">
        <f>""</f>
        <v/>
      </c>
      <c r="F1673" t="str">
        <f>""</f>
        <v/>
      </c>
      <c r="H1673" t="str">
        <f t="shared" si="28"/>
        <v>GUARDIAN</v>
      </c>
    </row>
    <row r="1674" spans="5:8" x14ac:dyDescent="0.25">
      <c r="E1674" t="str">
        <f>""</f>
        <v/>
      </c>
      <c r="F1674" t="str">
        <f>""</f>
        <v/>
      </c>
      <c r="H1674" t="str">
        <f t="shared" si="28"/>
        <v>GUARDIAN</v>
      </c>
    </row>
    <row r="1675" spans="5:8" x14ac:dyDescent="0.25">
      <c r="E1675" t="str">
        <f>""</f>
        <v/>
      </c>
      <c r="F1675" t="str">
        <f>""</f>
        <v/>
      </c>
      <c r="H1675" t="str">
        <f t="shared" si="28"/>
        <v>GUARDIAN</v>
      </c>
    </row>
    <row r="1676" spans="5:8" x14ac:dyDescent="0.25">
      <c r="E1676" t="str">
        <f>""</f>
        <v/>
      </c>
      <c r="F1676" t="str">
        <f>""</f>
        <v/>
      </c>
      <c r="H1676" t="str">
        <f t="shared" si="28"/>
        <v>GUARDIAN</v>
      </c>
    </row>
    <row r="1677" spans="5:8" x14ac:dyDescent="0.25">
      <c r="E1677" t="str">
        <f>""</f>
        <v/>
      </c>
      <c r="F1677" t="str">
        <f>""</f>
        <v/>
      </c>
      <c r="H1677" t="str">
        <f t="shared" si="28"/>
        <v>GUARDIAN</v>
      </c>
    </row>
    <row r="1678" spans="5:8" x14ac:dyDescent="0.25">
      <c r="E1678" t="str">
        <f>""</f>
        <v/>
      </c>
      <c r="F1678" t="str">
        <f>""</f>
        <v/>
      </c>
      <c r="H1678" t="str">
        <f t="shared" si="28"/>
        <v>GUARDIAN</v>
      </c>
    </row>
    <row r="1679" spans="5:8" x14ac:dyDescent="0.25">
      <c r="E1679" t="str">
        <f>""</f>
        <v/>
      </c>
      <c r="F1679" t="str">
        <f>""</f>
        <v/>
      </c>
      <c r="H1679" t="str">
        <f t="shared" si="28"/>
        <v>GUARDIAN</v>
      </c>
    </row>
    <row r="1680" spans="5:8" x14ac:dyDescent="0.25">
      <c r="E1680" t="str">
        <f>""</f>
        <v/>
      </c>
      <c r="F1680" t="str">
        <f>""</f>
        <v/>
      </c>
      <c r="H1680" t="str">
        <f t="shared" si="28"/>
        <v>GUARDIAN</v>
      </c>
    </row>
    <row r="1681" spans="5:8" x14ac:dyDescent="0.25">
      <c r="E1681" t="str">
        <f>""</f>
        <v/>
      </c>
      <c r="F1681" t="str">
        <f>""</f>
        <v/>
      </c>
      <c r="H1681" t="str">
        <f t="shared" si="28"/>
        <v>GUARDIAN</v>
      </c>
    </row>
    <row r="1682" spans="5:8" x14ac:dyDescent="0.25">
      <c r="E1682" t="str">
        <f>""</f>
        <v/>
      </c>
      <c r="F1682" t="str">
        <f>""</f>
        <v/>
      </c>
      <c r="H1682" t="str">
        <f t="shared" si="28"/>
        <v>GUARDIAN</v>
      </c>
    </row>
    <row r="1683" spans="5:8" x14ac:dyDescent="0.25">
      <c r="E1683" t="str">
        <f>""</f>
        <v/>
      </c>
      <c r="F1683" t="str">
        <f>""</f>
        <v/>
      </c>
      <c r="H1683" t="str">
        <f t="shared" si="28"/>
        <v>GUARDIAN</v>
      </c>
    </row>
    <row r="1684" spans="5:8" x14ac:dyDescent="0.25">
      <c r="E1684" t="str">
        <f>""</f>
        <v/>
      </c>
      <c r="F1684" t="str">
        <f>""</f>
        <v/>
      </c>
      <c r="H1684" t="str">
        <f t="shared" si="28"/>
        <v>GUARDIAN</v>
      </c>
    </row>
    <row r="1685" spans="5:8" x14ac:dyDescent="0.25">
      <c r="E1685" t="str">
        <f>""</f>
        <v/>
      </c>
      <c r="F1685" t="str">
        <f>""</f>
        <v/>
      </c>
      <c r="H1685" t="str">
        <f t="shared" si="28"/>
        <v>GUARDIAN</v>
      </c>
    </row>
    <row r="1686" spans="5:8" x14ac:dyDescent="0.25">
      <c r="E1686" t="str">
        <f>""</f>
        <v/>
      </c>
      <c r="F1686" t="str">
        <f>""</f>
        <v/>
      </c>
      <c r="H1686" t="str">
        <f t="shared" si="28"/>
        <v>GUARDIAN</v>
      </c>
    </row>
    <row r="1687" spans="5:8" x14ac:dyDescent="0.25">
      <c r="E1687" t="str">
        <f>"GDE202003186057"</f>
        <v>GDE202003186057</v>
      </c>
      <c r="F1687" t="str">
        <f>"GUARDIAN"</f>
        <v>GUARDIAN</v>
      </c>
      <c r="G1687" s="5">
        <v>184.68</v>
      </c>
      <c r="H1687" t="str">
        <f t="shared" si="28"/>
        <v>GUARDIAN</v>
      </c>
    </row>
    <row r="1688" spans="5:8" x14ac:dyDescent="0.25">
      <c r="E1688" t="str">
        <f>"GDF202003035702"</f>
        <v>GDF202003035702</v>
      </c>
      <c r="F1688" t="str">
        <f>"GUARDIAN"</f>
        <v>GUARDIAN</v>
      </c>
      <c r="G1688" s="5">
        <v>2209.2399999999998</v>
      </c>
      <c r="H1688" t="str">
        <f t="shared" si="28"/>
        <v>GUARDIAN</v>
      </c>
    </row>
    <row r="1689" spans="5:8" x14ac:dyDescent="0.25">
      <c r="E1689" t="str">
        <f>""</f>
        <v/>
      </c>
      <c r="F1689" t="str">
        <f>""</f>
        <v/>
      </c>
      <c r="H1689" t="str">
        <f t="shared" si="28"/>
        <v>GUARDIAN</v>
      </c>
    </row>
    <row r="1690" spans="5:8" x14ac:dyDescent="0.25">
      <c r="E1690" t="str">
        <f>""</f>
        <v/>
      </c>
      <c r="F1690" t="str">
        <f>""</f>
        <v/>
      </c>
      <c r="H1690" t="str">
        <f t="shared" si="28"/>
        <v>GUARDIAN</v>
      </c>
    </row>
    <row r="1691" spans="5:8" x14ac:dyDescent="0.25">
      <c r="E1691" t="str">
        <f>""</f>
        <v/>
      </c>
      <c r="F1691" t="str">
        <f>""</f>
        <v/>
      </c>
      <c r="H1691" t="str">
        <f t="shared" si="28"/>
        <v>GUARDIAN</v>
      </c>
    </row>
    <row r="1692" spans="5:8" x14ac:dyDescent="0.25">
      <c r="E1692" t="str">
        <f>""</f>
        <v/>
      </c>
      <c r="F1692" t="str">
        <f>""</f>
        <v/>
      </c>
      <c r="H1692" t="str">
        <f t="shared" si="28"/>
        <v>GUARDIAN</v>
      </c>
    </row>
    <row r="1693" spans="5:8" x14ac:dyDescent="0.25">
      <c r="E1693" t="str">
        <f>""</f>
        <v/>
      </c>
      <c r="F1693" t="str">
        <f>""</f>
        <v/>
      </c>
      <c r="H1693" t="str">
        <f t="shared" si="28"/>
        <v>GUARDIAN</v>
      </c>
    </row>
    <row r="1694" spans="5:8" x14ac:dyDescent="0.25">
      <c r="E1694" t="str">
        <f>""</f>
        <v/>
      </c>
      <c r="F1694" t="str">
        <f>""</f>
        <v/>
      </c>
      <c r="H1694" t="str">
        <f t="shared" si="28"/>
        <v>GUARDIAN</v>
      </c>
    </row>
    <row r="1695" spans="5:8" x14ac:dyDescent="0.25">
      <c r="E1695" t="str">
        <f>""</f>
        <v/>
      </c>
      <c r="F1695" t="str">
        <f>""</f>
        <v/>
      </c>
      <c r="H1695" t="str">
        <f t="shared" si="28"/>
        <v>GUARDIAN</v>
      </c>
    </row>
    <row r="1696" spans="5:8" x14ac:dyDescent="0.25">
      <c r="E1696" t="str">
        <f>""</f>
        <v/>
      </c>
      <c r="F1696" t="str">
        <f>""</f>
        <v/>
      </c>
      <c r="H1696" t="str">
        <f t="shared" si="28"/>
        <v>GUARDIAN</v>
      </c>
    </row>
    <row r="1697" spans="5:8" x14ac:dyDescent="0.25">
      <c r="E1697" t="str">
        <f>""</f>
        <v/>
      </c>
      <c r="F1697" t="str">
        <f>""</f>
        <v/>
      </c>
      <c r="H1697" t="str">
        <f t="shared" si="28"/>
        <v>GUARDIAN</v>
      </c>
    </row>
    <row r="1698" spans="5:8" x14ac:dyDescent="0.25">
      <c r="E1698" t="str">
        <f>""</f>
        <v/>
      </c>
      <c r="F1698" t="str">
        <f>""</f>
        <v/>
      </c>
      <c r="H1698" t="str">
        <f t="shared" si="28"/>
        <v>GUARDIAN</v>
      </c>
    </row>
    <row r="1699" spans="5:8" x14ac:dyDescent="0.25">
      <c r="E1699" t="str">
        <f>""</f>
        <v/>
      </c>
      <c r="F1699" t="str">
        <f>""</f>
        <v/>
      </c>
      <c r="H1699" t="str">
        <f t="shared" si="28"/>
        <v>GUARDIAN</v>
      </c>
    </row>
    <row r="1700" spans="5:8" x14ac:dyDescent="0.25">
      <c r="E1700" t="str">
        <f>""</f>
        <v/>
      </c>
      <c r="F1700" t="str">
        <f>""</f>
        <v/>
      </c>
      <c r="H1700" t="str">
        <f t="shared" si="28"/>
        <v>GUARDIAN</v>
      </c>
    </row>
    <row r="1701" spans="5:8" x14ac:dyDescent="0.25">
      <c r="E1701" t="str">
        <f>""</f>
        <v/>
      </c>
      <c r="F1701" t="str">
        <f>""</f>
        <v/>
      </c>
      <c r="H1701" t="str">
        <f t="shared" si="28"/>
        <v>GUARDIAN</v>
      </c>
    </row>
    <row r="1702" spans="5:8" x14ac:dyDescent="0.25">
      <c r="E1702" t="str">
        <f>""</f>
        <v/>
      </c>
      <c r="F1702" t="str">
        <f>""</f>
        <v/>
      </c>
      <c r="H1702" t="str">
        <f t="shared" si="28"/>
        <v>GUARDIAN</v>
      </c>
    </row>
    <row r="1703" spans="5:8" x14ac:dyDescent="0.25">
      <c r="E1703" t="str">
        <f>""</f>
        <v/>
      </c>
      <c r="F1703" t="str">
        <f>""</f>
        <v/>
      </c>
      <c r="H1703" t="str">
        <f t="shared" si="28"/>
        <v>GUARDIAN</v>
      </c>
    </row>
    <row r="1704" spans="5:8" x14ac:dyDescent="0.25">
      <c r="E1704" t="str">
        <f>""</f>
        <v/>
      </c>
      <c r="F1704" t="str">
        <f>""</f>
        <v/>
      </c>
      <c r="H1704" t="str">
        <f t="shared" si="28"/>
        <v>GUARDIAN</v>
      </c>
    </row>
    <row r="1705" spans="5:8" x14ac:dyDescent="0.25">
      <c r="E1705" t="str">
        <f>""</f>
        <v/>
      </c>
      <c r="F1705" t="str">
        <f>""</f>
        <v/>
      </c>
      <c r="H1705" t="str">
        <f t="shared" si="28"/>
        <v>GUARDIAN</v>
      </c>
    </row>
    <row r="1706" spans="5:8" x14ac:dyDescent="0.25">
      <c r="E1706" t="str">
        <f>""</f>
        <v/>
      </c>
      <c r="F1706" t="str">
        <f>""</f>
        <v/>
      </c>
      <c r="H1706" t="str">
        <f t="shared" si="28"/>
        <v>GUARDIAN</v>
      </c>
    </row>
    <row r="1707" spans="5:8" x14ac:dyDescent="0.25">
      <c r="E1707" t="str">
        <f>""</f>
        <v/>
      </c>
      <c r="F1707" t="str">
        <f>""</f>
        <v/>
      </c>
      <c r="H1707" t="str">
        <f t="shared" si="28"/>
        <v>GUARDIAN</v>
      </c>
    </row>
    <row r="1708" spans="5:8" x14ac:dyDescent="0.25">
      <c r="E1708" t="str">
        <f>""</f>
        <v/>
      </c>
      <c r="F1708" t="str">
        <f>""</f>
        <v/>
      </c>
      <c r="H1708" t="str">
        <f t="shared" si="28"/>
        <v>GUARDIAN</v>
      </c>
    </row>
    <row r="1709" spans="5:8" x14ac:dyDescent="0.25">
      <c r="E1709" t="str">
        <f>""</f>
        <v/>
      </c>
      <c r="F1709" t="str">
        <f>""</f>
        <v/>
      </c>
      <c r="H1709" t="str">
        <f t="shared" si="28"/>
        <v>GUARDIAN</v>
      </c>
    </row>
    <row r="1710" spans="5:8" x14ac:dyDescent="0.25">
      <c r="E1710" t="str">
        <f>"GDF202003045735"</f>
        <v>GDF202003045735</v>
      </c>
      <c r="F1710" t="str">
        <f>"GUARDIAN"</f>
        <v>GUARDIAN</v>
      </c>
      <c r="G1710" s="5">
        <v>100.42</v>
      </c>
      <c r="H1710" t="str">
        <f t="shared" si="28"/>
        <v>GUARDIAN</v>
      </c>
    </row>
    <row r="1711" spans="5:8" x14ac:dyDescent="0.25">
      <c r="E1711" t="str">
        <f>""</f>
        <v/>
      </c>
      <c r="F1711" t="str">
        <f>""</f>
        <v/>
      </c>
      <c r="H1711" t="str">
        <f t="shared" si="28"/>
        <v>GUARDIAN</v>
      </c>
    </row>
    <row r="1712" spans="5:8" x14ac:dyDescent="0.25">
      <c r="E1712" t="str">
        <f>"GDF202003186056"</f>
        <v>GDF202003186056</v>
      </c>
      <c r="F1712" t="str">
        <f>"GUARDIAN"</f>
        <v>GUARDIAN</v>
      </c>
      <c r="G1712" s="5">
        <v>2209.2399999999998</v>
      </c>
      <c r="H1712" t="str">
        <f t="shared" ref="H1712:H1775" si="29">"GUARDIAN"</f>
        <v>GUARDIAN</v>
      </c>
    </row>
    <row r="1713" spans="5:8" x14ac:dyDescent="0.25">
      <c r="E1713" t="str">
        <f>""</f>
        <v/>
      </c>
      <c r="F1713" t="str">
        <f>""</f>
        <v/>
      </c>
      <c r="H1713" t="str">
        <f t="shared" si="29"/>
        <v>GUARDIAN</v>
      </c>
    </row>
    <row r="1714" spans="5:8" x14ac:dyDescent="0.25">
      <c r="E1714" t="str">
        <f>""</f>
        <v/>
      </c>
      <c r="F1714" t="str">
        <f>""</f>
        <v/>
      </c>
      <c r="H1714" t="str">
        <f t="shared" si="29"/>
        <v>GUARDIAN</v>
      </c>
    </row>
    <row r="1715" spans="5:8" x14ac:dyDescent="0.25">
      <c r="E1715" t="str">
        <f>""</f>
        <v/>
      </c>
      <c r="F1715" t="str">
        <f>""</f>
        <v/>
      </c>
      <c r="H1715" t="str">
        <f t="shared" si="29"/>
        <v>GUARDIAN</v>
      </c>
    </row>
    <row r="1716" spans="5:8" x14ac:dyDescent="0.25">
      <c r="E1716" t="str">
        <f>""</f>
        <v/>
      </c>
      <c r="F1716" t="str">
        <f>""</f>
        <v/>
      </c>
      <c r="H1716" t="str">
        <f t="shared" si="29"/>
        <v>GUARDIAN</v>
      </c>
    </row>
    <row r="1717" spans="5:8" x14ac:dyDescent="0.25">
      <c r="E1717" t="str">
        <f>""</f>
        <v/>
      </c>
      <c r="F1717" t="str">
        <f>""</f>
        <v/>
      </c>
      <c r="H1717" t="str">
        <f t="shared" si="29"/>
        <v>GUARDIAN</v>
      </c>
    </row>
    <row r="1718" spans="5:8" x14ac:dyDescent="0.25">
      <c r="E1718" t="str">
        <f>""</f>
        <v/>
      </c>
      <c r="F1718" t="str">
        <f>""</f>
        <v/>
      </c>
      <c r="H1718" t="str">
        <f t="shared" si="29"/>
        <v>GUARDIAN</v>
      </c>
    </row>
    <row r="1719" spans="5:8" x14ac:dyDescent="0.25">
      <c r="E1719" t="str">
        <f>""</f>
        <v/>
      </c>
      <c r="F1719" t="str">
        <f>""</f>
        <v/>
      </c>
      <c r="H1719" t="str">
        <f t="shared" si="29"/>
        <v>GUARDIAN</v>
      </c>
    </row>
    <row r="1720" spans="5:8" x14ac:dyDescent="0.25">
      <c r="E1720" t="str">
        <f>""</f>
        <v/>
      </c>
      <c r="F1720" t="str">
        <f>""</f>
        <v/>
      </c>
      <c r="H1720" t="str">
        <f t="shared" si="29"/>
        <v>GUARDIAN</v>
      </c>
    </row>
    <row r="1721" spans="5:8" x14ac:dyDescent="0.25">
      <c r="E1721" t="str">
        <f>""</f>
        <v/>
      </c>
      <c r="F1721" t="str">
        <f>""</f>
        <v/>
      </c>
      <c r="H1721" t="str">
        <f t="shared" si="29"/>
        <v>GUARDIAN</v>
      </c>
    </row>
    <row r="1722" spans="5:8" x14ac:dyDescent="0.25">
      <c r="E1722" t="str">
        <f>""</f>
        <v/>
      </c>
      <c r="F1722" t="str">
        <f>""</f>
        <v/>
      </c>
      <c r="H1722" t="str">
        <f t="shared" si="29"/>
        <v>GUARDIAN</v>
      </c>
    </row>
    <row r="1723" spans="5:8" x14ac:dyDescent="0.25">
      <c r="E1723" t="str">
        <f>""</f>
        <v/>
      </c>
      <c r="F1723" t="str">
        <f>""</f>
        <v/>
      </c>
      <c r="H1723" t="str">
        <f t="shared" si="29"/>
        <v>GUARDIAN</v>
      </c>
    </row>
    <row r="1724" spans="5:8" x14ac:dyDescent="0.25">
      <c r="E1724" t="str">
        <f>""</f>
        <v/>
      </c>
      <c r="F1724" t="str">
        <f>""</f>
        <v/>
      </c>
      <c r="H1724" t="str">
        <f t="shared" si="29"/>
        <v>GUARDIAN</v>
      </c>
    </row>
    <row r="1725" spans="5:8" x14ac:dyDescent="0.25">
      <c r="E1725" t="str">
        <f>""</f>
        <v/>
      </c>
      <c r="F1725" t="str">
        <f>""</f>
        <v/>
      </c>
      <c r="H1725" t="str">
        <f t="shared" si="29"/>
        <v>GUARDIAN</v>
      </c>
    </row>
    <row r="1726" spans="5:8" x14ac:dyDescent="0.25">
      <c r="E1726" t="str">
        <f>""</f>
        <v/>
      </c>
      <c r="F1726" t="str">
        <f>""</f>
        <v/>
      </c>
      <c r="H1726" t="str">
        <f t="shared" si="29"/>
        <v>GUARDIAN</v>
      </c>
    </row>
    <row r="1727" spans="5:8" x14ac:dyDescent="0.25">
      <c r="E1727" t="str">
        <f>""</f>
        <v/>
      </c>
      <c r="F1727" t="str">
        <f>""</f>
        <v/>
      </c>
      <c r="H1727" t="str">
        <f t="shared" si="29"/>
        <v>GUARDIAN</v>
      </c>
    </row>
    <row r="1728" spans="5:8" x14ac:dyDescent="0.25">
      <c r="E1728" t="str">
        <f>""</f>
        <v/>
      </c>
      <c r="F1728" t="str">
        <f>""</f>
        <v/>
      </c>
      <c r="H1728" t="str">
        <f t="shared" si="29"/>
        <v>GUARDIAN</v>
      </c>
    </row>
    <row r="1729" spans="5:8" x14ac:dyDescent="0.25">
      <c r="E1729" t="str">
        <f>""</f>
        <v/>
      </c>
      <c r="F1729" t="str">
        <f>""</f>
        <v/>
      </c>
      <c r="H1729" t="str">
        <f t="shared" si="29"/>
        <v>GUARDIAN</v>
      </c>
    </row>
    <row r="1730" spans="5:8" x14ac:dyDescent="0.25">
      <c r="E1730" t="str">
        <f>""</f>
        <v/>
      </c>
      <c r="F1730" t="str">
        <f>""</f>
        <v/>
      </c>
      <c r="H1730" t="str">
        <f t="shared" si="29"/>
        <v>GUARDIAN</v>
      </c>
    </row>
    <row r="1731" spans="5:8" x14ac:dyDescent="0.25">
      <c r="E1731" t="str">
        <f>""</f>
        <v/>
      </c>
      <c r="F1731" t="str">
        <f>""</f>
        <v/>
      </c>
      <c r="H1731" t="str">
        <f t="shared" si="29"/>
        <v>GUARDIAN</v>
      </c>
    </row>
    <row r="1732" spans="5:8" x14ac:dyDescent="0.25">
      <c r="E1732" t="str">
        <f>""</f>
        <v/>
      </c>
      <c r="F1732" t="str">
        <f>""</f>
        <v/>
      </c>
      <c r="H1732" t="str">
        <f t="shared" si="29"/>
        <v>GUARDIAN</v>
      </c>
    </row>
    <row r="1733" spans="5:8" x14ac:dyDescent="0.25">
      <c r="E1733" t="str">
        <f>""</f>
        <v/>
      </c>
      <c r="F1733" t="str">
        <f>""</f>
        <v/>
      </c>
      <c r="H1733" t="str">
        <f t="shared" si="29"/>
        <v>GUARDIAN</v>
      </c>
    </row>
    <row r="1734" spans="5:8" x14ac:dyDescent="0.25">
      <c r="E1734" t="str">
        <f>"GDF202003186057"</f>
        <v>GDF202003186057</v>
      </c>
      <c r="F1734" t="str">
        <f>"GUARDIAN"</f>
        <v>GUARDIAN</v>
      </c>
      <c r="G1734" s="5">
        <v>100.42</v>
      </c>
      <c r="H1734" t="str">
        <f t="shared" si="29"/>
        <v>GUARDIAN</v>
      </c>
    </row>
    <row r="1735" spans="5:8" x14ac:dyDescent="0.25">
      <c r="E1735" t="str">
        <f>""</f>
        <v/>
      </c>
      <c r="F1735" t="str">
        <f>""</f>
        <v/>
      </c>
      <c r="H1735" t="str">
        <f t="shared" si="29"/>
        <v>GUARDIAN</v>
      </c>
    </row>
    <row r="1736" spans="5:8" x14ac:dyDescent="0.25">
      <c r="E1736" t="str">
        <f>"GDS202003035702"</f>
        <v>GDS202003035702</v>
      </c>
      <c r="F1736" t="str">
        <f>"GUARDIAN"</f>
        <v>GUARDIAN</v>
      </c>
      <c r="G1736" s="5">
        <v>1923.24</v>
      </c>
      <c r="H1736" t="str">
        <f t="shared" si="29"/>
        <v>GUARDIAN</v>
      </c>
    </row>
    <row r="1737" spans="5:8" x14ac:dyDescent="0.25">
      <c r="E1737" t="str">
        <f>""</f>
        <v/>
      </c>
      <c r="F1737" t="str">
        <f>""</f>
        <v/>
      </c>
      <c r="H1737" t="str">
        <f t="shared" si="29"/>
        <v>GUARDIAN</v>
      </c>
    </row>
    <row r="1738" spans="5:8" x14ac:dyDescent="0.25">
      <c r="E1738" t="str">
        <f>""</f>
        <v/>
      </c>
      <c r="F1738" t="str">
        <f>""</f>
        <v/>
      </c>
      <c r="H1738" t="str">
        <f t="shared" si="29"/>
        <v>GUARDIAN</v>
      </c>
    </row>
    <row r="1739" spans="5:8" x14ac:dyDescent="0.25">
      <c r="E1739" t="str">
        <f>""</f>
        <v/>
      </c>
      <c r="F1739" t="str">
        <f>""</f>
        <v/>
      </c>
      <c r="H1739" t="str">
        <f t="shared" si="29"/>
        <v>GUARDIAN</v>
      </c>
    </row>
    <row r="1740" spans="5:8" x14ac:dyDescent="0.25">
      <c r="E1740" t="str">
        <f>""</f>
        <v/>
      </c>
      <c r="F1740" t="str">
        <f>""</f>
        <v/>
      </c>
      <c r="H1740" t="str">
        <f t="shared" si="29"/>
        <v>GUARDIAN</v>
      </c>
    </row>
    <row r="1741" spans="5:8" x14ac:dyDescent="0.25">
      <c r="E1741" t="str">
        <f>""</f>
        <v/>
      </c>
      <c r="F1741" t="str">
        <f>""</f>
        <v/>
      </c>
      <c r="H1741" t="str">
        <f t="shared" si="29"/>
        <v>GUARDIAN</v>
      </c>
    </row>
    <row r="1742" spans="5:8" x14ac:dyDescent="0.25">
      <c r="E1742" t="str">
        <f>""</f>
        <v/>
      </c>
      <c r="F1742" t="str">
        <f>""</f>
        <v/>
      </c>
      <c r="H1742" t="str">
        <f t="shared" si="29"/>
        <v>GUARDIAN</v>
      </c>
    </row>
    <row r="1743" spans="5:8" x14ac:dyDescent="0.25">
      <c r="E1743" t="str">
        <f>""</f>
        <v/>
      </c>
      <c r="F1743" t="str">
        <f>""</f>
        <v/>
      </c>
      <c r="H1743" t="str">
        <f t="shared" si="29"/>
        <v>GUARDIAN</v>
      </c>
    </row>
    <row r="1744" spans="5:8" x14ac:dyDescent="0.25">
      <c r="E1744" t="str">
        <f>""</f>
        <v/>
      </c>
      <c r="F1744" t="str">
        <f>""</f>
        <v/>
      </c>
      <c r="H1744" t="str">
        <f t="shared" si="29"/>
        <v>GUARDIAN</v>
      </c>
    </row>
    <row r="1745" spans="5:8" x14ac:dyDescent="0.25">
      <c r="E1745" t="str">
        <f>""</f>
        <v/>
      </c>
      <c r="F1745" t="str">
        <f>""</f>
        <v/>
      </c>
      <c r="H1745" t="str">
        <f t="shared" si="29"/>
        <v>GUARDIAN</v>
      </c>
    </row>
    <row r="1746" spans="5:8" x14ac:dyDescent="0.25">
      <c r="E1746" t="str">
        <f>""</f>
        <v/>
      </c>
      <c r="F1746" t="str">
        <f>""</f>
        <v/>
      </c>
      <c r="H1746" t="str">
        <f t="shared" si="29"/>
        <v>GUARDIAN</v>
      </c>
    </row>
    <row r="1747" spans="5:8" x14ac:dyDescent="0.25">
      <c r="E1747" t="str">
        <f>""</f>
        <v/>
      </c>
      <c r="F1747" t="str">
        <f>""</f>
        <v/>
      </c>
      <c r="H1747" t="str">
        <f t="shared" si="29"/>
        <v>GUARDIAN</v>
      </c>
    </row>
    <row r="1748" spans="5:8" x14ac:dyDescent="0.25">
      <c r="E1748" t="str">
        <f>""</f>
        <v/>
      </c>
      <c r="F1748" t="str">
        <f>""</f>
        <v/>
      </c>
      <c r="H1748" t="str">
        <f t="shared" si="29"/>
        <v>GUARDIAN</v>
      </c>
    </row>
    <row r="1749" spans="5:8" x14ac:dyDescent="0.25">
      <c r="E1749" t="str">
        <f>""</f>
        <v/>
      </c>
      <c r="F1749" t="str">
        <f>""</f>
        <v/>
      </c>
      <c r="H1749" t="str">
        <f t="shared" si="29"/>
        <v>GUARDIAN</v>
      </c>
    </row>
    <row r="1750" spans="5:8" x14ac:dyDescent="0.25">
      <c r="E1750" t="str">
        <f>""</f>
        <v/>
      </c>
      <c r="F1750" t="str">
        <f>""</f>
        <v/>
      </c>
      <c r="H1750" t="str">
        <f t="shared" si="29"/>
        <v>GUARDIAN</v>
      </c>
    </row>
    <row r="1751" spans="5:8" x14ac:dyDescent="0.25">
      <c r="E1751" t="str">
        <f>""</f>
        <v/>
      </c>
      <c r="F1751" t="str">
        <f>""</f>
        <v/>
      </c>
      <c r="H1751" t="str">
        <f t="shared" si="29"/>
        <v>GUARDIAN</v>
      </c>
    </row>
    <row r="1752" spans="5:8" x14ac:dyDescent="0.25">
      <c r="E1752" t="str">
        <f>""</f>
        <v/>
      </c>
      <c r="F1752" t="str">
        <f>""</f>
        <v/>
      </c>
      <c r="H1752" t="str">
        <f t="shared" si="29"/>
        <v>GUARDIAN</v>
      </c>
    </row>
    <row r="1753" spans="5:8" x14ac:dyDescent="0.25">
      <c r="E1753" t="str">
        <f>""</f>
        <v/>
      </c>
      <c r="F1753" t="str">
        <f>""</f>
        <v/>
      </c>
      <c r="H1753" t="str">
        <f t="shared" si="29"/>
        <v>GUARDIAN</v>
      </c>
    </row>
    <row r="1754" spans="5:8" x14ac:dyDescent="0.25">
      <c r="E1754" t="str">
        <f>""</f>
        <v/>
      </c>
      <c r="F1754" t="str">
        <f>""</f>
        <v/>
      </c>
      <c r="H1754" t="str">
        <f t="shared" si="29"/>
        <v>GUARDIAN</v>
      </c>
    </row>
    <row r="1755" spans="5:8" x14ac:dyDescent="0.25">
      <c r="E1755" t="str">
        <f>""</f>
        <v/>
      </c>
      <c r="F1755" t="str">
        <f>""</f>
        <v/>
      </c>
      <c r="H1755" t="str">
        <f t="shared" si="29"/>
        <v>GUARDIAN</v>
      </c>
    </row>
    <row r="1756" spans="5:8" x14ac:dyDescent="0.25">
      <c r="E1756" t="str">
        <f>""</f>
        <v/>
      </c>
      <c r="F1756" t="str">
        <f>""</f>
        <v/>
      </c>
      <c r="H1756" t="str">
        <f t="shared" si="29"/>
        <v>GUARDIAN</v>
      </c>
    </row>
    <row r="1757" spans="5:8" x14ac:dyDescent="0.25">
      <c r="E1757" t="str">
        <f>""</f>
        <v/>
      </c>
      <c r="F1757" t="str">
        <f>""</f>
        <v/>
      </c>
      <c r="H1757" t="str">
        <f t="shared" si="29"/>
        <v>GUARDIAN</v>
      </c>
    </row>
    <row r="1758" spans="5:8" x14ac:dyDescent="0.25">
      <c r="E1758" t="str">
        <f>""</f>
        <v/>
      </c>
      <c r="F1758" t="str">
        <f>""</f>
        <v/>
      </c>
      <c r="H1758" t="str">
        <f t="shared" si="29"/>
        <v>GUARDIAN</v>
      </c>
    </row>
    <row r="1759" spans="5:8" x14ac:dyDescent="0.25">
      <c r="E1759" t="str">
        <f>""</f>
        <v/>
      </c>
      <c r="F1759" t="str">
        <f>""</f>
        <v/>
      </c>
      <c r="H1759" t="str">
        <f t="shared" si="29"/>
        <v>GUARDIAN</v>
      </c>
    </row>
    <row r="1760" spans="5:8" x14ac:dyDescent="0.25">
      <c r="E1760" t="str">
        <f>""</f>
        <v/>
      </c>
      <c r="F1760" t="str">
        <f>""</f>
        <v/>
      </c>
      <c r="H1760" t="str">
        <f t="shared" si="29"/>
        <v>GUARDIAN</v>
      </c>
    </row>
    <row r="1761" spans="5:8" x14ac:dyDescent="0.25">
      <c r="E1761" t="str">
        <f>"GDS202003186056"</f>
        <v>GDS202003186056</v>
      </c>
      <c r="F1761" t="str">
        <f>"GUARDIAN"</f>
        <v>GUARDIAN</v>
      </c>
      <c r="G1761" s="5">
        <v>1923.24</v>
      </c>
      <c r="H1761" t="str">
        <f t="shared" si="29"/>
        <v>GUARDIAN</v>
      </c>
    </row>
    <row r="1762" spans="5:8" x14ac:dyDescent="0.25">
      <c r="E1762" t="str">
        <f>""</f>
        <v/>
      </c>
      <c r="F1762" t="str">
        <f>""</f>
        <v/>
      </c>
      <c r="H1762" t="str">
        <f t="shared" si="29"/>
        <v>GUARDIAN</v>
      </c>
    </row>
    <row r="1763" spans="5:8" x14ac:dyDescent="0.25">
      <c r="E1763" t="str">
        <f>""</f>
        <v/>
      </c>
      <c r="F1763" t="str">
        <f>""</f>
        <v/>
      </c>
      <c r="H1763" t="str">
        <f t="shared" si="29"/>
        <v>GUARDIAN</v>
      </c>
    </row>
    <row r="1764" spans="5:8" x14ac:dyDescent="0.25">
      <c r="E1764" t="str">
        <f>""</f>
        <v/>
      </c>
      <c r="F1764" t="str">
        <f>""</f>
        <v/>
      </c>
      <c r="H1764" t="str">
        <f t="shared" si="29"/>
        <v>GUARDIAN</v>
      </c>
    </row>
    <row r="1765" spans="5:8" x14ac:dyDescent="0.25">
      <c r="E1765" t="str">
        <f>""</f>
        <v/>
      </c>
      <c r="F1765" t="str">
        <f>""</f>
        <v/>
      </c>
      <c r="H1765" t="str">
        <f t="shared" si="29"/>
        <v>GUARDIAN</v>
      </c>
    </row>
    <row r="1766" spans="5:8" x14ac:dyDescent="0.25">
      <c r="E1766" t="str">
        <f>""</f>
        <v/>
      </c>
      <c r="F1766" t="str">
        <f>""</f>
        <v/>
      </c>
      <c r="H1766" t="str">
        <f t="shared" si="29"/>
        <v>GUARDIAN</v>
      </c>
    </row>
    <row r="1767" spans="5:8" x14ac:dyDescent="0.25">
      <c r="E1767" t="str">
        <f>""</f>
        <v/>
      </c>
      <c r="F1767" t="str">
        <f>""</f>
        <v/>
      </c>
      <c r="H1767" t="str">
        <f t="shared" si="29"/>
        <v>GUARDIAN</v>
      </c>
    </row>
    <row r="1768" spans="5:8" x14ac:dyDescent="0.25">
      <c r="E1768" t="str">
        <f>""</f>
        <v/>
      </c>
      <c r="F1768" t="str">
        <f>""</f>
        <v/>
      </c>
      <c r="H1768" t="str">
        <f t="shared" si="29"/>
        <v>GUARDIAN</v>
      </c>
    </row>
    <row r="1769" spans="5:8" x14ac:dyDescent="0.25">
      <c r="E1769" t="str">
        <f>""</f>
        <v/>
      </c>
      <c r="F1769" t="str">
        <f>""</f>
        <v/>
      </c>
      <c r="H1769" t="str">
        <f t="shared" si="29"/>
        <v>GUARDIAN</v>
      </c>
    </row>
    <row r="1770" spans="5:8" x14ac:dyDescent="0.25">
      <c r="E1770" t="str">
        <f>""</f>
        <v/>
      </c>
      <c r="F1770" t="str">
        <f>""</f>
        <v/>
      </c>
      <c r="H1770" t="str">
        <f t="shared" si="29"/>
        <v>GUARDIAN</v>
      </c>
    </row>
    <row r="1771" spans="5:8" x14ac:dyDescent="0.25">
      <c r="E1771" t="str">
        <f>""</f>
        <v/>
      </c>
      <c r="F1771" t="str">
        <f>""</f>
        <v/>
      </c>
      <c r="H1771" t="str">
        <f t="shared" si="29"/>
        <v>GUARDIAN</v>
      </c>
    </row>
    <row r="1772" spans="5:8" x14ac:dyDescent="0.25">
      <c r="E1772" t="str">
        <f>""</f>
        <v/>
      </c>
      <c r="F1772" t="str">
        <f>""</f>
        <v/>
      </c>
      <c r="H1772" t="str">
        <f t="shared" si="29"/>
        <v>GUARDIAN</v>
      </c>
    </row>
    <row r="1773" spans="5:8" x14ac:dyDescent="0.25">
      <c r="E1773" t="str">
        <f>""</f>
        <v/>
      </c>
      <c r="F1773" t="str">
        <f>""</f>
        <v/>
      </c>
      <c r="H1773" t="str">
        <f t="shared" si="29"/>
        <v>GUARDIAN</v>
      </c>
    </row>
    <row r="1774" spans="5:8" x14ac:dyDescent="0.25">
      <c r="E1774" t="str">
        <f>""</f>
        <v/>
      </c>
      <c r="F1774" t="str">
        <f>""</f>
        <v/>
      </c>
      <c r="H1774" t="str">
        <f t="shared" si="29"/>
        <v>GUARDIAN</v>
      </c>
    </row>
    <row r="1775" spans="5:8" x14ac:dyDescent="0.25">
      <c r="E1775" t="str">
        <f>""</f>
        <v/>
      </c>
      <c r="F1775" t="str">
        <f>""</f>
        <v/>
      </c>
      <c r="H1775" t="str">
        <f t="shared" si="29"/>
        <v>GUARDIAN</v>
      </c>
    </row>
    <row r="1776" spans="5:8" x14ac:dyDescent="0.25">
      <c r="E1776" t="str">
        <f>""</f>
        <v/>
      </c>
      <c r="F1776" t="str">
        <f>""</f>
        <v/>
      </c>
      <c r="H1776" t="str">
        <f t="shared" ref="H1776:H1785" si="30">"GUARDIAN"</f>
        <v>GUARDIAN</v>
      </c>
    </row>
    <row r="1777" spans="5:8" x14ac:dyDescent="0.25">
      <c r="E1777" t="str">
        <f>""</f>
        <v/>
      </c>
      <c r="F1777" t="str">
        <f>""</f>
        <v/>
      </c>
      <c r="H1777" t="str">
        <f t="shared" si="30"/>
        <v>GUARDIAN</v>
      </c>
    </row>
    <row r="1778" spans="5:8" x14ac:dyDescent="0.25">
      <c r="E1778" t="str">
        <f>""</f>
        <v/>
      </c>
      <c r="F1778" t="str">
        <f>""</f>
        <v/>
      </c>
      <c r="H1778" t="str">
        <f t="shared" si="30"/>
        <v>GUARDIAN</v>
      </c>
    </row>
    <row r="1779" spans="5:8" x14ac:dyDescent="0.25">
      <c r="E1779" t="str">
        <f>""</f>
        <v/>
      </c>
      <c r="F1779" t="str">
        <f>""</f>
        <v/>
      </c>
      <c r="H1779" t="str">
        <f t="shared" si="30"/>
        <v>GUARDIAN</v>
      </c>
    </row>
    <row r="1780" spans="5:8" x14ac:dyDescent="0.25">
      <c r="E1780" t="str">
        <f>""</f>
        <v/>
      </c>
      <c r="F1780" t="str">
        <f>""</f>
        <v/>
      </c>
      <c r="H1780" t="str">
        <f t="shared" si="30"/>
        <v>GUARDIAN</v>
      </c>
    </row>
    <row r="1781" spans="5:8" x14ac:dyDescent="0.25">
      <c r="E1781" t="str">
        <f>""</f>
        <v/>
      </c>
      <c r="F1781" t="str">
        <f>""</f>
        <v/>
      </c>
      <c r="H1781" t="str">
        <f t="shared" si="30"/>
        <v>GUARDIAN</v>
      </c>
    </row>
    <row r="1782" spans="5:8" x14ac:dyDescent="0.25">
      <c r="E1782" t="str">
        <f>""</f>
        <v/>
      </c>
      <c r="F1782" t="str">
        <f>""</f>
        <v/>
      </c>
      <c r="H1782" t="str">
        <f t="shared" si="30"/>
        <v>GUARDIAN</v>
      </c>
    </row>
    <row r="1783" spans="5:8" x14ac:dyDescent="0.25">
      <c r="E1783" t="str">
        <f>""</f>
        <v/>
      </c>
      <c r="F1783" t="str">
        <f>""</f>
        <v/>
      </c>
      <c r="H1783" t="str">
        <f t="shared" si="30"/>
        <v>GUARDIAN</v>
      </c>
    </row>
    <row r="1784" spans="5:8" x14ac:dyDescent="0.25">
      <c r="E1784" t="str">
        <f>""</f>
        <v/>
      </c>
      <c r="F1784" t="str">
        <f>""</f>
        <v/>
      </c>
      <c r="H1784" t="str">
        <f t="shared" si="30"/>
        <v>GUARDIAN</v>
      </c>
    </row>
    <row r="1785" spans="5:8" x14ac:dyDescent="0.25">
      <c r="E1785" t="str">
        <f>""</f>
        <v/>
      </c>
      <c r="F1785" t="str">
        <f>""</f>
        <v/>
      </c>
      <c r="H1785" t="str">
        <f t="shared" si="30"/>
        <v>GUARDIAN</v>
      </c>
    </row>
    <row r="1786" spans="5:8" x14ac:dyDescent="0.25">
      <c r="E1786" t="str">
        <f>"GV1202003035702"</f>
        <v>GV1202003035702</v>
      </c>
      <c r="F1786" t="str">
        <f>"GUARDIAN VISION"</f>
        <v>GUARDIAN VISION</v>
      </c>
      <c r="G1786" s="5">
        <v>420</v>
      </c>
      <c r="H1786" t="str">
        <f>"GUARDIAN VISION"</f>
        <v>GUARDIAN VISION</v>
      </c>
    </row>
    <row r="1787" spans="5:8" x14ac:dyDescent="0.25">
      <c r="E1787" t="str">
        <f>"GV1202003186056"</f>
        <v>GV1202003186056</v>
      </c>
      <c r="F1787" t="str">
        <f>"GUARDIAN VISION"</f>
        <v>GUARDIAN VISION</v>
      </c>
      <c r="G1787" s="5">
        <v>420</v>
      </c>
      <c r="H1787" t="str">
        <f>"GUARDIAN VISION"</f>
        <v>GUARDIAN VISION</v>
      </c>
    </row>
    <row r="1788" spans="5:8" x14ac:dyDescent="0.25">
      <c r="E1788" t="str">
        <f>"GVE202003035702"</f>
        <v>GVE202003035702</v>
      </c>
      <c r="F1788" t="str">
        <f>"GUARDIAN VISION VENDOR"</f>
        <v>GUARDIAN VISION VENDOR</v>
      </c>
      <c r="G1788" s="5">
        <v>616.23</v>
      </c>
      <c r="H1788" t="str">
        <f>"GUARDIAN VISION VENDOR"</f>
        <v>GUARDIAN VISION VENDOR</v>
      </c>
    </row>
    <row r="1789" spans="5:8" x14ac:dyDescent="0.25">
      <c r="E1789" t="str">
        <f>"GVE202003045735"</f>
        <v>GVE202003045735</v>
      </c>
      <c r="F1789" t="str">
        <f>"GUARDIAN VISION VENDOR"</f>
        <v>GUARDIAN VISION VENDOR</v>
      </c>
      <c r="G1789" s="5">
        <v>33.21</v>
      </c>
      <c r="H1789" t="str">
        <f>"GUARDIAN VISION VENDOR"</f>
        <v>GUARDIAN VISION VENDOR</v>
      </c>
    </row>
    <row r="1790" spans="5:8" x14ac:dyDescent="0.25">
      <c r="E1790" t="str">
        <f>"GVE202003186056"</f>
        <v>GVE202003186056</v>
      </c>
      <c r="F1790" t="str">
        <f>"GUARDIAN VISION VENDOR"</f>
        <v>GUARDIAN VISION VENDOR</v>
      </c>
      <c r="G1790" s="5">
        <v>616.23</v>
      </c>
      <c r="H1790" t="str">
        <f>"GUARDIAN VISION VENDOR"</f>
        <v>GUARDIAN VISION VENDOR</v>
      </c>
    </row>
    <row r="1791" spans="5:8" x14ac:dyDescent="0.25">
      <c r="E1791" t="str">
        <f>"GVE202003186057"</f>
        <v>GVE202003186057</v>
      </c>
      <c r="F1791" t="str">
        <f>"GUARDIAN VISION VENDOR"</f>
        <v>GUARDIAN VISION VENDOR</v>
      </c>
      <c r="G1791" s="5">
        <v>33.21</v>
      </c>
      <c r="H1791" t="str">
        <f>"GUARDIAN VISION VENDOR"</f>
        <v>GUARDIAN VISION VENDOR</v>
      </c>
    </row>
    <row r="1792" spans="5:8" x14ac:dyDescent="0.25">
      <c r="E1792" t="str">
        <f>"GVF202003035702"</f>
        <v>GVF202003035702</v>
      </c>
      <c r="F1792" t="str">
        <f>"GUARDIAN VISION"</f>
        <v>GUARDIAN VISION</v>
      </c>
      <c r="G1792" s="5">
        <v>600.84</v>
      </c>
      <c r="H1792" t="str">
        <f>"GUARDIAN VISION"</f>
        <v>GUARDIAN VISION</v>
      </c>
    </row>
    <row r="1793" spans="5:8" x14ac:dyDescent="0.25">
      <c r="E1793" t="str">
        <f>"GVF202003045735"</f>
        <v>GVF202003045735</v>
      </c>
      <c r="F1793" t="str">
        <f>"GUARDIAN VISION VENDOR"</f>
        <v>GUARDIAN VISION VENDOR</v>
      </c>
      <c r="G1793" s="5">
        <v>39.4</v>
      </c>
      <c r="H1793" t="str">
        <f>"GUARDIAN VISION VENDOR"</f>
        <v>GUARDIAN VISION VENDOR</v>
      </c>
    </row>
    <row r="1794" spans="5:8" x14ac:dyDescent="0.25">
      <c r="E1794" t="str">
        <f>"GVF202003186056"</f>
        <v>GVF202003186056</v>
      </c>
      <c r="F1794" t="str">
        <f>"GUARDIAN VISION"</f>
        <v>GUARDIAN VISION</v>
      </c>
      <c r="G1794" s="5">
        <v>600.84</v>
      </c>
      <c r="H1794" t="str">
        <f>"GUARDIAN VISION"</f>
        <v>GUARDIAN VISION</v>
      </c>
    </row>
    <row r="1795" spans="5:8" x14ac:dyDescent="0.25">
      <c r="E1795" t="str">
        <f>"GVF202003186057"</f>
        <v>GVF202003186057</v>
      </c>
      <c r="F1795" t="str">
        <f>"GUARDIAN VISION VENDOR"</f>
        <v>GUARDIAN VISION VENDOR</v>
      </c>
      <c r="G1795" s="5">
        <v>39.4</v>
      </c>
      <c r="H1795" t="str">
        <f>"GUARDIAN VISION VENDOR"</f>
        <v>GUARDIAN VISION VENDOR</v>
      </c>
    </row>
    <row r="1796" spans="5:8" x14ac:dyDescent="0.25">
      <c r="E1796" t="str">
        <f>"LIA202003035702"</f>
        <v>LIA202003035702</v>
      </c>
      <c r="F1796" t="str">
        <f>"GUARDIAN"</f>
        <v>GUARDIAN</v>
      </c>
      <c r="G1796" s="5">
        <v>188.22</v>
      </c>
      <c r="H1796" t="str">
        <f t="shared" ref="H1796:H1827" si="31">"GUARDIAN"</f>
        <v>GUARDIAN</v>
      </c>
    </row>
    <row r="1797" spans="5:8" x14ac:dyDescent="0.25">
      <c r="E1797" t="str">
        <f>""</f>
        <v/>
      </c>
      <c r="F1797" t="str">
        <f>""</f>
        <v/>
      </c>
      <c r="H1797" t="str">
        <f t="shared" si="31"/>
        <v>GUARDIAN</v>
      </c>
    </row>
    <row r="1798" spans="5:8" x14ac:dyDescent="0.25">
      <c r="E1798" t="str">
        <f>""</f>
        <v/>
      </c>
      <c r="F1798" t="str">
        <f>""</f>
        <v/>
      </c>
      <c r="H1798" t="str">
        <f t="shared" si="31"/>
        <v>GUARDIAN</v>
      </c>
    </row>
    <row r="1799" spans="5:8" x14ac:dyDescent="0.25">
      <c r="E1799" t="str">
        <f>""</f>
        <v/>
      </c>
      <c r="F1799" t="str">
        <f>""</f>
        <v/>
      </c>
      <c r="H1799" t="str">
        <f t="shared" si="31"/>
        <v>GUARDIAN</v>
      </c>
    </row>
    <row r="1800" spans="5:8" x14ac:dyDescent="0.25">
      <c r="E1800" t="str">
        <f>""</f>
        <v/>
      </c>
      <c r="F1800" t="str">
        <f>""</f>
        <v/>
      </c>
      <c r="H1800" t="str">
        <f t="shared" si="31"/>
        <v>GUARDIAN</v>
      </c>
    </row>
    <row r="1801" spans="5:8" x14ac:dyDescent="0.25">
      <c r="E1801" t="str">
        <f>""</f>
        <v/>
      </c>
      <c r="F1801" t="str">
        <f>""</f>
        <v/>
      </c>
      <c r="H1801" t="str">
        <f t="shared" si="31"/>
        <v>GUARDIAN</v>
      </c>
    </row>
    <row r="1802" spans="5:8" x14ac:dyDescent="0.25">
      <c r="E1802" t="str">
        <f>""</f>
        <v/>
      </c>
      <c r="F1802" t="str">
        <f>""</f>
        <v/>
      </c>
      <c r="H1802" t="str">
        <f t="shared" si="31"/>
        <v>GUARDIAN</v>
      </c>
    </row>
    <row r="1803" spans="5:8" x14ac:dyDescent="0.25">
      <c r="E1803" t="str">
        <f>""</f>
        <v/>
      </c>
      <c r="F1803" t="str">
        <f>""</f>
        <v/>
      </c>
      <c r="H1803" t="str">
        <f t="shared" si="31"/>
        <v>GUARDIAN</v>
      </c>
    </row>
    <row r="1804" spans="5:8" x14ac:dyDescent="0.25">
      <c r="E1804" t="str">
        <f>""</f>
        <v/>
      </c>
      <c r="F1804" t="str">
        <f>""</f>
        <v/>
      </c>
      <c r="H1804" t="str">
        <f t="shared" si="31"/>
        <v>GUARDIAN</v>
      </c>
    </row>
    <row r="1805" spans="5:8" x14ac:dyDescent="0.25">
      <c r="E1805" t="str">
        <f>""</f>
        <v/>
      </c>
      <c r="F1805" t="str">
        <f>""</f>
        <v/>
      </c>
      <c r="H1805" t="str">
        <f t="shared" si="31"/>
        <v>GUARDIAN</v>
      </c>
    </row>
    <row r="1806" spans="5:8" x14ac:dyDescent="0.25">
      <c r="E1806" t="str">
        <f>""</f>
        <v/>
      </c>
      <c r="F1806" t="str">
        <f>""</f>
        <v/>
      </c>
      <c r="H1806" t="str">
        <f t="shared" si="31"/>
        <v>GUARDIAN</v>
      </c>
    </row>
    <row r="1807" spans="5:8" x14ac:dyDescent="0.25">
      <c r="E1807" t="str">
        <f>""</f>
        <v/>
      </c>
      <c r="F1807" t="str">
        <f>""</f>
        <v/>
      </c>
      <c r="H1807" t="str">
        <f t="shared" si="31"/>
        <v>GUARDIAN</v>
      </c>
    </row>
    <row r="1808" spans="5:8" x14ac:dyDescent="0.25">
      <c r="E1808" t="str">
        <f>""</f>
        <v/>
      </c>
      <c r="F1808" t="str">
        <f>""</f>
        <v/>
      </c>
      <c r="H1808" t="str">
        <f t="shared" si="31"/>
        <v>GUARDIAN</v>
      </c>
    </row>
    <row r="1809" spans="5:8" x14ac:dyDescent="0.25">
      <c r="E1809" t="str">
        <f>""</f>
        <v/>
      </c>
      <c r="F1809" t="str">
        <f>""</f>
        <v/>
      </c>
      <c r="H1809" t="str">
        <f t="shared" si="31"/>
        <v>GUARDIAN</v>
      </c>
    </row>
    <row r="1810" spans="5:8" x14ac:dyDescent="0.25">
      <c r="E1810" t="str">
        <f>""</f>
        <v/>
      </c>
      <c r="F1810" t="str">
        <f>""</f>
        <v/>
      </c>
      <c r="H1810" t="str">
        <f t="shared" si="31"/>
        <v>GUARDIAN</v>
      </c>
    </row>
    <row r="1811" spans="5:8" x14ac:dyDescent="0.25">
      <c r="E1811" t="str">
        <f>""</f>
        <v/>
      </c>
      <c r="F1811" t="str">
        <f>""</f>
        <v/>
      </c>
      <c r="H1811" t="str">
        <f t="shared" si="31"/>
        <v>GUARDIAN</v>
      </c>
    </row>
    <row r="1812" spans="5:8" x14ac:dyDescent="0.25">
      <c r="E1812" t="str">
        <f>""</f>
        <v/>
      </c>
      <c r="F1812" t="str">
        <f>""</f>
        <v/>
      </c>
      <c r="H1812" t="str">
        <f t="shared" si="31"/>
        <v>GUARDIAN</v>
      </c>
    </row>
    <row r="1813" spans="5:8" x14ac:dyDescent="0.25">
      <c r="E1813" t="str">
        <f>""</f>
        <v/>
      </c>
      <c r="F1813" t="str">
        <f>""</f>
        <v/>
      </c>
      <c r="H1813" t="str">
        <f t="shared" si="31"/>
        <v>GUARDIAN</v>
      </c>
    </row>
    <row r="1814" spans="5:8" x14ac:dyDescent="0.25">
      <c r="E1814" t="str">
        <f>""</f>
        <v/>
      </c>
      <c r="F1814" t="str">
        <f>""</f>
        <v/>
      </c>
      <c r="H1814" t="str">
        <f t="shared" si="31"/>
        <v>GUARDIAN</v>
      </c>
    </row>
    <row r="1815" spans="5:8" x14ac:dyDescent="0.25">
      <c r="E1815" t="str">
        <f>""</f>
        <v/>
      </c>
      <c r="F1815" t="str">
        <f>""</f>
        <v/>
      </c>
      <c r="H1815" t="str">
        <f t="shared" si="31"/>
        <v>GUARDIAN</v>
      </c>
    </row>
    <row r="1816" spans="5:8" x14ac:dyDescent="0.25">
      <c r="E1816" t="str">
        <f>""</f>
        <v/>
      </c>
      <c r="F1816" t="str">
        <f>""</f>
        <v/>
      </c>
      <c r="H1816" t="str">
        <f t="shared" si="31"/>
        <v>GUARDIAN</v>
      </c>
    </row>
    <row r="1817" spans="5:8" x14ac:dyDescent="0.25">
      <c r="E1817" t="str">
        <f>"LIA202003045735"</f>
        <v>LIA202003045735</v>
      </c>
      <c r="F1817" t="str">
        <f>"GUARDIAN"</f>
        <v>GUARDIAN</v>
      </c>
      <c r="G1817" s="5">
        <v>40.799999999999997</v>
      </c>
      <c r="H1817" t="str">
        <f t="shared" si="31"/>
        <v>GUARDIAN</v>
      </c>
    </row>
    <row r="1818" spans="5:8" x14ac:dyDescent="0.25">
      <c r="E1818" t="str">
        <f>""</f>
        <v/>
      </c>
      <c r="F1818" t="str">
        <f>""</f>
        <v/>
      </c>
      <c r="H1818" t="str">
        <f t="shared" si="31"/>
        <v>GUARDIAN</v>
      </c>
    </row>
    <row r="1819" spans="5:8" x14ac:dyDescent="0.25">
      <c r="E1819" t="str">
        <f>"LIA202003186056"</f>
        <v>LIA202003186056</v>
      </c>
      <c r="F1819" t="str">
        <f>"GUARDIAN"</f>
        <v>GUARDIAN</v>
      </c>
      <c r="G1819" s="5">
        <v>188.22</v>
      </c>
      <c r="H1819" t="str">
        <f t="shared" si="31"/>
        <v>GUARDIAN</v>
      </c>
    </row>
    <row r="1820" spans="5:8" x14ac:dyDescent="0.25">
      <c r="E1820" t="str">
        <f>""</f>
        <v/>
      </c>
      <c r="F1820" t="str">
        <f>""</f>
        <v/>
      </c>
      <c r="H1820" t="str">
        <f t="shared" si="31"/>
        <v>GUARDIAN</v>
      </c>
    </row>
    <row r="1821" spans="5:8" x14ac:dyDescent="0.25">
      <c r="E1821" t="str">
        <f>""</f>
        <v/>
      </c>
      <c r="F1821" t="str">
        <f>""</f>
        <v/>
      </c>
      <c r="H1821" t="str">
        <f t="shared" si="31"/>
        <v>GUARDIAN</v>
      </c>
    </row>
    <row r="1822" spans="5:8" x14ac:dyDescent="0.25">
      <c r="E1822" t="str">
        <f>""</f>
        <v/>
      </c>
      <c r="F1822" t="str">
        <f>""</f>
        <v/>
      </c>
      <c r="H1822" t="str">
        <f t="shared" si="31"/>
        <v>GUARDIAN</v>
      </c>
    </row>
    <row r="1823" spans="5:8" x14ac:dyDescent="0.25">
      <c r="E1823" t="str">
        <f>""</f>
        <v/>
      </c>
      <c r="F1823" t="str">
        <f>""</f>
        <v/>
      </c>
      <c r="H1823" t="str">
        <f t="shared" si="31"/>
        <v>GUARDIAN</v>
      </c>
    </row>
    <row r="1824" spans="5:8" x14ac:dyDescent="0.25">
      <c r="E1824" t="str">
        <f>""</f>
        <v/>
      </c>
      <c r="F1824" t="str">
        <f>""</f>
        <v/>
      </c>
      <c r="H1824" t="str">
        <f t="shared" si="31"/>
        <v>GUARDIAN</v>
      </c>
    </row>
    <row r="1825" spans="5:8" x14ac:dyDescent="0.25">
      <c r="E1825" t="str">
        <f>""</f>
        <v/>
      </c>
      <c r="F1825" t="str">
        <f>""</f>
        <v/>
      </c>
      <c r="H1825" t="str">
        <f t="shared" si="31"/>
        <v>GUARDIAN</v>
      </c>
    </row>
    <row r="1826" spans="5:8" x14ac:dyDescent="0.25">
      <c r="E1826" t="str">
        <f>""</f>
        <v/>
      </c>
      <c r="F1826" t="str">
        <f>""</f>
        <v/>
      </c>
      <c r="H1826" t="str">
        <f t="shared" si="31"/>
        <v>GUARDIAN</v>
      </c>
    </row>
    <row r="1827" spans="5:8" x14ac:dyDescent="0.25">
      <c r="E1827" t="str">
        <f>""</f>
        <v/>
      </c>
      <c r="F1827" t="str">
        <f>""</f>
        <v/>
      </c>
      <c r="H1827" t="str">
        <f t="shared" si="31"/>
        <v>GUARDIAN</v>
      </c>
    </row>
    <row r="1828" spans="5:8" x14ac:dyDescent="0.25">
      <c r="E1828" t="str">
        <f>""</f>
        <v/>
      </c>
      <c r="F1828" t="str">
        <f>""</f>
        <v/>
      </c>
      <c r="H1828" t="str">
        <f t="shared" ref="H1828:H1859" si="32">"GUARDIAN"</f>
        <v>GUARDIAN</v>
      </c>
    </row>
    <row r="1829" spans="5:8" x14ac:dyDescent="0.25">
      <c r="E1829" t="str">
        <f>""</f>
        <v/>
      </c>
      <c r="F1829" t="str">
        <f>""</f>
        <v/>
      </c>
      <c r="H1829" t="str">
        <f t="shared" si="32"/>
        <v>GUARDIAN</v>
      </c>
    </row>
    <row r="1830" spans="5:8" x14ac:dyDescent="0.25">
      <c r="E1830" t="str">
        <f>""</f>
        <v/>
      </c>
      <c r="F1830" t="str">
        <f>""</f>
        <v/>
      </c>
      <c r="H1830" t="str">
        <f t="shared" si="32"/>
        <v>GUARDIAN</v>
      </c>
    </row>
    <row r="1831" spans="5:8" x14ac:dyDescent="0.25">
      <c r="E1831" t="str">
        <f>""</f>
        <v/>
      </c>
      <c r="F1831" t="str">
        <f>""</f>
        <v/>
      </c>
      <c r="H1831" t="str">
        <f t="shared" si="32"/>
        <v>GUARDIAN</v>
      </c>
    </row>
    <row r="1832" spans="5:8" x14ac:dyDescent="0.25">
      <c r="E1832" t="str">
        <f>""</f>
        <v/>
      </c>
      <c r="F1832" t="str">
        <f>""</f>
        <v/>
      </c>
      <c r="H1832" t="str">
        <f t="shared" si="32"/>
        <v>GUARDIAN</v>
      </c>
    </row>
    <row r="1833" spans="5:8" x14ac:dyDescent="0.25">
      <c r="E1833" t="str">
        <f>""</f>
        <v/>
      </c>
      <c r="F1833" t="str">
        <f>""</f>
        <v/>
      </c>
      <c r="H1833" t="str">
        <f t="shared" si="32"/>
        <v>GUARDIAN</v>
      </c>
    </row>
    <row r="1834" spans="5:8" x14ac:dyDescent="0.25">
      <c r="E1834" t="str">
        <f>""</f>
        <v/>
      </c>
      <c r="F1834" t="str">
        <f>""</f>
        <v/>
      </c>
      <c r="H1834" t="str">
        <f t="shared" si="32"/>
        <v>GUARDIAN</v>
      </c>
    </row>
    <row r="1835" spans="5:8" x14ac:dyDescent="0.25">
      <c r="E1835" t="str">
        <f>""</f>
        <v/>
      </c>
      <c r="F1835" t="str">
        <f>""</f>
        <v/>
      </c>
      <c r="H1835" t="str">
        <f t="shared" si="32"/>
        <v>GUARDIAN</v>
      </c>
    </row>
    <row r="1836" spans="5:8" x14ac:dyDescent="0.25">
      <c r="E1836" t="str">
        <f>""</f>
        <v/>
      </c>
      <c r="F1836" t="str">
        <f>""</f>
        <v/>
      </c>
      <c r="H1836" t="str">
        <f t="shared" si="32"/>
        <v>GUARDIAN</v>
      </c>
    </row>
    <row r="1837" spans="5:8" x14ac:dyDescent="0.25">
      <c r="E1837" t="str">
        <f>""</f>
        <v/>
      </c>
      <c r="F1837" t="str">
        <f>""</f>
        <v/>
      </c>
      <c r="H1837" t="str">
        <f t="shared" si="32"/>
        <v>GUARDIAN</v>
      </c>
    </row>
    <row r="1838" spans="5:8" x14ac:dyDescent="0.25">
      <c r="E1838" t="str">
        <f>""</f>
        <v/>
      </c>
      <c r="F1838" t="str">
        <f>""</f>
        <v/>
      </c>
      <c r="H1838" t="str">
        <f t="shared" si="32"/>
        <v>GUARDIAN</v>
      </c>
    </row>
    <row r="1839" spans="5:8" x14ac:dyDescent="0.25">
      <c r="E1839" t="str">
        <f>""</f>
        <v/>
      </c>
      <c r="F1839" t="str">
        <f>""</f>
        <v/>
      </c>
      <c r="H1839" t="str">
        <f t="shared" si="32"/>
        <v>GUARDIAN</v>
      </c>
    </row>
    <row r="1840" spans="5:8" x14ac:dyDescent="0.25">
      <c r="E1840" t="str">
        <f>"LIA202003186057"</f>
        <v>LIA202003186057</v>
      </c>
      <c r="F1840" t="str">
        <f>"GUARDIAN"</f>
        <v>GUARDIAN</v>
      </c>
      <c r="G1840" s="5">
        <v>40.799999999999997</v>
      </c>
      <c r="H1840" t="str">
        <f t="shared" si="32"/>
        <v>GUARDIAN</v>
      </c>
    </row>
    <row r="1841" spans="5:8" x14ac:dyDescent="0.25">
      <c r="E1841" t="str">
        <f>""</f>
        <v/>
      </c>
      <c r="F1841" t="str">
        <f>""</f>
        <v/>
      </c>
      <c r="H1841" t="str">
        <f t="shared" si="32"/>
        <v>GUARDIAN</v>
      </c>
    </row>
    <row r="1842" spans="5:8" x14ac:dyDescent="0.25">
      <c r="E1842" t="str">
        <f>"LIC202003035702"</f>
        <v>LIC202003035702</v>
      </c>
      <c r="F1842" t="str">
        <f>"GUARDIAN"</f>
        <v>GUARDIAN</v>
      </c>
      <c r="G1842" s="5">
        <v>32.71</v>
      </c>
      <c r="H1842" t="str">
        <f t="shared" si="32"/>
        <v>GUARDIAN</v>
      </c>
    </row>
    <row r="1843" spans="5:8" x14ac:dyDescent="0.25">
      <c r="E1843" t="str">
        <f>"LIC202003045735"</f>
        <v>LIC202003045735</v>
      </c>
      <c r="F1843" t="str">
        <f>"GUARDIAN"</f>
        <v>GUARDIAN</v>
      </c>
      <c r="G1843" s="5">
        <v>1.05</v>
      </c>
      <c r="H1843" t="str">
        <f t="shared" si="32"/>
        <v>GUARDIAN</v>
      </c>
    </row>
    <row r="1844" spans="5:8" x14ac:dyDescent="0.25">
      <c r="E1844" t="str">
        <f>"LIC202003186056"</f>
        <v>LIC202003186056</v>
      </c>
      <c r="F1844" t="str">
        <f>"GUARDIAN"</f>
        <v>GUARDIAN</v>
      </c>
      <c r="G1844" s="5">
        <v>32.71</v>
      </c>
      <c r="H1844" t="str">
        <f t="shared" si="32"/>
        <v>GUARDIAN</v>
      </c>
    </row>
    <row r="1845" spans="5:8" x14ac:dyDescent="0.25">
      <c r="E1845" t="str">
        <f>"LIC202003186057"</f>
        <v>LIC202003186057</v>
      </c>
      <c r="F1845" t="str">
        <f>"GUARDIAN"</f>
        <v>GUARDIAN</v>
      </c>
      <c r="G1845" s="5">
        <v>1.05</v>
      </c>
      <c r="H1845" t="str">
        <f t="shared" si="32"/>
        <v>GUARDIAN</v>
      </c>
    </row>
    <row r="1846" spans="5:8" x14ac:dyDescent="0.25">
      <c r="E1846" t="str">
        <f>"LIE202003035702"</f>
        <v>LIE202003035702</v>
      </c>
      <c r="F1846" t="str">
        <f>"GUARDIAN"</f>
        <v>GUARDIAN</v>
      </c>
      <c r="G1846" s="5">
        <v>3849.22</v>
      </c>
      <c r="H1846" t="str">
        <f t="shared" si="32"/>
        <v>GUARDIAN</v>
      </c>
    </row>
    <row r="1847" spans="5:8" x14ac:dyDescent="0.25">
      <c r="E1847" t="str">
        <f>""</f>
        <v/>
      </c>
      <c r="F1847" t="str">
        <f>""</f>
        <v/>
      </c>
      <c r="H1847" t="str">
        <f t="shared" si="32"/>
        <v>GUARDIAN</v>
      </c>
    </row>
    <row r="1848" spans="5:8" x14ac:dyDescent="0.25">
      <c r="E1848" t="str">
        <f>""</f>
        <v/>
      </c>
      <c r="F1848" t="str">
        <f>""</f>
        <v/>
      </c>
      <c r="H1848" t="str">
        <f t="shared" si="32"/>
        <v>GUARDIAN</v>
      </c>
    </row>
    <row r="1849" spans="5:8" x14ac:dyDescent="0.25">
      <c r="E1849" t="str">
        <f>""</f>
        <v/>
      </c>
      <c r="F1849" t="str">
        <f>""</f>
        <v/>
      </c>
      <c r="H1849" t="str">
        <f t="shared" si="32"/>
        <v>GUARDIAN</v>
      </c>
    </row>
    <row r="1850" spans="5:8" x14ac:dyDescent="0.25">
      <c r="E1850" t="str">
        <f>""</f>
        <v/>
      </c>
      <c r="F1850" t="str">
        <f>""</f>
        <v/>
      </c>
      <c r="H1850" t="str">
        <f t="shared" si="32"/>
        <v>GUARDIAN</v>
      </c>
    </row>
    <row r="1851" spans="5:8" x14ac:dyDescent="0.25">
      <c r="E1851" t="str">
        <f>""</f>
        <v/>
      </c>
      <c r="F1851" t="str">
        <f>""</f>
        <v/>
      </c>
      <c r="H1851" t="str">
        <f t="shared" si="32"/>
        <v>GUARDIAN</v>
      </c>
    </row>
    <row r="1852" spans="5:8" x14ac:dyDescent="0.25">
      <c r="E1852" t="str">
        <f>""</f>
        <v/>
      </c>
      <c r="F1852" t="str">
        <f>""</f>
        <v/>
      </c>
      <c r="H1852" t="str">
        <f t="shared" si="32"/>
        <v>GUARDIAN</v>
      </c>
    </row>
    <row r="1853" spans="5:8" x14ac:dyDescent="0.25">
      <c r="E1853" t="str">
        <f>""</f>
        <v/>
      </c>
      <c r="F1853" t="str">
        <f>""</f>
        <v/>
      </c>
      <c r="H1853" t="str">
        <f t="shared" si="32"/>
        <v>GUARDIAN</v>
      </c>
    </row>
    <row r="1854" spans="5:8" x14ac:dyDescent="0.25">
      <c r="E1854" t="str">
        <f>""</f>
        <v/>
      </c>
      <c r="F1854" t="str">
        <f>""</f>
        <v/>
      </c>
      <c r="H1854" t="str">
        <f t="shared" si="32"/>
        <v>GUARDIAN</v>
      </c>
    </row>
    <row r="1855" spans="5:8" x14ac:dyDescent="0.25">
      <c r="E1855" t="str">
        <f>""</f>
        <v/>
      </c>
      <c r="F1855" t="str">
        <f>""</f>
        <v/>
      </c>
      <c r="H1855" t="str">
        <f t="shared" si="32"/>
        <v>GUARDIAN</v>
      </c>
    </row>
    <row r="1856" spans="5:8" x14ac:dyDescent="0.25">
      <c r="E1856" t="str">
        <f>""</f>
        <v/>
      </c>
      <c r="F1856" t="str">
        <f>""</f>
        <v/>
      </c>
      <c r="H1856" t="str">
        <f t="shared" si="32"/>
        <v>GUARDIAN</v>
      </c>
    </row>
    <row r="1857" spans="5:8" x14ac:dyDescent="0.25">
      <c r="E1857" t="str">
        <f>""</f>
        <v/>
      </c>
      <c r="F1857" t="str">
        <f>""</f>
        <v/>
      </c>
      <c r="H1857" t="str">
        <f t="shared" si="32"/>
        <v>GUARDIAN</v>
      </c>
    </row>
    <row r="1858" spans="5:8" x14ac:dyDescent="0.25">
      <c r="E1858" t="str">
        <f>""</f>
        <v/>
      </c>
      <c r="F1858" t="str">
        <f>""</f>
        <v/>
      </c>
      <c r="H1858" t="str">
        <f t="shared" si="32"/>
        <v>GUARDIAN</v>
      </c>
    </row>
    <row r="1859" spans="5:8" x14ac:dyDescent="0.25">
      <c r="E1859" t="str">
        <f>""</f>
        <v/>
      </c>
      <c r="F1859" t="str">
        <f>""</f>
        <v/>
      </c>
      <c r="H1859" t="str">
        <f t="shared" si="32"/>
        <v>GUARDIAN</v>
      </c>
    </row>
    <row r="1860" spans="5:8" x14ac:dyDescent="0.25">
      <c r="E1860" t="str">
        <f>""</f>
        <v/>
      </c>
      <c r="F1860" t="str">
        <f>""</f>
        <v/>
      </c>
      <c r="H1860" t="str">
        <f t="shared" ref="H1860:H1891" si="33">"GUARDIAN"</f>
        <v>GUARDIAN</v>
      </c>
    </row>
    <row r="1861" spans="5:8" x14ac:dyDescent="0.25">
      <c r="E1861" t="str">
        <f>""</f>
        <v/>
      </c>
      <c r="F1861" t="str">
        <f>""</f>
        <v/>
      </c>
      <c r="H1861" t="str">
        <f t="shared" si="33"/>
        <v>GUARDIAN</v>
      </c>
    </row>
    <row r="1862" spans="5:8" x14ac:dyDescent="0.25">
      <c r="E1862" t="str">
        <f>""</f>
        <v/>
      </c>
      <c r="F1862" t="str">
        <f>""</f>
        <v/>
      </c>
      <c r="H1862" t="str">
        <f t="shared" si="33"/>
        <v>GUARDIAN</v>
      </c>
    </row>
    <row r="1863" spans="5:8" x14ac:dyDescent="0.25">
      <c r="E1863" t="str">
        <f>""</f>
        <v/>
      </c>
      <c r="F1863" t="str">
        <f>""</f>
        <v/>
      </c>
      <c r="H1863" t="str">
        <f t="shared" si="33"/>
        <v>GUARDIAN</v>
      </c>
    </row>
    <row r="1864" spans="5:8" x14ac:dyDescent="0.25">
      <c r="E1864" t="str">
        <f>""</f>
        <v/>
      </c>
      <c r="F1864" t="str">
        <f>""</f>
        <v/>
      </c>
      <c r="H1864" t="str">
        <f t="shared" si="33"/>
        <v>GUARDIAN</v>
      </c>
    </row>
    <row r="1865" spans="5:8" x14ac:dyDescent="0.25">
      <c r="E1865" t="str">
        <f>""</f>
        <v/>
      </c>
      <c r="F1865" t="str">
        <f>""</f>
        <v/>
      </c>
      <c r="H1865" t="str">
        <f t="shared" si="33"/>
        <v>GUARDIAN</v>
      </c>
    </row>
    <row r="1866" spans="5:8" x14ac:dyDescent="0.25">
      <c r="E1866" t="str">
        <f>""</f>
        <v/>
      </c>
      <c r="F1866" t="str">
        <f>""</f>
        <v/>
      </c>
      <c r="H1866" t="str">
        <f t="shared" si="33"/>
        <v>GUARDIAN</v>
      </c>
    </row>
    <row r="1867" spans="5:8" x14ac:dyDescent="0.25">
      <c r="E1867" t="str">
        <f>""</f>
        <v/>
      </c>
      <c r="F1867" t="str">
        <f>""</f>
        <v/>
      </c>
      <c r="H1867" t="str">
        <f t="shared" si="33"/>
        <v>GUARDIAN</v>
      </c>
    </row>
    <row r="1868" spans="5:8" x14ac:dyDescent="0.25">
      <c r="E1868" t="str">
        <f>""</f>
        <v/>
      </c>
      <c r="F1868" t="str">
        <f>""</f>
        <v/>
      </c>
      <c r="H1868" t="str">
        <f t="shared" si="33"/>
        <v>GUARDIAN</v>
      </c>
    </row>
    <row r="1869" spans="5:8" x14ac:dyDescent="0.25">
      <c r="E1869" t="str">
        <f>""</f>
        <v/>
      </c>
      <c r="F1869" t="str">
        <f>""</f>
        <v/>
      </c>
      <c r="H1869" t="str">
        <f t="shared" si="33"/>
        <v>GUARDIAN</v>
      </c>
    </row>
    <row r="1870" spans="5:8" x14ac:dyDescent="0.25">
      <c r="E1870" t="str">
        <f>""</f>
        <v/>
      </c>
      <c r="F1870" t="str">
        <f>""</f>
        <v/>
      </c>
      <c r="H1870" t="str">
        <f t="shared" si="33"/>
        <v>GUARDIAN</v>
      </c>
    </row>
    <row r="1871" spans="5:8" x14ac:dyDescent="0.25">
      <c r="E1871" t="str">
        <f>""</f>
        <v/>
      </c>
      <c r="F1871" t="str">
        <f>""</f>
        <v/>
      </c>
      <c r="H1871" t="str">
        <f t="shared" si="33"/>
        <v>GUARDIAN</v>
      </c>
    </row>
    <row r="1872" spans="5:8" x14ac:dyDescent="0.25">
      <c r="E1872" t="str">
        <f>""</f>
        <v/>
      </c>
      <c r="F1872" t="str">
        <f>""</f>
        <v/>
      </c>
      <c r="H1872" t="str">
        <f t="shared" si="33"/>
        <v>GUARDIAN</v>
      </c>
    </row>
    <row r="1873" spans="5:8" x14ac:dyDescent="0.25">
      <c r="E1873" t="str">
        <f>""</f>
        <v/>
      </c>
      <c r="F1873" t="str">
        <f>""</f>
        <v/>
      </c>
      <c r="H1873" t="str">
        <f t="shared" si="33"/>
        <v>GUARDIAN</v>
      </c>
    </row>
    <row r="1874" spans="5:8" x14ac:dyDescent="0.25">
      <c r="E1874" t="str">
        <f>""</f>
        <v/>
      </c>
      <c r="F1874" t="str">
        <f>""</f>
        <v/>
      </c>
      <c r="H1874" t="str">
        <f t="shared" si="33"/>
        <v>GUARDIAN</v>
      </c>
    </row>
    <row r="1875" spans="5:8" x14ac:dyDescent="0.25">
      <c r="E1875" t="str">
        <f>""</f>
        <v/>
      </c>
      <c r="F1875" t="str">
        <f>""</f>
        <v/>
      </c>
      <c r="H1875" t="str">
        <f t="shared" si="33"/>
        <v>GUARDIAN</v>
      </c>
    </row>
    <row r="1876" spans="5:8" x14ac:dyDescent="0.25">
      <c r="E1876" t="str">
        <f>""</f>
        <v/>
      </c>
      <c r="F1876" t="str">
        <f>""</f>
        <v/>
      </c>
      <c r="H1876" t="str">
        <f t="shared" si="33"/>
        <v>GUARDIAN</v>
      </c>
    </row>
    <row r="1877" spans="5:8" x14ac:dyDescent="0.25">
      <c r="E1877" t="str">
        <f>""</f>
        <v/>
      </c>
      <c r="F1877" t="str">
        <f>""</f>
        <v/>
      </c>
      <c r="H1877" t="str">
        <f t="shared" si="33"/>
        <v>GUARDIAN</v>
      </c>
    </row>
    <row r="1878" spans="5:8" x14ac:dyDescent="0.25">
      <c r="E1878" t="str">
        <f>""</f>
        <v/>
      </c>
      <c r="F1878" t="str">
        <f>""</f>
        <v/>
      </c>
      <c r="H1878" t="str">
        <f t="shared" si="33"/>
        <v>GUARDIAN</v>
      </c>
    </row>
    <row r="1879" spans="5:8" x14ac:dyDescent="0.25">
      <c r="E1879" t="str">
        <f>""</f>
        <v/>
      </c>
      <c r="F1879" t="str">
        <f>""</f>
        <v/>
      </c>
      <c r="H1879" t="str">
        <f t="shared" si="33"/>
        <v>GUARDIAN</v>
      </c>
    </row>
    <row r="1880" spans="5:8" x14ac:dyDescent="0.25">
      <c r="E1880" t="str">
        <f>""</f>
        <v/>
      </c>
      <c r="F1880" t="str">
        <f>""</f>
        <v/>
      </c>
      <c r="H1880" t="str">
        <f t="shared" si="33"/>
        <v>GUARDIAN</v>
      </c>
    </row>
    <row r="1881" spans="5:8" x14ac:dyDescent="0.25">
      <c r="E1881" t="str">
        <f>""</f>
        <v/>
      </c>
      <c r="F1881" t="str">
        <f>""</f>
        <v/>
      </c>
      <c r="H1881" t="str">
        <f t="shared" si="33"/>
        <v>GUARDIAN</v>
      </c>
    </row>
    <row r="1882" spans="5:8" x14ac:dyDescent="0.25">
      <c r="E1882" t="str">
        <f>""</f>
        <v/>
      </c>
      <c r="F1882" t="str">
        <f>""</f>
        <v/>
      </c>
      <c r="H1882" t="str">
        <f t="shared" si="33"/>
        <v>GUARDIAN</v>
      </c>
    </row>
    <row r="1883" spans="5:8" x14ac:dyDescent="0.25">
      <c r="E1883" t="str">
        <f>""</f>
        <v/>
      </c>
      <c r="F1883" t="str">
        <f>""</f>
        <v/>
      </c>
      <c r="H1883" t="str">
        <f t="shared" si="33"/>
        <v>GUARDIAN</v>
      </c>
    </row>
    <row r="1884" spans="5:8" x14ac:dyDescent="0.25">
      <c r="E1884" t="str">
        <f>""</f>
        <v/>
      </c>
      <c r="F1884" t="str">
        <f>""</f>
        <v/>
      </c>
      <c r="H1884" t="str">
        <f t="shared" si="33"/>
        <v>GUARDIAN</v>
      </c>
    </row>
    <row r="1885" spans="5:8" x14ac:dyDescent="0.25">
      <c r="E1885" t="str">
        <f>""</f>
        <v/>
      </c>
      <c r="F1885" t="str">
        <f>""</f>
        <v/>
      </c>
      <c r="H1885" t="str">
        <f t="shared" si="33"/>
        <v>GUARDIAN</v>
      </c>
    </row>
    <row r="1886" spans="5:8" x14ac:dyDescent="0.25">
      <c r="E1886" t="str">
        <f>""</f>
        <v/>
      </c>
      <c r="F1886" t="str">
        <f>""</f>
        <v/>
      </c>
      <c r="H1886" t="str">
        <f t="shared" si="33"/>
        <v>GUARDIAN</v>
      </c>
    </row>
    <row r="1887" spans="5:8" x14ac:dyDescent="0.25">
      <c r="E1887" t="str">
        <f>""</f>
        <v/>
      </c>
      <c r="F1887" t="str">
        <f>""</f>
        <v/>
      </c>
      <c r="H1887" t="str">
        <f t="shared" si="33"/>
        <v>GUARDIAN</v>
      </c>
    </row>
    <row r="1888" spans="5:8" x14ac:dyDescent="0.25">
      <c r="E1888" t="str">
        <f>""</f>
        <v/>
      </c>
      <c r="F1888" t="str">
        <f>""</f>
        <v/>
      </c>
      <c r="H1888" t="str">
        <f t="shared" si="33"/>
        <v>GUARDIAN</v>
      </c>
    </row>
    <row r="1889" spans="5:8" x14ac:dyDescent="0.25">
      <c r="E1889" t="str">
        <f>""</f>
        <v/>
      </c>
      <c r="F1889" t="str">
        <f>""</f>
        <v/>
      </c>
      <c r="H1889" t="str">
        <f t="shared" si="33"/>
        <v>GUARDIAN</v>
      </c>
    </row>
    <row r="1890" spans="5:8" x14ac:dyDescent="0.25">
      <c r="E1890" t="str">
        <f>""</f>
        <v/>
      </c>
      <c r="F1890" t="str">
        <f>""</f>
        <v/>
      </c>
      <c r="H1890" t="str">
        <f t="shared" si="33"/>
        <v>GUARDIAN</v>
      </c>
    </row>
    <row r="1891" spans="5:8" x14ac:dyDescent="0.25">
      <c r="E1891" t="str">
        <f>""</f>
        <v/>
      </c>
      <c r="F1891" t="str">
        <f>""</f>
        <v/>
      </c>
      <c r="H1891" t="str">
        <f t="shared" si="33"/>
        <v>GUARDIAN</v>
      </c>
    </row>
    <row r="1892" spans="5:8" x14ac:dyDescent="0.25">
      <c r="E1892" t="str">
        <f>""</f>
        <v/>
      </c>
      <c r="F1892" t="str">
        <f>""</f>
        <v/>
      </c>
      <c r="H1892" t="str">
        <f t="shared" ref="H1892:H1923" si="34">"GUARDIAN"</f>
        <v>GUARDIAN</v>
      </c>
    </row>
    <row r="1893" spans="5:8" x14ac:dyDescent="0.25">
      <c r="E1893" t="str">
        <f>""</f>
        <v/>
      </c>
      <c r="F1893" t="str">
        <f>""</f>
        <v/>
      </c>
      <c r="H1893" t="str">
        <f t="shared" si="34"/>
        <v>GUARDIAN</v>
      </c>
    </row>
    <row r="1894" spans="5:8" x14ac:dyDescent="0.25">
      <c r="E1894" t="str">
        <f>""</f>
        <v/>
      </c>
      <c r="F1894" t="str">
        <f>""</f>
        <v/>
      </c>
      <c r="H1894" t="str">
        <f t="shared" si="34"/>
        <v>GUARDIAN</v>
      </c>
    </row>
    <row r="1895" spans="5:8" x14ac:dyDescent="0.25">
      <c r="E1895" t="str">
        <f>""</f>
        <v/>
      </c>
      <c r="F1895" t="str">
        <f>""</f>
        <v/>
      </c>
      <c r="H1895" t="str">
        <f t="shared" si="34"/>
        <v>GUARDIAN</v>
      </c>
    </row>
    <row r="1896" spans="5:8" x14ac:dyDescent="0.25">
      <c r="E1896" t="str">
        <f>""</f>
        <v/>
      </c>
      <c r="F1896" t="str">
        <f>""</f>
        <v/>
      </c>
      <c r="H1896" t="str">
        <f t="shared" si="34"/>
        <v>GUARDIAN</v>
      </c>
    </row>
    <row r="1897" spans="5:8" x14ac:dyDescent="0.25">
      <c r="E1897" t="str">
        <f>"LIE202003045735"</f>
        <v>LIE202003045735</v>
      </c>
      <c r="F1897" t="str">
        <f>"GUARDIAN"</f>
        <v>GUARDIAN</v>
      </c>
      <c r="G1897" s="5">
        <v>90.2</v>
      </c>
      <c r="H1897" t="str">
        <f t="shared" si="34"/>
        <v>GUARDIAN</v>
      </c>
    </row>
    <row r="1898" spans="5:8" x14ac:dyDescent="0.25">
      <c r="E1898" t="str">
        <f>""</f>
        <v/>
      </c>
      <c r="F1898" t="str">
        <f>""</f>
        <v/>
      </c>
      <c r="H1898" t="str">
        <f t="shared" si="34"/>
        <v>GUARDIAN</v>
      </c>
    </row>
    <row r="1899" spans="5:8" x14ac:dyDescent="0.25">
      <c r="E1899" t="str">
        <f>"LIE202003186056"</f>
        <v>LIE202003186056</v>
      </c>
      <c r="F1899" t="str">
        <f>"GUARDIAN"</f>
        <v>GUARDIAN</v>
      </c>
      <c r="G1899" s="5">
        <v>3849.22</v>
      </c>
      <c r="H1899" t="str">
        <f t="shared" si="34"/>
        <v>GUARDIAN</v>
      </c>
    </row>
    <row r="1900" spans="5:8" x14ac:dyDescent="0.25">
      <c r="E1900" t="str">
        <f>""</f>
        <v/>
      </c>
      <c r="F1900" t="str">
        <f>""</f>
        <v/>
      </c>
      <c r="H1900" t="str">
        <f t="shared" si="34"/>
        <v>GUARDIAN</v>
      </c>
    </row>
    <row r="1901" spans="5:8" x14ac:dyDescent="0.25">
      <c r="E1901" t="str">
        <f>""</f>
        <v/>
      </c>
      <c r="F1901" t="str">
        <f>""</f>
        <v/>
      </c>
      <c r="H1901" t="str">
        <f t="shared" si="34"/>
        <v>GUARDIAN</v>
      </c>
    </row>
    <row r="1902" spans="5:8" x14ac:dyDescent="0.25">
      <c r="E1902" t="str">
        <f>""</f>
        <v/>
      </c>
      <c r="F1902" t="str">
        <f>""</f>
        <v/>
      </c>
      <c r="H1902" t="str">
        <f t="shared" si="34"/>
        <v>GUARDIAN</v>
      </c>
    </row>
    <row r="1903" spans="5:8" x14ac:dyDescent="0.25">
      <c r="E1903" t="str">
        <f>""</f>
        <v/>
      </c>
      <c r="F1903" t="str">
        <f>""</f>
        <v/>
      </c>
      <c r="H1903" t="str">
        <f t="shared" si="34"/>
        <v>GUARDIAN</v>
      </c>
    </row>
    <row r="1904" spans="5:8" x14ac:dyDescent="0.25">
      <c r="E1904" t="str">
        <f>""</f>
        <v/>
      </c>
      <c r="F1904" t="str">
        <f>""</f>
        <v/>
      </c>
      <c r="H1904" t="str">
        <f t="shared" si="34"/>
        <v>GUARDIAN</v>
      </c>
    </row>
    <row r="1905" spans="5:8" x14ac:dyDescent="0.25">
      <c r="E1905" t="str">
        <f>""</f>
        <v/>
      </c>
      <c r="F1905" t="str">
        <f>""</f>
        <v/>
      </c>
      <c r="H1905" t="str">
        <f t="shared" si="34"/>
        <v>GUARDIAN</v>
      </c>
    </row>
    <row r="1906" spans="5:8" x14ac:dyDescent="0.25">
      <c r="E1906" t="str">
        <f>""</f>
        <v/>
      </c>
      <c r="F1906" t="str">
        <f>""</f>
        <v/>
      </c>
      <c r="H1906" t="str">
        <f t="shared" si="34"/>
        <v>GUARDIAN</v>
      </c>
    </row>
    <row r="1907" spans="5:8" x14ac:dyDescent="0.25">
      <c r="E1907" t="str">
        <f>""</f>
        <v/>
      </c>
      <c r="F1907" t="str">
        <f>""</f>
        <v/>
      </c>
      <c r="H1907" t="str">
        <f t="shared" si="34"/>
        <v>GUARDIAN</v>
      </c>
    </row>
    <row r="1908" spans="5:8" x14ac:dyDescent="0.25">
      <c r="E1908" t="str">
        <f>""</f>
        <v/>
      </c>
      <c r="F1908" t="str">
        <f>""</f>
        <v/>
      </c>
      <c r="H1908" t="str">
        <f t="shared" si="34"/>
        <v>GUARDIAN</v>
      </c>
    </row>
    <row r="1909" spans="5:8" x14ac:dyDescent="0.25">
      <c r="E1909" t="str">
        <f>""</f>
        <v/>
      </c>
      <c r="F1909" t="str">
        <f>""</f>
        <v/>
      </c>
      <c r="H1909" t="str">
        <f t="shared" si="34"/>
        <v>GUARDIAN</v>
      </c>
    </row>
    <row r="1910" spans="5:8" x14ac:dyDescent="0.25">
      <c r="E1910" t="str">
        <f>""</f>
        <v/>
      </c>
      <c r="F1910" t="str">
        <f>""</f>
        <v/>
      </c>
      <c r="H1910" t="str">
        <f t="shared" si="34"/>
        <v>GUARDIAN</v>
      </c>
    </row>
    <row r="1911" spans="5:8" x14ac:dyDescent="0.25">
      <c r="E1911" t="str">
        <f>""</f>
        <v/>
      </c>
      <c r="F1911" t="str">
        <f>""</f>
        <v/>
      </c>
      <c r="H1911" t="str">
        <f t="shared" si="34"/>
        <v>GUARDIAN</v>
      </c>
    </row>
    <row r="1912" spans="5:8" x14ac:dyDescent="0.25">
      <c r="E1912" t="str">
        <f>""</f>
        <v/>
      </c>
      <c r="F1912" t="str">
        <f>""</f>
        <v/>
      </c>
      <c r="H1912" t="str">
        <f t="shared" si="34"/>
        <v>GUARDIAN</v>
      </c>
    </row>
    <row r="1913" spans="5:8" x14ac:dyDescent="0.25">
      <c r="E1913" t="str">
        <f>""</f>
        <v/>
      </c>
      <c r="F1913" t="str">
        <f>""</f>
        <v/>
      </c>
      <c r="H1913" t="str">
        <f t="shared" si="34"/>
        <v>GUARDIAN</v>
      </c>
    </row>
    <row r="1914" spans="5:8" x14ac:dyDescent="0.25">
      <c r="E1914" t="str">
        <f>""</f>
        <v/>
      </c>
      <c r="F1914" t="str">
        <f>""</f>
        <v/>
      </c>
      <c r="H1914" t="str">
        <f t="shared" si="34"/>
        <v>GUARDIAN</v>
      </c>
    </row>
    <row r="1915" spans="5:8" x14ac:dyDescent="0.25">
      <c r="E1915" t="str">
        <f>""</f>
        <v/>
      </c>
      <c r="F1915" t="str">
        <f>""</f>
        <v/>
      </c>
      <c r="H1915" t="str">
        <f t="shared" si="34"/>
        <v>GUARDIAN</v>
      </c>
    </row>
    <row r="1916" spans="5:8" x14ac:dyDescent="0.25">
      <c r="E1916" t="str">
        <f>""</f>
        <v/>
      </c>
      <c r="F1916" t="str">
        <f>""</f>
        <v/>
      </c>
      <c r="H1916" t="str">
        <f t="shared" si="34"/>
        <v>GUARDIAN</v>
      </c>
    </row>
    <row r="1917" spans="5:8" x14ac:dyDescent="0.25">
      <c r="E1917" t="str">
        <f>""</f>
        <v/>
      </c>
      <c r="F1917" t="str">
        <f>""</f>
        <v/>
      </c>
      <c r="H1917" t="str">
        <f t="shared" si="34"/>
        <v>GUARDIAN</v>
      </c>
    </row>
    <row r="1918" spans="5:8" x14ac:dyDescent="0.25">
      <c r="E1918" t="str">
        <f>""</f>
        <v/>
      </c>
      <c r="F1918" t="str">
        <f>""</f>
        <v/>
      </c>
      <c r="H1918" t="str">
        <f t="shared" si="34"/>
        <v>GUARDIAN</v>
      </c>
    </row>
    <row r="1919" spans="5:8" x14ac:dyDescent="0.25">
      <c r="E1919" t="str">
        <f>""</f>
        <v/>
      </c>
      <c r="F1919" t="str">
        <f>""</f>
        <v/>
      </c>
      <c r="H1919" t="str">
        <f t="shared" si="34"/>
        <v>GUARDIAN</v>
      </c>
    </row>
    <row r="1920" spans="5:8" x14ac:dyDescent="0.25">
      <c r="E1920" t="str">
        <f>""</f>
        <v/>
      </c>
      <c r="F1920" t="str">
        <f>""</f>
        <v/>
      </c>
      <c r="H1920" t="str">
        <f t="shared" si="34"/>
        <v>GUARDIAN</v>
      </c>
    </row>
    <row r="1921" spans="5:8" x14ac:dyDescent="0.25">
      <c r="E1921" t="str">
        <f>""</f>
        <v/>
      </c>
      <c r="F1921" t="str">
        <f>""</f>
        <v/>
      </c>
      <c r="H1921" t="str">
        <f t="shared" si="34"/>
        <v>GUARDIAN</v>
      </c>
    </row>
    <row r="1922" spans="5:8" x14ac:dyDescent="0.25">
      <c r="E1922" t="str">
        <f>""</f>
        <v/>
      </c>
      <c r="F1922" t="str">
        <f>""</f>
        <v/>
      </c>
      <c r="H1922" t="str">
        <f t="shared" si="34"/>
        <v>GUARDIAN</v>
      </c>
    </row>
    <row r="1923" spans="5:8" x14ac:dyDescent="0.25">
      <c r="E1923" t="str">
        <f>""</f>
        <v/>
      </c>
      <c r="F1923" t="str">
        <f>""</f>
        <v/>
      </c>
      <c r="H1923" t="str">
        <f t="shared" si="34"/>
        <v>GUARDIAN</v>
      </c>
    </row>
    <row r="1924" spans="5:8" x14ac:dyDescent="0.25">
      <c r="E1924" t="str">
        <f>""</f>
        <v/>
      </c>
      <c r="F1924" t="str">
        <f>""</f>
        <v/>
      </c>
      <c r="H1924" t="str">
        <f t="shared" ref="H1924:H1955" si="35">"GUARDIAN"</f>
        <v>GUARDIAN</v>
      </c>
    </row>
    <row r="1925" spans="5:8" x14ac:dyDescent="0.25">
      <c r="E1925" t="str">
        <f>""</f>
        <v/>
      </c>
      <c r="F1925" t="str">
        <f>""</f>
        <v/>
      </c>
      <c r="H1925" t="str">
        <f t="shared" si="35"/>
        <v>GUARDIAN</v>
      </c>
    </row>
    <row r="1926" spans="5:8" x14ac:dyDescent="0.25">
      <c r="E1926" t="str">
        <f>""</f>
        <v/>
      </c>
      <c r="F1926" t="str">
        <f>""</f>
        <v/>
      </c>
      <c r="H1926" t="str">
        <f t="shared" si="35"/>
        <v>GUARDIAN</v>
      </c>
    </row>
    <row r="1927" spans="5:8" x14ac:dyDescent="0.25">
      <c r="E1927" t="str">
        <f>""</f>
        <v/>
      </c>
      <c r="F1927" t="str">
        <f>""</f>
        <v/>
      </c>
      <c r="H1927" t="str">
        <f t="shared" si="35"/>
        <v>GUARDIAN</v>
      </c>
    </row>
    <row r="1928" spans="5:8" x14ac:dyDescent="0.25">
      <c r="E1928" t="str">
        <f>""</f>
        <v/>
      </c>
      <c r="F1928" t="str">
        <f>""</f>
        <v/>
      </c>
      <c r="H1928" t="str">
        <f t="shared" si="35"/>
        <v>GUARDIAN</v>
      </c>
    </row>
    <row r="1929" spans="5:8" x14ac:dyDescent="0.25">
      <c r="E1929" t="str">
        <f>""</f>
        <v/>
      </c>
      <c r="F1929" t="str">
        <f>""</f>
        <v/>
      </c>
      <c r="H1929" t="str">
        <f t="shared" si="35"/>
        <v>GUARDIAN</v>
      </c>
    </row>
    <row r="1930" spans="5:8" x14ac:dyDescent="0.25">
      <c r="E1930" t="str">
        <f>""</f>
        <v/>
      </c>
      <c r="F1930" t="str">
        <f>""</f>
        <v/>
      </c>
      <c r="H1930" t="str">
        <f t="shared" si="35"/>
        <v>GUARDIAN</v>
      </c>
    </row>
    <row r="1931" spans="5:8" x14ac:dyDescent="0.25">
      <c r="E1931" t="str">
        <f>""</f>
        <v/>
      </c>
      <c r="F1931" t="str">
        <f>""</f>
        <v/>
      </c>
      <c r="H1931" t="str">
        <f t="shared" si="35"/>
        <v>GUARDIAN</v>
      </c>
    </row>
    <row r="1932" spans="5:8" x14ac:dyDescent="0.25">
      <c r="E1932" t="str">
        <f>""</f>
        <v/>
      </c>
      <c r="F1932" t="str">
        <f>""</f>
        <v/>
      </c>
      <c r="H1932" t="str">
        <f t="shared" si="35"/>
        <v>GUARDIAN</v>
      </c>
    </row>
    <row r="1933" spans="5:8" x14ac:dyDescent="0.25">
      <c r="E1933" t="str">
        <f>""</f>
        <v/>
      </c>
      <c r="F1933" t="str">
        <f>""</f>
        <v/>
      </c>
      <c r="H1933" t="str">
        <f t="shared" si="35"/>
        <v>GUARDIAN</v>
      </c>
    </row>
    <row r="1934" spans="5:8" x14ac:dyDescent="0.25">
      <c r="E1934" t="str">
        <f>""</f>
        <v/>
      </c>
      <c r="F1934" t="str">
        <f>""</f>
        <v/>
      </c>
      <c r="H1934" t="str">
        <f t="shared" si="35"/>
        <v>GUARDIAN</v>
      </c>
    </row>
    <row r="1935" spans="5:8" x14ac:dyDescent="0.25">
      <c r="E1935" t="str">
        <f>""</f>
        <v/>
      </c>
      <c r="F1935" t="str">
        <f>""</f>
        <v/>
      </c>
      <c r="H1935" t="str">
        <f t="shared" si="35"/>
        <v>GUARDIAN</v>
      </c>
    </row>
    <row r="1936" spans="5:8" x14ac:dyDescent="0.25">
      <c r="E1936" t="str">
        <f>""</f>
        <v/>
      </c>
      <c r="F1936" t="str">
        <f>""</f>
        <v/>
      </c>
      <c r="H1936" t="str">
        <f t="shared" si="35"/>
        <v>GUARDIAN</v>
      </c>
    </row>
    <row r="1937" spans="5:8" x14ac:dyDescent="0.25">
      <c r="E1937" t="str">
        <f>""</f>
        <v/>
      </c>
      <c r="F1937" t="str">
        <f>""</f>
        <v/>
      </c>
      <c r="H1937" t="str">
        <f t="shared" si="35"/>
        <v>GUARDIAN</v>
      </c>
    </row>
    <row r="1938" spans="5:8" x14ac:dyDescent="0.25">
      <c r="E1938" t="str">
        <f>""</f>
        <v/>
      </c>
      <c r="F1938" t="str">
        <f>""</f>
        <v/>
      </c>
      <c r="H1938" t="str">
        <f t="shared" si="35"/>
        <v>GUARDIAN</v>
      </c>
    </row>
    <row r="1939" spans="5:8" x14ac:dyDescent="0.25">
      <c r="E1939" t="str">
        <f>""</f>
        <v/>
      </c>
      <c r="F1939" t="str">
        <f>""</f>
        <v/>
      </c>
      <c r="H1939" t="str">
        <f t="shared" si="35"/>
        <v>GUARDIAN</v>
      </c>
    </row>
    <row r="1940" spans="5:8" x14ac:dyDescent="0.25">
      <c r="E1940" t="str">
        <f>""</f>
        <v/>
      </c>
      <c r="F1940" t="str">
        <f>""</f>
        <v/>
      </c>
      <c r="H1940" t="str">
        <f t="shared" si="35"/>
        <v>GUARDIAN</v>
      </c>
    </row>
    <row r="1941" spans="5:8" x14ac:dyDescent="0.25">
      <c r="E1941" t="str">
        <f>""</f>
        <v/>
      </c>
      <c r="F1941" t="str">
        <f>""</f>
        <v/>
      </c>
      <c r="H1941" t="str">
        <f t="shared" si="35"/>
        <v>GUARDIAN</v>
      </c>
    </row>
    <row r="1942" spans="5:8" x14ac:dyDescent="0.25">
      <c r="E1942" t="str">
        <f>""</f>
        <v/>
      </c>
      <c r="F1942" t="str">
        <f>""</f>
        <v/>
      </c>
      <c r="H1942" t="str">
        <f t="shared" si="35"/>
        <v>GUARDIAN</v>
      </c>
    </row>
    <row r="1943" spans="5:8" x14ac:dyDescent="0.25">
      <c r="E1943" t="str">
        <f>""</f>
        <v/>
      </c>
      <c r="F1943" t="str">
        <f>""</f>
        <v/>
      </c>
      <c r="H1943" t="str">
        <f t="shared" si="35"/>
        <v>GUARDIAN</v>
      </c>
    </row>
    <row r="1944" spans="5:8" x14ac:dyDescent="0.25">
      <c r="E1944" t="str">
        <f>""</f>
        <v/>
      </c>
      <c r="F1944" t="str">
        <f>""</f>
        <v/>
      </c>
      <c r="H1944" t="str">
        <f t="shared" si="35"/>
        <v>GUARDIAN</v>
      </c>
    </row>
    <row r="1945" spans="5:8" x14ac:dyDescent="0.25">
      <c r="E1945" t="str">
        <f>""</f>
        <v/>
      </c>
      <c r="F1945" t="str">
        <f>""</f>
        <v/>
      </c>
      <c r="H1945" t="str">
        <f t="shared" si="35"/>
        <v>GUARDIAN</v>
      </c>
    </row>
    <row r="1946" spans="5:8" x14ac:dyDescent="0.25">
      <c r="E1946" t="str">
        <f>""</f>
        <v/>
      </c>
      <c r="F1946" t="str">
        <f>""</f>
        <v/>
      </c>
      <c r="H1946" t="str">
        <f t="shared" si="35"/>
        <v>GUARDIAN</v>
      </c>
    </row>
    <row r="1947" spans="5:8" x14ac:dyDescent="0.25">
      <c r="E1947" t="str">
        <f>""</f>
        <v/>
      </c>
      <c r="F1947" t="str">
        <f>""</f>
        <v/>
      </c>
      <c r="H1947" t="str">
        <f t="shared" si="35"/>
        <v>GUARDIAN</v>
      </c>
    </row>
    <row r="1948" spans="5:8" x14ac:dyDescent="0.25">
      <c r="E1948" t="str">
        <f>""</f>
        <v/>
      </c>
      <c r="F1948" t="str">
        <f>""</f>
        <v/>
      </c>
      <c r="H1948" t="str">
        <f t="shared" si="35"/>
        <v>GUARDIAN</v>
      </c>
    </row>
    <row r="1949" spans="5:8" x14ac:dyDescent="0.25">
      <c r="E1949" t="str">
        <f>""</f>
        <v/>
      </c>
      <c r="F1949" t="str">
        <f>""</f>
        <v/>
      </c>
      <c r="H1949" t="str">
        <f t="shared" si="35"/>
        <v>GUARDIAN</v>
      </c>
    </row>
    <row r="1950" spans="5:8" x14ac:dyDescent="0.25">
      <c r="E1950" t="str">
        <f>"LIE202003186057"</f>
        <v>LIE202003186057</v>
      </c>
      <c r="F1950" t="str">
        <f>"GUARDIAN"</f>
        <v>GUARDIAN</v>
      </c>
      <c r="G1950" s="5">
        <v>90.2</v>
      </c>
      <c r="H1950" t="str">
        <f t="shared" si="35"/>
        <v>GUARDIAN</v>
      </c>
    </row>
    <row r="1951" spans="5:8" x14ac:dyDescent="0.25">
      <c r="E1951" t="str">
        <f>""</f>
        <v/>
      </c>
      <c r="F1951" t="str">
        <f>""</f>
        <v/>
      </c>
      <c r="H1951" t="str">
        <f t="shared" si="35"/>
        <v>GUARDIAN</v>
      </c>
    </row>
    <row r="1952" spans="5:8" x14ac:dyDescent="0.25">
      <c r="E1952" t="str">
        <f>"LIS202003035702"</f>
        <v>LIS202003035702</v>
      </c>
      <c r="F1952" t="str">
        <f t="shared" ref="F1952:F1963" si="36">"GUARDIAN"</f>
        <v>GUARDIAN</v>
      </c>
      <c r="G1952" s="5">
        <v>532.52</v>
      </c>
      <c r="H1952" t="str">
        <f t="shared" si="35"/>
        <v>GUARDIAN</v>
      </c>
    </row>
    <row r="1953" spans="1:8" x14ac:dyDescent="0.25">
      <c r="E1953" t="str">
        <f>"LIS202003045735"</f>
        <v>LIS202003045735</v>
      </c>
      <c r="F1953" t="str">
        <f t="shared" si="36"/>
        <v>GUARDIAN</v>
      </c>
      <c r="G1953" s="5">
        <v>36.15</v>
      </c>
      <c r="H1953" t="str">
        <f t="shared" si="35"/>
        <v>GUARDIAN</v>
      </c>
    </row>
    <row r="1954" spans="1:8" x14ac:dyDescent="0.25">
      <c r="E1954" t="str">
        <f>"LIS202003186056"</f>
        <v>LIS202003186056</v>
      </c>
      <c r="F1954" t="str">
        <f t="shared" si="36"/>
        <v>GUARDIAN</v>
      </c>
      <c r="G1954" s="5">
        <v>532.52</v>
      </c>
      <c r="H1954" t="str">
        <f t="shared" si="35"/>
        <v>GUARDIAN</v>
      </c>
    </row>
    <row r="1955" spans="1:8" x14ac:dyDescent="0.25">
      <c r="E1955" t="str">
        <f>"LIS202003186057"</f>
        <v>LIS202003186057</v>
      </c>
      <c r="F1955" t="str">
        <f t="shared" si="36"/>
        <v>GUARDIAN</v>
      </c>
      <c r="G1955" s="5">
        <v>36.15</v>
      </c>
      <c r="H1955" t="str">
        <f t="shared" si="35"/>
        <v>GUARDIAN</v>
      </c>
    </row>
    <row r="1956" spans="1:8" x14ac:dyDescent="0.25">
      <c r="E1956" t="str">
        <f>"LTD202003035702"</f>
        <v>LTD202003035702</v>
      </c>
      <c r="F1956" t="str">
        <f t="shared" si="36"/>
        <v>GUARDIAN</v>
      </c>
      <c r="G1956" s="5">
        <v>846.59</v>
      </c>
      <c r="H1956" t="str">
        <f t="shared" ref="H1956:H1963" si="37">"GUARDIAN"</f>
        <v>GUARDIAN</v>
      </c>
    </row>
    <row r="1957" spans="1:8" x14ac:dyDescent="0.25">
      <c r="E1957" t="str">
        <f>"LTD202003045735"</f>
        <v>LTD202003045735</v>
      </c>
      <c r="F1957" t="str">
        <f t="shared" si="36"/>
        <v>GUARDIAN</v>
      </c>
      <c r="G1957" s="5">
        <v>6.11</v>
      </c>
      <c r="H1957" t="str">
        <f t="shared" si="37"/>
        <v>GUARDIAN</v>
      </c>
    </row>
    <row r="1958" spans="1:8" x14ac:dyDescent="0.25">
      <c r="E1958" t="str">
        <f>"LTD202003186056"</f>
        <v>LTD202003186056</v>
      </c>
      <c r="F1958" t="str">
        <f t="shared" si="36"/>
        <v>GUARDIAN</v>
      </c>
      <c r="G1958" s="5">
        <v>846.59</v>
      </c>
      <c r="H1958" t="str">
        <f t="shared" si="37"/>
        <v>GUARDIAN</v>
      </c>
    </row>
    <row r="1959" spans="1:8" x14ac:dyDescent="0.25">
      <c r="E1959" t="str">
        <f>"LTD202003186057"</f>
        <v>LTD202003186057</v>
      </c>
      <c r="F1959" t="str">
        <f t="shared" si="36"/>
        <v>GUARDIAN</v>
      </c>
      <c r="G1959" s="5">
        <v>6.11</v>
      </c>
      <c r="H1959" t="str">
        <f t="shared" si="37"/>
        <v>GUARDIAN</v>
      </c>
    </row>
    <row r="1960" spans="1:8" x14ac:dyDescent="0.25">
      <c r="A1960" t="s">
        <v>445</v>
      </c>
      <c r="B1960">
        <v>462</v>
      </c>
      <c r="C1960" s="5">
        <v>105.38</v>
      </c>
      <c r="D1960" s="1">
        <v>43917</v>
      </c>
      <c r="E1960" t="str">
        <f>"AEG202003035702"</f>
        <v>AEG202003035702</v>
      </c>
      <c r="F1960" t="str">
        <f t="shared" si="36"/>
        <v>GUARDIAN</v>
      </c>
      <c r="G1960" s="5">
        <v>6.66</v>
      </c>
      <c r="H1960" t="str">
        <f t="shared" si="37"/>
        <v>GUARDIAN</v>
      </c>
    </row>
    <row r="1961" spans="1:8" x14ac:dyDescent="0.25">
      <c r="E1961" t="str">
        <f>"AEG202003186056"</f>
        <v>AEG202003186056</v>
      </c>
      <c r="F1961" t="str">
        <f t="shared" si="36"/>
        <v>GUARDIAN</v>
      </c>
      <c r="G1961" s="5">
        <v>6.66</v>
      </c>
      <c r="H1961" t="str">
        <f t="shared" si="37"/>
        <v>GUARDIAN</v>
      </c>
    </row>
    <row r="1962" spans="1:8" x14ac:dyDescent="0.25">
      <c r="E1962" t="str">
        <f>"AFG202003035702"</f>
        <v>AFG202003035702</v>
      </c>
      <c r="F1962" t="str">
        <f t="shared" si="36"/>
        <v>GUARDIAN</v>
      </c>
      <c r="G1962" s="5">
        <v>46.03</v>
      </c>
      <c r="H1962" t="str">
        <f t="shared" si="37"/>
        <v>GUARDIAN</v>
      </c>
    </row>
    <row r="1963" spans="1:8" x14ac:dyDescent="0.25">
      <c r="E1963" t="str">
        <f>"AFG202003186056"</f>
        <v>AFG202003186056</v>
      </c>
      <c r="F1963" t="str">
        <f t="shared" si="36"/>
        <v>GUARDIAN</v>
      </c>
      <c r="G1963" s="5">
        <v>46.03</v>
      </c>
      <c r="H1963" t="str">
        <f t="shared" si="37"/>
        <v>GUARDIAN</v>
      </c>
    </row>
    <row r="1964" spans="1:8" x14ac:dyDescent="0.25">
      <c r="A1964" t="s">
        <v>446</v>
      </c>
      <c r="B1964">
        <v>435</v>
      </c>
      <c r="C1964" s="5">
        <v>246414.18</v>
      </c>
      <c r="D1964" s="1">
        <v>43896</v>
      </c>
      <c r="E1964" t="str">
        <f>"T1 202003035702"</f>
        <v>T1 202003035702</v>
      </c>
      <c r="F1964" t="str">
        <f>"FEDERAL WITHHOLDING"</f>
        <v>FEDERAL WITHHOLDING</v>
      </c>
      <c r="G1964" s="5">
        <v>82981.210000000006</v>
      </c>
      <c r="H1964" t="str">
        <f>"FEDERAL WITHHOLDING"</f>
        <v>FEDERAL WITHHOLDING</v>
      </c>
    </row>
    <row r="1965" spans="1:8" x14ac:dyDescent="0.25">
      <c r="E1965" t="str">
        <f>"T1 202003045735"</f>
        <v>T1 202003045735</v>
      </c>
      <c r="F1965" t="str">
        <f>"FEDERAL WITHHOLDING"</f>
        <v>FEDERAL WITHHOLDING</v>
      </c>
      <c r="G1965" s="5">
        <v>3200.96</v>
      </c>
      <c r="H1965" t="str">
        <f>"FEDERAL WITHHOLDING"</f>
        <v>FEDERAL WITHHOLDING</v>
      </c>
    </row>
    <row r="1966" spans="1:8" x14ac:dyDescent="0.25">
      <c r="E1966" t="str">
        <f>"T1 202003045736"</f>
        <v>T1 202003045736</v>
      </c>
      <c r="F1966" t="str">
        <f>"FEDERAL WITHHOLDING"</f>
        <v>FEDERAL WITHHOLDING</v>
      </c>
      <c r="G1966" s="5">
        <v>3528.53</v>
      </c>
      <c r="H1966" t="str">
        <f>"FEDERAL WITHHOLDING"</f>
        <v>FEDERAL WITHHOLDING</v>
      </c>
    </row>
    <row r="1967" spans="1:8" x14ac:dyDescent="0.25">
      <c r="E1967" t="str">
        <f>"T3 202003035702"</f>
        <v>T3 202003035702</v>
      </c>
      <c r="F1967" t="str">
        <f>"SOCIAL SECURITY TAXES"</f>
        <v>SOCIAL SECURITY TAXES</v>
      </c>
      <c r="G1967" s="5">
        <v>117442.2</v>
      </c>
      <c r="H1967" t="str">
        <f t="shared" ref="H1967:H1998" si="38">"SOCIAL SECURITY TAXES"</f>
        <v>SOCIAL SECURITY TAXES</v>
      </c>
    </row>
    <row r="1968" spans="1:8" x14ac:dyDescent="0.25">
      <c r="E1968" t="str">
        <f>""</f>
        <v/>
      </c>
      <c r="F1968" t="str">
        <f>""</f>
        <v/>
      </c>
      <c r="H1968" t="str">
        <f t="shared" si="38"/>
        <v>SOCIAL SECURITY TAXES</v>
      </c>
    </row>
    <row r="1969" spans="5:8" x14ac:dyDescent="0.25">
      <c r="E1969" t="str">
        <f>""</f>
        <v/>
      </c>
      <c r="F1969" t="str">
        <f>""</f>
        <v/>
      </c>
      <c r="H1969" t="str">
        <f t="shared" si="38"/>
        <v>SOCIAL SECURITY TAXES</v>
      </c>
    </row>
    <row r="1970" spans="5:8" x14ac:dyDescent="0.25">
      <c r="E1970" t="str">
        <f>""</f>
        <v/>
      </c>
      <c r="F1970" t="str">
        <f>""</f>
        <v/>
      </c>
      <c r="H1970" t="str">
        <f t="shared" si="38"/>
        <v>SOCIAL SECURITY TAXES</v>
      </c>
    </row>
    <row r="1971" spans="5:8" x14ac:dyDescent="0.25">
      <c r="E1971" t="str">
        <f>""</f>
        <v/>
      </c>
      <c r="F1971" t="str">
        <f>""</f>
        <v/>
      </c>
      <c r="H1971" t="str">
        <f t="shared" si="38"/>
        <v>SOCIAL SECURITY TAXES</v>
      </c>
    </row>
    <row r="1972" spans="5:8" x14ac:dyDescent="0.25">
      <c r="E1972" t="str">
        <f>""</f>
        <v/>
      </c>
      <c r="F1972" t="str">
        <f>""</f>
        <v/>
      </c>
      <c r="H1972" t="str">
        <f t="shared" si="38"/>
        <v>SOCIAL SECURITY TAXES</v>
      </c>
    </row>
    <row r="1973" spans="5:8" x14ac:dyDescent="0.25">
      <c r="E1973" t="str">
        <f>""</f>
        <v/>
      </c>
      <c r="F1973" t="str">
        <f>""</f>
        <v/>
      </c>
      <c r="H1973" t="str">
        <f t="shared" si="38"/>
        <v>SOCIAL SECURITY TAXES</v>
      </c>
    </row>
    <row r="1974" spans="5:8" x14ac:dyDescent="0.25">
      <c r="E1974" t="str">
        <f>""</f>
        <v/>
      </c>
      <c r="F1974" t="str">
        <f>""</f>
        <v/>
      </c>
      <c r="H1974" t="str">
        <f t="shared" si="38"/>
        <v>SOCIAL SECURITY TAXES</v>
      </c>
    </row>
    <row r="1975" spans="5:8" x14ac:dyDescent="0.25">
      <c r="E1975" t="str">
        <f>""</f>
        <v/>
      </c>
      <c r="F1975" t="str">
        <f>""</f>
        <v/>
      </c>
      <c r="H1975" t="str">
        <f t="shared" si="38"/>
        <v>SOCIAL SECURITY TAXES</v>
      </c>
    </row>
    <row r="1976" spans="5:8" x14ac:dyDescent="0.25">
      <c r="E1976" t="str">
        <f>""</f>
        <v/>
      </c>
      <c r="F1976" t="str">
        <f>""</f>
        <v/>
      </c>
      <c r="H1976" t="str">
        <f t="shared" si="38"/>
        <v>SOCIAL SECURITY TAXES</v>
      </c>
    </row>
    <row r="1977" spans="5:8" x14ac:dyDescent="0.25">
      <c r="E1977" t="str">
        <f>""</f>
        <v/>
      </c>
      <c r="F1977" t="str">
        <f>""</f>
        <v/>
      </c>
      <c r="H1977" t="str">
        <f t="shared" si="38"/>
        <v>SOCIAL SECURITY TAXES</v>
      </c>
    </row>
    <row r="1978" spans="5:8" x14ac:dyDescent="0.25">
      <c r="E1978" t="str">
        <f>""</f>
        <v/>
      </c>
      <c r="F1978" t="str">
        <f>""</f>
        <v/>
      </c>
      <c r="H1978" t="str">
        <f t="shared" si="38"/>
        <v>SOCIAL SECURITY TAXES</v>
      </c>
    </row>
    <row r="1979" spans="5:8" x14ac:dyDescent="0.25">
      <c r="E1979" t="str">
        <f>""</f>
        <v/>
      </c>
      <c r="F1979" t="str">
        <f>""</f>
        <v/>
      </c>
      <c r="H1979" t="str">
        <f t="shared" si="38"/>
        <v>SOCIAL SECURITY TAXES</v>
      </c>
    </row>
    <row r="1980" spans="5:8" x14ac:dyDescent="0.25">
      <c r="E1980" t="str">
        <f>""</f>
        <v/>
      </c>
      <c r="F1980" t="str">
        <f>""</f>
        <v/>
      </c>
      <c r="H1980" t="str">
        <f t="shared" si="38"/>
        <v>SOCIAL SECURITY TAXES</v>
      </c>
    </row>
    <row r="1981" spans="5:8" x14ac:dyDescent="0.25">
      <c r="E1981" t="str">
        <f>""</f>
        <v/>
      </c>
      <c r="F1981" t="str">
        <f>""</f>
        <v/>
      </c>
      <c r="H1981" t="str">
        <f t="shared" si="38"/>
        <v>SOCIAL SECURITY TAXES</v>
      </c>
    </row>
    <row r="1982" spans="5:8" x14ac:dyDescent="0.25">
      <c r="E1982" t="str">
        <f>""</f>
        <v/>
      </c>
      <c r="F1982" t="str">
        <f>""</f>
        <v/>
      </c>
      <c r="H1982" t="str">
        <f t="shared" si="38"/>
        <v>SOCIAL SECURITY TAXES</v>
      </c>
    </row>
    <row r="1983" spans="5:8" x14ac:dyDescent="0.25">
      <c r="E1983" t="str">
        <f>""</f>
        <v/>
      </c>
      <c r="F1983" t="str">
        <f>""</f>
        <v/>
      </c>
      <c r="H1983" t="str">
        <f t="shared" si="38"/>
        <v>SOCIAL SECURITY TAXES</v>
      </c>
    </row>
    <row r="1984" spans="5:8" x14ac:dyDescent="0.25">
      <c r="E1984" t="str">
        <f>""</f>
        <v/>
      </c>
      <c r="F1984" t="str">
        <f>""</f>
        <v/>
      </c>
      <c r="H1984" t="str">
        <f t="shared" si="38"/>
        <v>SOCIAL SECURITY TAXES</v>
      </c>
    </row>
    <row r="1985" spans="5:8" x14ac:dyDescent="0.25">
      <c r="E1985" t="str">
        <f>""</f>
        <v/>
      </c>
      <c r="F1985" t="str">
        <f>""</f>
        <v/>
      </c>
      <c r="H1985" t="str">
        <f t="shared" si="38"/>
        <v>SOCIAL SECURITY TAXES</v>
      </c>
    </row>
    <row r="1986" spans="5:8" x14ac:dyDescent="0.25">
      <c r="E1986" t="str">
        <f>""</f>
        <v/>
      </c>
      <c r="F1986" t="str">
        <f>""</f>
        <v/>
      </c>
      <c r="H1986" t="str">
        <f t="shared" si="38"/>
        <v>SOCIAL SECURITY TAXES</v>
      </c>
    </row>
    <row r="1987" spans="5:8" x14ac:dyDescent="0.25">
      <c r="E1987" t="str">
        <f>""</f>
        <v/>
      </c>
      <c r="F1987" t="str">
        <f>""</f>
        <v/>
      </c>
      <c r="H1987" t="str">
        <f t="shared" si="38"/>
        <v>SOCIAL SECURITY TAXES</v>
      </c>
    </row>
    <row r="1988" spans="5:8" x14ac:dyDescent="0.25">
      <c r="E1988" t="str">
        <f>""</f>
        <v/>
      </c>
      <c r="F1988" t="str">
        <f>""</f>
        <v/>
      </c>
      <c r="H1988" t="str">
        <f t="shared" si="38"/>
        <v>SOCIAL SECURITY TAXES</v>
      </c>
    </row>
    <row r="1989" spans="5:8" x14ac:dyDescent="0.25">
      <c r="E1989" t="str">
        <f>""</f>
        <v/>
      </c>
      <c r="F1989" t="str">
        <f>""</f>
        <v/>
      </c>
      <c r="H1989" t="str">
        <f t="shared" si="38"/>
        <v>SOCIAL SECURITY TAXES</v>
      </c>
    </row>
    <row r="1990" spans="5:8" x14ac:dyDescent="0.25">
      <c r="E1990" t="str">
        <f>""</f>
        <v/>
      </c>
      <c r="F1990" t="str">
        <f>""</f>
        <v/>
      </c>
      <c r="H1990" t="str">
        <f t="shared" si="38"/>
        <v>SOCIAL SECURITY TAXES</v>
      </c>
    </row>
    <row r="1991" spans="5:8" x14ac:dyDescent="0.25">
      <c r="E1991" t="str">
        <f>""</f>
        <v/>
      </c>
      <c r="F1991" t="str">
        <f>""</f>
        <v/>
      </c>
      <c r="H1991" t="str">
        <f t="shared" si="38"/>
        <v>SOCIAL SECURITY TAXES</v>
      </c>
    </row>
    <row r="1992" spans="5:8" x14ac:dyDescent="0.25">
      <c r="E1992" t="str">
        <f>""</f>
        <v/>
      </c>
      <c r="F1992" t="str">
        <f>""</f>
        <v/>
      </c>
      <c r="H1992" t="str">
        <f t="shared" si="38"/>
        <v>SOCIAL SECURITY TAXES</v>
      </c>
    </row>
    <row r="1993" spans="5:8" x14ac:dyDescent="0.25">
      <c r="E1993" t="str">
        <f>""</f>
        <v/>
      </c>
      <c r="F1993" t="str">
        <f>""</f>
        <v/>
      </c>
      <c r="H1993" t="str">
        <f t="shared" si="38"/>
        <v>SOCIAL SECURITY TAXES</v>
      </c>
    </row>
    <row r="1994" spans="5:8" x14ac:dyDescent="0.25">
      <c r="E1994" t="str">
        <f>""</f>
        <v/>
      </c>
      <c r="F1994" t="str">
        <f>""</f>
        <v/>
      </c>
      <c r="H1994" t="str">
        <f t="shared" si="38"/>
        <v>SOCIAL SECURITY TAXES</v>
      </c>
    </row>
    <row r="1995" spans="5:8" x14ac:dyDescent="0.25">
      <c r="E1995" t="str">
        <f>""</f>
        <v/>
      </c>
      <c r="F1995" t="str">
        <f>""</f>
        <v/>
      </c>
      <c r="H1995" t="str">
        <f t="shared" si="38"/>
        <v>SOCIAL SECURITY TAXES</v>
      </c>
    </row>
    <row r="1996" spans="5:8" x14ac:dyDescent="0.25">
      <c r="E1996" t="str">
        <f>""</f>
        <v/>
      </c>
      <c r="F1996" t="str">
        <f>""</f>
        <v/>
      </c>
      <c r="H1996" t="str">
        <f t="shared" si="38"/>
        <v>SOCIAL SECURITY TAXES</v>
      </c>
    </row>
    <row r="1997" spans="5:8" x14ac:dyDescent="0.25">
      <c r="E1997" t="str">
        <f>""</f>
        <v/>
      </c>
      <c r="F1997" t="str">
        <f>""</f>
        <v/>
      </c>
      <c r="H1997" t="str">
        <f t="shared" si="38"/>
        <v>SOCIAL SECURITY TAXES</v>
      </c>
    </row>
    <row r="1998" spans="5:8" x14ac:dyDescent="0.25">
      <c r="E1998" t="str">
        <f>""</f>
        <v/>
      </c>
      <c r="F1998" t="str">
        <f>""</f>
        <v/>
      </c>
      <c r="H1998" t="str">
        <f t="shared" si="38"/>
        <v>SOCIAL SECURITY TAXES</v>
      </c>
    </row>
    <row r="1999" spans="5:8" x14ac:dyDescent="0.25">
      <c r="E1999" t="str">
        <f>""</f>
        <v/>
      </c>
      <c r="F1999" t="str">
        <f>""</f>
        <v/>
      </c>
      <c r="H1999" t="str">
        <f t="shared" ref="H1999:H2023" si="39">"SOCIAL SECURITY TAXES"</f>
        <v>SOCIAL SECURITY TAXES</v>
      </c>
    </row>
    <row r="2000" spans="5:8" x14ac:dyDescent="0.25">
      <c r="E2000" t="str">
        <f>""</f>
        <v/>
      </c>
      <c r="F2000" t="str">
        <f>""</f>
        <v/>
      </c>
      <c r="H2000" t="str">
        <f t="shared" si="39"/>
        <v>SOCIAL SECURITY TAXES</v>
      </c>
    </row>
    <row r="2001" spans="5:8" x14ac:dyDescent="0.25">
      <c r="E2001" t="str">
        <f>""</f>
        <v/>
      </c>
      <c r="F2001" t="str">
        <f>""</f>
        <v/>
      </c>
      <c r="H2001" t="str">
        <f t="shared" si="39"/>
        <v>SOCIAL SECURITY TAXES</v>
      </c>
    </row>
    <row r="2002" spans="5:8" x14ac:dyDescent="0.25">
      <c r="E2002" t="str">
        <f>""</f>
        <v/>
      </c>
      <c r="F2002" t="str">
        <f>""</f>
        <v/>
      </c>
      <c r="H2002" t="str">
        <f t="shared" si="39"/>
        <v>SOCIAL SECURITY TAXES</v>
      </c>
    </row>
    <row r="2003" spans="5:8" x14ac:dyDescent="0.25">
      <c r="E2003" t="str">
        <f>""</f>
        <v/>
      </c>
      <c r="F2003" t="str">
        <f>""</f>
        <v/>
      </c>
      <c r="H2003" t="str">
        <f t="shared" si="39"/>
        <v>SOCIAL SECURITY TAXES</v>
      </c>
    </row>
    <row r="2004" spans="5:8" x14ac:dyDescent="0.25">
      <c r="E2004" t="str">
        <f>""</f>
        <v/>
      </c>
      <c r="F2004" t="str">
        <f>""</f>
        <v/>
      </c>
      <c r="H2004" t="str">
        <f t="shared" si="39"/>
        <v>SOCIAL SECURITY TAXES</v>
      </c>
    </row>
    <row r="2005" spans="5:8" x14ac:dyDescent="0.25">
      <c r="E2005" t="str">
        <f>""</f>
        <v/>
      </c>
      <c r="F2005" t="str">
        <f>""</f>
        <v/>
      </c>
      <c r="H2005" t="str">
        <f t="shared" si="39"/>
        <v>SOCIAL SECURITY TAXES</v>
      </c>
    </row>
    <row r="2006" spans="5:8" x14ac:dyDescent="0.25">
      <c r="E2006" t="str">
        <f>""</f>
        <v/>
      </c>
      <c r="F2006" t="str">
        <f>""</f>
        <v/>
      </c>
      <c r="H2006" t="str">
        <f t="shared" si="39"/>
        <v>SOCIAL SECURITY TAXES</v>
      </c>
    </row>
    <row r="2007" spans="5:8" x14ac:dyDescent="0.25">
      <c r="E2007" t="str">
        <f>""</f>
        <v/>
      </c>
      <c r="F2007" t="str">
        <f>""</f>
        <v/>
      </c>
      <c r="H2007" t="str">
        <f t="shared" si="39"/>
        <v>SOCIAL SECURITY TAXES</v>
      </c>
    </row>
    <row r="2008" spans="5:8" x14ac:dyDescent="0.25">
      <c r="E2008" t="str">
        <f>""</f>
        <v/>
      </c>
      <c r="F2008" t="str">
        <f>""</f>
        <v/>
      </c>
      <c r="H2008" t="str">
        <f t="shared" si="39"/>
        <v>SOCIAL SECURITY TAXES</v>
      </c>
    </row>
    <row r="2009" spans="5:8" x14ac:dyDescent="0.25">
      <c r="E2009" t="str">
        <f>""</f>
        <v/>
      </c>
      <c r="F2009" t="str">
        <f>""</f>
        <v/>
      </c>
      <c r="H2009" t="str">
        <f t="shared" si="39"/>
        <v>SOCIAL SECURITY TAXES</v>
      </c>
    </row>
    <row r="2010" spans="5:8" x14ac:dyDescent="0.25">
      <c r="E2010" t="str">
        <f>""</f>
        <v/>
      </c>
      <c r="F2010" t="str">
        <f>""</f>
        <v/>
      </c>
      <c r="H2010" t="str">
        <f t="shared" si="39"/>
        <v>SOCIAL SECURITY TAXES</v>
      </c>
    </row>
    <row r="2011" spans="5:8" x14ac:dyDescent="0.25">
      <c r="E2011" t="str">
        <f>""</f>
        <v/>
      </c>
      <c r="F2011" t="str">
        <f>""</f>
        <v/>
      </c>
      <c r="H2011" t="str">
        <f t="shared" si="39"/>
        <v>SOCIAL SECURITY TAXES</v>
      </c>
    </row>
    <row r="2012" spans="5:8" x14ac:dyDescent="0.25">
      <c r="E2012" t="str">
        <f>""</f>
        <v/>
      </c>
      <c r="F2012" t="str">
        <f>""</f>
        <v/>
      </c>
      <c r="H2012" t="str">
        <f t="shared" si="39"/>
        <v>SOCIAL SECURITY TAXES</v>
      </c>
    </row>
    <row r="2013" spans="5:8" x14ac:dyDescent="0.25">
      <c r="E2013" t="str">
        <f>""</f>
        <v/>
      </c>
      <c r="F2013" t="str">
        <f>""</f>
        <v/>
      </c>
      <c r="H2013" t="str">
        <f t="shared" si="39"/>
        <v>SOCIAL SECURITY TAXES</v>
      </c>
    </row>
    <row r="2014" spans="5:8" x14ac:dyDescent="0.25">
      <c r="E2014" t="str">
        <f>""</f>
        <v/>
      </c>
      <c r="F2014" t="str">
        <f>""</f>
        <v/>
      </c>
      <c r="H2014" t="str">
        <f t="shared" si="39"/>
        <v>SOCIAL SECURITY TAXES</v>
      </c>
    </row>
    <row r="2015" spans="5:8" x14ac:dyDescent="0.25">
      <c r="E2015" t="str">
        <f>""</f>
        <v/>
      </c>
      <c r="F2015" t="str">
        <f>""</f>
        <v/>
      </c>
      <c r="H2015" t="str">
        <f t="shared" si="39"/>
        <v>SOCIAL SECURITY TAXES</v>
      </c>
    </row>
    <row r="2016" spans="5:8" x14ac:dyDescent="0.25">
      <c r="E2016" t="str">
        <f>""</f>
        <v/>
      </c>
      <c r="F2016" t="str">
        <f>""</f>
        <v/>
      </c>
      <c r="H2016" t="str">
        <f t="shared" si="39"/>
        <v>SOCIAL SECURITY TAXES</v>
      </c>
    </row>
    <row r="2017" spans="5:8" x14ac:dyDescent="0.25">
      <c r="E2017" t="str">
        <f>""</f>
        <v/>
      </c>
      <c r="F2017" t="str">
        <f>""</f>
        <v/>
      </c>
      <c r="H2017" t="str">
        <f t="shared" si="39"/>
        <v>SOCIAL SECURITY TAXES</v>
      </c>
    </row>
    <row r="2018" spans="5:8" x14ac:dyDescent="0.25">
      <c r="E2018" t="str">
        <f>""</f>
        <v/>
      </c>
      <c r="F2018" t="str">
        <f>""</f>
        <v/>
      </c>
      <c r="H2018" t="str">
        <f t="shared" si="39"/>
        <v>SOCIAL SECURITY TAXES</v>
      </c>
    </row>
    <row r="2019" spans="5:8" x14ac:dyDescent="0.25">
      <c r="E2019" t="str">
        <f>""</f>
        <v/>
      </c>
      <c r="F2019" t="str">
        <f>""</f>
        <v/>
      </c>
      <c r="H2019" t="str">
        <f t="shared" si="39"/>
        <v>SOCIAL SECURITY TAXES</v>
      </c>
    </row>
    <row r="2020" spans="5:8" x14ac:dyDescent="0.25">
      <c r="E2020" t="str">
        <f>"T3 202003045735"</f>
        <v>T3 202003045735</v>
      </c>
      <c r="F2020" t="str">
        <f>"SOCIAL SECURITY TAXES"</f>
        <v>SOCIAL SECURITY TAXES</v>
      </c>
      <c r="G2020" s="5">
        <v>4414.1400000000003</v>
      </c>
      <c r="H2020" t="str">
        <f t="shared" si="39"/>
        <v>SOCIAL SECURITY TAXES</v>
      </c>
    </row>
    <row r="2021" spans="5:8" x14ac:dyDescent="0.25">
      <c r="E2021" t="str">
        <f>""</f>
        <v/>
      </c>
      <c r="F2021" t="str">
        <f>""</f>
        <v/>
      </c>
      <c r="H2021" t="str">
        <f t="shared" si="39"/>
        <v>SOCIAL SECURITY TAXES</v>
      </c>
    </row>
    <row r="2022" spans="5:8" x14ac:dyDescent="0.25">
      <c r="E2022" t="str">
        <f>"T3 202003045736"</f>
        <v>T3 202003045736</v>
      </c>
      <c r="F2022" t="str">
        <f>"SOCIAL SECURITY TAXES"</f>
        <v>SOCIAL SECURITY TAXES</v>
      </c>
      <c r="G2022" s="5">
        <v>5145.28</v>
      </c>
      <c r="H2022" t="str">
        <f t="shared" si="39"/>
        <v>SOCIAL SECURITY TAXES</v>
      </c>
    </row>
    <row r="2023" spans="5:8" x14ac:dyDescent="0.25">
      <c r="E2023" t="str">
        <f>""</f>
        <v/>
      </c>
      <c r="F2023" t="str">
        <f>""</f>
        <v/>
      </c>
      <c r="H2023" t="str">
        <f t="shared" si="39"/>
        <v>SOCIAL SECURITY TAXES</v>
      </c>
    </row>
    <row r="2024" spans="5:8" x14ac:dyDescent="0.25">
      <c r="E2024" t="str">
        <f>"T4 202003035702"</f>
        <v>T4 202003035702</v>
      </c>
      <c r="F2024" t="str">
        <f>"MEDICARE TAXES"</f>
        <v>MEDICARE TAXES</v>
      </c>
      <c r="G2024" s="5">
        <v>27466.240000000002</v>
      </c>
      <c r="H2024" t="str">
        <f t="shared" ref="H2024:H2055" si="40">"MEDICARE TAXES"</f>
        <v>MEDICARE TAXES</v>
      </c>
    </row>
    <row r="2025" spans="5:8" x14ac:dyDescent="0.25">
      <c r="E2025" t="str">
        <f>""</f>
        <v/>
      </c>
      <c r="F2025" t="str">
        <f>""</f>
        <v/>
      </c>
      <c r="H2025" t="str">
        <f t="shared" si="40"/>
        <v>MEDICARE TAXES</v>
      </c>
    </row>
    <row r="2026" spans="5:8" x14ac:dyDescent="0.25">
      <c r="E2026" t="str">
        <f>""</f>
        <v/>
      </c>
      <c r="F2026" t="str">
        <f>""</f>
        <v/>
      </c>
      <c r="H2026" t="str">
        <f t="shared" si="40"/>
        <v>MEDICARE TAXES</v>
      </c>
    </row>
    <row r="2027" spans="5:8" x14ac:dyDescent="0.25">
      <c r="E2027" t="str">
        <f>""</f>
        <v/>
      </c>
      <c r="F2027" t="str">
        <f>""</f>
        <v/>
      </c>
      <c r="H2027" t="str">
        <f t="shared" si="40"/>
        <v>MEDICARE TAXES</v>
      </c>
    </row>
    <row r="2028" spans="5:8" x14ac:dyDescent="0.25">
      <c r="E2028" t="str">
        <f>""</f>
        <v/>
      </c>
      <c r="F2028" t="str">
        <f>""</f>
        <v/>
      </c>
      <c r="H2028" t="str">
        <f t="shared" si="40"/>
        <v>MEDICARE TAXES</v>
      </c>
    </row>
    <row r="2029" spans="5:8" x14ac:dyDescent="0.25">
      <c r="E2029" t="str">
        <f>""</f>
        <v/>
      </c>
      <c r="F2029" t="str">
        <f>""</f>
        <v/>
      </c>
      <c r="H2029" t="str">
        <f t="shared" si="40"/>
        <v>MEDICARE TAXES</v>
      </c>
    </row>
    <row r="2030" spans="5:8" x14ac:dyDescent="0.25">
      <c r="E2030" t="str">
        <f>""</f>
        <v/>
      </c>
      <c r="F2030" t="str">
        <f>""</f>
        <v/>
      </c>
      <c r="H2030" t="str">
        <f t="shared" si="40"/>
        <v>MEDICARE TAXES</v>
      </c>
    </row>
    <row r="2031" spans="5:8" x14ac:dyDescent="0.25">
      <c r="E2031" t="str">
        <f>""</f>
        <v/>
      </c>
      <c r="F2031" t="str">
        <f>""</f>
        <v/>
      </c>
      <c r="H2031" t="str">
        <f t="shared" si="40"/>
        <v>MEDICARE TAXES</v>
      </c>
    </row>
    <row r="2032" spans="5:8" x14ac:dyDescent="0.25">
      <c r="E2032" t="str">
        <f>""</f>
        <v/>
      </c>
      <c r="F2032" t="str">
        <f>""</f>
        <v/>
      </c>
      <c r="H2032" t="str">
        <f t="shared" si="40"/>
        <v>MEDICARE TAXES</v>
      </c>
    </row>
    <row r="2033" spans="5:8" x14ac:dyDescent="0.25">
      <c r="E2033" t="str">
        <f>""</f>
        <v/>
      </c>
      <c r="F2033" t="str">
        <f>""</f>
        <v/>
      </c>
      <c r="H2033" t="str">
        <f t="shared" si="40"/>
        <v>MEDICARE TAXES</v>
      </c>
    </row>
    <row r="2034" spans="5:8" x14ac:dyDescent="0.25">
      <c r="E2034" t="str">
        <f>""</f>
        <v/>
      </c>
      <c r="F2034" t="str">
        <f>""</f>
        <v/>
      </c>
      <c r="H2034" t="str">
        <f t="shared" si="40"/>
        <v>MEDICARE TAXES</v>
      </c>
    </row>
    <row r="2035" spans="5:8" x14ac:dyDescent="0.25">
      <c r="E2035" t="str">
        <f>""</f>
        <v/>
      </c>
      <c r="F2035" t="str">
        <f>""</f>
        <v/>
      </c>
      <c r="H2035" t="str">
        <f t="shared" si="40"/>
        <v>MEDICARE TAXES</v>
      </c>
    </row>
    <row r="2036" spans="5:8" x14ac:dyDescent="0.25">
      <c r="E2036" t="str">
        <f>""</f>
        <v/>
      </c>
      <c r="F2036" t="str">
        <f>""</f>
        <v/>
      </c>
      <c r="H2036" t="str">
        <f t="shared" si="40"/>
        <v>MEDICARE TAXES</v>
      </c>
    </row>
    <row r="2037" spans="5:8" x14ac:dyDescent="0.25">
      <c r="E2037" t="str">
        <f>""</f>
        <v/>
      </c>
      <c r="F2037" t="str">
        <f>""</f>
        <v/>
      </c>
      <c r="H2037" t="str">
        <f t="shared" si="40"/>
        <v>MEDICARE TAXES</v>
      </c>
    </row>
    <row r="2038" spans="5:8" x14ac:dyDescent="0.25">
      <c r="E2038" t="str">
        <f>""</f>
        <v/>
      </c>
      <c r="F2038" t="str">
        <f>""</f>
        <v/>
      </c>
      <c r="H2038" t="str">
        <f t="shared" si="40"/>
        <v>MEDICARE TAXES</v>
      </c>
    </row>
    <row r="2039" spans="5:8" x14ac:dyDescent="0.25">
      <c r="E2039" t="str">
        <f>""</f>
        <v/>
      </c>
      <c r="F2039" t="str">
        <f>""</f>
        <v/>
      </c>
      <c r="H2039" t="str">
        <f t="shared" si="40"/>
        <v>MEDICARE TAXES</v>
      </c>
    </row>
    <row r="2040" spans="5:8" x14ac:dyDescent="0.25">
      <c r="E2040" t="str">
        <f>""</f>
        <v/>
      </c>
      <c r="F2040" t="str">
        <f>""</f>
        <v/>
      </c>
      <c r="H2040" t="str">
        <f t="shared" si="40"/>
        <v>MEDICARE TAXES</v>
      </c>
    </row>
    <row r="2041" spans="5:8" x14ac:dyDescent="0.25">
      <c r="E2041" t="str">
        <f>""</f>
        <v/>
      </c>
      <c r="F2041" t="str">
        <f>""</f>
        <v/>
      </c>
      <c r="H2041" t="str">
        <f t="shared" si="40"/>
        <v>MEDICARE TAXES</v>
      </c>
    </row>
    <row r="2042" spans="5:8" x14ac:dyDescent="0.25">
      <c r="E2042" t="str">
        <f>""</f>
        <v/>
      </c>
      <c r="F2042" t="str">
        <f>""</f>
        <v/>
      </c>
      <c r="H2042" t="str">
        <f t="shared" si="40"/>
        <v>MEDICARE TAXES</v>
      </c>
    </row>
    <row r="2043" spans="5:8" x14ac:dyDescent="0.25">
      <c r="E2043" t="str">
        <f>""</f>
        <v/>
      </c>
      <c r="F2043" t="str">
        <f>""</f>
        <v/>
      </c>
      <c r="H2043" t="str">
        <f t="shared" si="40"/>
        <v>MEDICARE TAXES</v>
      </c>
    </row>
    <row r="2044" spans="5:8" x14ac:dyDescent="0.25">
      <c r="E2044" t="str">
        <f>""</f>
        <v/>
      </c>
      <c r="F2044" t="str">
        <f>""</f>
        <v/>
      </c>
      <c r="H2044" t="str">
        <f t="shared" si="40"/>
        <v>MEDICARE TAXES</v>
      </c>
    </row>
    <row r="2045" spans="5:8" x14ac:dyDescent="0.25">
      <c r="E2045" t="str">
        <f>""</f>
        <v/>
      </c>
      <c r="F2045" t="str">
        <f>""</f>
        <v/>
      </c>
      <c r="H2045" t="str">
        <f t="shared" si="40"/>
        <v>MEDICARE TAXES</v>
      </c>
    </row>
    <row r="2046" spans="5:8" x14ac:dyDescent="0.25">
      <c r="E2046" t="str">
        <f>""</f>
        <v/>
      </c>
      <c r="F2046" t="str">
        <f>""</f>
        <v/>
      </c>
      <c r="H2046" t="str">
        <f t="shared" si="40"/>
        <v>MEDICARE TAXES</v>
      </c>
    </row>
    <row r="2047" spans="5:8" x14ac:dyDescent="0.25">
      <c r="E2047" t="str">
        <f>""</f>
        <v/>
      </c>
      <c r="F2047" t="str">
        <f>""</f>
        <v/>
      </c>
      <c r="H2047" t="str">
        <f t="shared" si="40"/>
        <v>MEDICARE TAXES</v>
      </c>
    </row>
    <row r="2048" spans="5:8" x14ac:dyDescent="0.25">
      <c r="E2048" t="str">
        <f>""</f>
        <v/>
      </c>
      <c r="F2048" t="str">
        <f>""</f>
        <v/>
      </c>
      <c r="H2048" t="str">
        <f t="shared" si="40"/>
        <v>MEDICARE TAXES</v>
      </c>
    </row>
    <row r="2049" spans="5:8" x14ac:dyDescent="0.25">
      <c r="E2049" t="str">
        <f>""</f>
        <v/>
      </c>
      <c r="F2049" t="str">
        <f>""</f>
        <v/>
      </c>
      <c r="H2049" t="str">
        <f t="shared" si="40"/>
        <v>MEDICARE TAXES</v>
      </c>
    </row>
    <row r="2050" spans="5:8" x14ac:dyDescent="0.25">
      <c r="E2050" t="str">
        <f>""</f>
        <v/>
      </c>
      <c r="F2050" t="str">
        <f>""</f>
        <v/>
      </c>
      <c r="H2050" t="str">
        <f t="shared" si="40"/>
        <v>MEDICARE TAXES</v>
      </c>
    </row>
    <row r="2051" spans="5:8" x14ac:dyDescent="0.25">
      <c r="E2051" t="str">
        <f>""</f>
        <v/>
      </c>
      <c r="F2051" t="str">
        <f>""</f>
        <v/>
      </c>
      <c r="H2051" t="str">
        <f t="shared" si="40"/>
        <v>MEDICARE TAXES</v>
      </c>
    </row>
    <row r="2052" spans="5:8" x14ac:dyDescent="0.25">
      <c r="E2052" t="str">
        <f>""</f>
        <v/>
      </c>
      <c r="F2052" t="str">
        <f>""</f>
        <v/>
      </c>
      <c r="H2052" t="str">
        <f t="shared" si="40"/>
        <v>MEDICARE TAXES</v>
      </c>
    </row>
    <row r="2053" spans="5:8" x14ac:dyDescent="0.25">
      <c r="E2053" t="str">
        <f>""</f>
        <v/>
      </c>
      <c r="F2053" t="str">
        <f>""</f>
        <v/>
      </c>
      <c r="H2053" t="str">
        <f t="shared" si="40"/>
        <v>MEDICARE TAXES</v>
      </c>
    </row>
    <row r="2054" spans="5:8" x14ac:dyDescent="0.25">
      <c r="E2054" t="str">
        <f>""</f>
        <v/>
      </c>
      <c r="F2054" t="str">
        <f>""</f>
        <v/>
      </c>
      <c r="H2054" t="str">
        <f t="shared" si="40"/>
        <v>MEDICARE TAXES</v>
      </c>
    </row>
    <row r="2055" spans="5:8" x14ac:dyDescent="0.25">
      <c r="E2055" t="str">
        <f>""</f>
        <v/>
      </c>
      <c r="F2055" t="str">
        <f>""</f>
        <v/>
      </c>
      <c r="H2055" t="str">
        <f t="shared" si="40"/>
        <v>MEDICARE TAXES</v>
      </c>
    </row>
    <row r="2056" spans="5:8" x14ac:dyDescent="0.25">
      <c r="E2056" t="str">
        <f>""</f>
        <v/>
      </c>
      <c r="F2056" t="str">
        <f>""</f>
        <v/>
      </c>
      <c r="H2056" t="str">
        <f t="shared" ref="H2056:H2080" si="41">"MEDICARE TAXES"</f>
        <v>MEDICARE TAXES</v>
      </c>
    </row>
    <row r="2057" spans="5:8" x14ac:dyDescent="0.25">
      <c r="E2057" t="str">
        <f>""</f>
        <v/>
      </c>
      <c r="F2057" t="str">
        <f>""</f>
        <v/>
      </c>
      <c r="H2057" t="str">
        <f t="shared" si="41"/>
        <v>MEDICARE TAXES</v>
      </c>
    </row>
    <row r="2058" spans="5:8" x14ac:dyDescent="0.25">
      <c r="E2058" t="str">
        <f>""</f>
        <v/>
      </c>
      <c r="F2058" t="str">
        <f>""</f>
        <v/>
      </c>
      <c r="H2058" t="str">
        <f t="shared" si="41"/>
        <v>MEDICARE TAXES</v>
      </c>
    </row>
    <row r="2059" spans="5:8" x14ac:dyDescent="0.25">
      <c r="E2059" t="str">
        <f>""</f>
        <v/>
      </c>
      <c r="F2059" t="str">
        <f>""</f>
        <v/>
      </c>
      <c r="H2059" t="str">
        <f t="shared" si="41"/>
        <v>MEDICARE TAXES</v>
      </c>
    </row>
    <row r="2060" spans="5:8" x14ac:dyDescent="0.25">
      <c r="E2060" t="str">
        <f>""</f>
        <v/>
      </c>
      <c r="F2060" t="str">
        <f>""</f>
        <v/>
      </c>
      <c r="H2060" t="str">
        <f t="shared" si="41"/>
        <v>MEDICARE TAXES</v>
      </c>
    </row>
    <row r="2061" spans="5:8" x14ac:dyDescent="0.25">
      <c r="E2061" t="str">
        <f>""</f>
        <v/>
      </c>
      <c r="F2061" t="str">
        <f>""</f>
        <v/>
      </c>
      <c r="H2061" t="str">
        <f t="shared" si="41"/>
        <v>MEDICARE TAXES</v>
      </c>
    </row>
    <row r="2062" spans="5:8" x14ac:dyDescent="0.25">
      <c r="E2062" t="str">
        <f>""</f>
        <v/>
      </c>
      <c r="F2062" t="str">
        <f>""</f>
        <v/>
      </c>
      <c r="H2062" t="str">
        <f t="shared" si="41"/>
        <v>MEDICARE TAXES</v>
      </c>
    </row>
    <row r="2063" spans="5:8" x14ac:dyDescent="0.25">
      <c r="E2063" t="str">
        <f>""</f>
        <v/>
      </c>
      <c r="F2063" t="str">
        <f>""</f>
        <v/>
      </c>
      <c r="H2063" t="str">
        <f t="shared" si="41"/>
        <v>MEDICARE TAXES</v>
      </c>
    </row>
    <row r="2064" spans="5:8" x14ac:dyDescent="0.25">
      <c r="E2064" t="str">
        <f>""</f>
        <v/>
      </c>
      <c r="F2064" t="str">
        <f>""</f>
        <v/>
      </c>
      <c r="H2064" t="str">
        <f t="shared" si="41"/>
        <v>MEDICARE TAXES</v>
      </c>
    </row>
    <row r="2065" spans="5:8" x14ac:dyDescent="0.25">
      <c r="E2065" t="str">
        <f>""</f>
        <v/>
      </c>
      <c r="F2065" t="str">
        <f>""</f>
        <v/>
      </c>
      <c r="H2065" t="str">
        <f t="shared" si="41"/>
        <v>MEDICARE TAXES</v>
      </c>
    </row>
    <row r="2066" spans="5:8" x14ac:dyDescent="0.25">
      <c r="E2066" t="str">
        <f>""</f>
        <v/>
      </c>
      <c r="F2066" t="str">
        <f>""</f>
        <v/>
      </c>
      <c r="H2066" t="str">
        <f t="shared" si="41"/>
        <v>MEDICARE TAXES</v>
      </c>
    </row>
    <row r="2067" spans="5:8" x14ac:dyDescent="0.25">
      <c r="E2067" t="str">
        <f>""</f>
        <v/>
      </c>
      <c r="F2067" t="str">
        <f>""</f>
        <v/>
      </c>
      <c r="H2067" t="str">
        <f t="shared" si="41"/>
        <v>MEDICARE TAXES</v>
      </c>
    </row>
    <row r="2068" spans="5:8" x14ac:dyDescent="0.25">
      <c r="E2068" t="str">
        <f>""</f>
        <v/>
      </c>
      <c r="F2068" t="str">
        <f>""</f>
        <v/>
      </c>
      <c r="H2068" t="str">
        <f t="shared" si="41"/>
        <v>MEDICARE TAXES</v>
      </c>
    </row>
    <row r="2069" spans="5:8" x14ac:dyDescent="0.25">
      <c r="E2069" t="str">
        <f>""</f>
        <v/>
      </c>
      <c r="F2069" t="str">
        <f>""</f>
        <v/>
      </c>
      <c r="H2069" t="str">
        <f t="shared" si="41"/>
        <v>MEDICARE TAXES</v>
      </c>
    </row>
    <row r="2070" spans="5:8" x14ac:dyDescent="0.25">
      <c r="E2070" t="str">
        <f>""</f>
        <v/>
      </c>
      <c r="F2070" t="str">
        <f>""</f>
        <v/>
      </c>
      <c r="H2070" t="str">
        <f t="shared" si="41"/>
        <v>MEDICARE TAXES</v>
      </c>
    </row>
    <row r="2071" spans="5:8" x14ac:dyDescent="0.25">
      <c r="E2071" t="str">
        <f>""</f>
        <v/>
      </c>
      <c r="F2071" t="str">
        <f>""</f>
        <v/>
      </c>
      <c r="H2071" t="str">
        <f t="shared" si="41"/>
        <v>MEDICARE TAXES</v>
      </c>
    </row>
    <row r="2072" spans="5:8" x14ac:dyDescent="0.25">
      <c r="E2072" t="str">
        <f>""</f>
        <v/>
      </c>
      <c r="F2072" t="str">
        <f>""</f>
        <v/>
      </c>
      <c r="H2072" t="str">
        <f t="shared" si="41"/>
        <v>MEDICARE TAXES</v>
      </c>
    </row>
    <row r="2073" spans="5:8" x14ac:dyDescent="0.25">
      <c r="E2073" t="str">
        <f>""</f>
        <v/>
      </c>
      <c r="F2073" t="str">
        <f>""</f>
        <v/>
      </c>
      <c r="H2073" t="str">
        <f t="shared" si="41"/>
        <v>MEDICARE TAXES</v>
      </c>
    </row>
    <row r="2074" spans="5:8" x14ac:dyDescent="0.25">
      <c r="E2074" t="str">
        <f>""</f>
        <v/>
      </c>
      <c r="F2074" t="str">
        <f>""</f>
        <v/>
      </c>
      <c r="H2074" t="str">
        <f t="shared" si="41"/>
        <v>MEDICARE TAXES</v>
      </c>
    </row>
    <row r="2075" spans="5:8" x14ac:dyDescent="0.25">
      <c r="E2075" t="str">
        <f>""</f>
        <v/>
      </c>
      <c r="F2075" t="str">
        <f>""</f>
        <v/>
      </c>
      <c r="H2075" t="str">
        <f t="shared" si="41"/>
        <v>MEDICARE TAXES</v>
      </c>
    </row>
    <row r="2076" spans="5:8" x14ac:dyDescent="0.25">
      <c r="E2076" t="str">
        <f>""</f>
        <v/>
      </c>
      <c r="F2076" t="str">
        <f>""</f>
        <v/>
      </c>
      <c r="H2076" t="str">
        <f t="shared" si="41"/>
        <v>MEDICARE TAXES</v>
      </c>
    </row>
    <row r="2077" spans="5:8" x14ac:dyDescent="0.25">
      <c r="E2077" t="str">
        <f>"T4 202003045735"</f>
        <v>T4 202003045735</v>
      </c>
      <c r="F2077" t="str">
        <f>"MEDICARE TAXES"</f>
        <v>MEDICARE TAXES</v>
      </c>
      <c r="G2077" s="5">
        <v>1032.3399999999999</v>
      </c>
      <c r="H2077" t="str">
        <f t="shared" si="41"/>
        <v>MEDICARE TAXES</v>
      </c>
    </row>
    <row r="2078" spans="5:8" x14ac:dyDescent="0.25">
      <c r="E2078" t="str">
        <f>""</f>
        <v/>
      </c>
      <c r="F2078" t="str">
        <f>""</f>
        <v/>
      </c>
      <c r="H2078" t="str">
        <f t="shared" si="41"/>
        <v>MEDICARE TAXES</v>
      </c>
    </row>
    <row r="2079" spans="5:8" x14ac:dyDescent="0.25">
      <c r="E2079" t="str">
        <f>"T4 202003045736"</f>
        <v>T4 202003045736</v>
      </c>
      <c r="F2079" t="str">
        <f>"MEDICARE TAXES"</f>
        <v>MEDICARE TAXES</v>
      </c>
      <c r="G2079" s="5">
        <v>1203.28</v>
      </c>
      <c r="H2079" t="str">
        <f t="shared" si="41"/>
        <v>MEDICARE TAXES</v>
      </c>
    </row>
    <row r="2080" spans="5:8" x14ac:dyDescent="0.25">
      <c r="E2080" t="str">
        <f>""</f>
        <v/>
      </c>
      <c r="F2080" t="str">
        <f>""</f>
        <v/>
      </c>
      <c r="H2080" t="str">
        <f t="shared" si="41"/>
        <v>MEDICARE TAXES</v>
      </c>
    </row>
    <row r="2081" spans="1:8" x14ac:dyDescent="0.25">
      <c r="A2081" t="s">
        <v>446</v>
      </c>
      <c r="B2081">
        <v>452</v>
      </c>
      <c r="C2081" s="5">
        <v>247881.33</v>
      </c>
      <c r="D2081" s="1">
        <v>43910</v>
      </c>
      <c r="E2081" t="str">
        <f>"T1 202003186056"</f>
        <v>T1 202003186056</v>
      </c>
      <c r="F2081" t="str">
        <f>"FEDERAL WITHHOLDING"</f>
        <v>FEDERAL WITHHOLDING</v>
      </c>
      <c r="G2081" s="5">
        <v>83806.25</v>
      </c>
      <c r="H2081" t="str">
        <f>"FEDERAL WITHHOLDING"</f>
        <v>FEDERAL WITHHOLDING</v>
      </c>
    </row>
    <row r="2082" spans="1:8" x14ac:dyDescent="0.25">
      <c r="E2082" t="str">
        <f>"T1 202003186057"</f>
        <v>T1 202003186057</v>
      </c>
      <c r="F2082" t="str">
        <f>"FEDERAL WITHHOLDING"</f>
        <v>FEDERAL WITHHOLDING</v>
      </c>
      <c r="G2082" s="5">
        <v>3197.37</v>
      </c>
      <c r="H2082" t="str">
        <f>"FEDERAL WITHHOLDING"</f>
        <v>FEDERAL WITHHOLDING</v>
      </c>
    </row>
    <row r="2083" spans="1:8" x14ac:dyDescent="0.25">
      <c r="E2083" t="str">
        <f>"T1 202003186058"</f>
        <v>T1 202003186058</v>
      </c>
      <c r="F2083" t="str">
        <f>"FEDERAL WITHHOLDING"</f>
        <v>FEDERAL WITHHOLDING</v>
      </c>
      <c r="G2083" s="5">
        <v>3342.37</v>
      </c>
      <c r="H2083" t="str">
        <f>"FEDERAL WITHHOLDING"</f>
        <v>FEDERAL WITHHOLDING</v>
      </c>
    </row>
    <row r="2084" spans="1:8" x14ac:dyDescent="0.25">
      <c r="E2084" t="str">
        <f>"T3 202003186056"</f>
        <v>T3 202003186056</v>
      </c>
      <c r="F2084" t="str">
        <f>"SOCIAL SECURITY TAXES"</f>
        <v>SOCIAL SECURITY TAXES</v>
      </c>
      <c r="G2084" s="5">
        <v>118348.48</v>
      </c>
      <c r="H2084" t="str">
        <f t="shared" ref="H2084:H2115" si="42">"SOCIAL SECURITY TAXES"</f>
        <v>SOCIAL SECURITY TAXES</v>
      </c>
    </row>
    <row r="2085" spans="1:8" x14ac:dyDescent="0.25">
      <c r="E2085" t="str">
        <f>""</f>
        <v/>
      </c>
      <c r="F2085" t="str">
        <f>""</f>
        <v/>
      </c>
      <c r="H2085" t="str">
        <f t="shared" si="42"/>
        <v>SOCIAL SECURITY TAXES</v>
      </c>
    </row>
    <row r="2086" spans="1:8" x14ac:dyDescent="0.25">
      <c r="E2086" t="str">
        <f>""</f>
        <v/>
      </c>
      <c r="F2086" t="str">
        <f>""</f>
        <v/>
      </c>
      <c r="H2086" t="str">
        <f t="shared" si="42"/>
        <v>SOCIAL SECURITY TAXES</v>
      </c>
    </row>
    <row r="2087" spans="1:8" x14ac:dyDescent="0.25">
      <c r="E2087" t="str">
        <f>""</f>
        <v/>
      </c>
      <c r="F2087" t="str">
        <f>""</f>
        <v/>
      </c>
      <c r="H2087" t="str">
        <f t="shared" si="42"/>
        <v>SOCIAL SECURITY TAXES</v>
      </c>
    </row>
    <row r="2088" spans="1:8" x14ac:dyDescent="0.25">
      <c r="E2088" t="str">
        <f>""</f>
        <v/>
      </c>
      <c r="F2088" t="str">
        <f>""</f>
        <v/>
      </c>
      <c r="H2088" t="str">
        <f t="shared" si="42"/>
        <v>SOCIAL SECURITY TAXES</v>
      </c>
    </row>
    <row r="2089" spans="1:8" x14ac:dyDescent="0.25">
      <c r="E2089" t="str">
        <f>""</f>
        <v/>
      </c>
      <c r="F2089" t="str">
        <f>""</f>
        <v/>
      </c>
      <c r="H2089" t="str">
        <f t="shared" si="42"/>
        <v>SOCIAL SECURITY TAXES</v>
      </c>
    </row>
    <row r="2090" spans="1:8" x14ac:dyDescent="0.25">
      <c r="E2090" t="str">
        <f>""</f>
        <v/>
      </c>
      <c r="F2090" t="str">
        <f>""</f>
        <v/>
      </c>
      <c r="H2090" t="str">
        <f t="shared" si="42"/>
        <v>SOCIAL SECURITY TAXES</v>
      </c>
    </row>
    <row r="2091" spans="1:8" x14ac:dyDescent="0.25">
      <c r="E2091" t="str">
        <f>""</f>
        <v/>
      </c>
      <c r="F2091" t="str">
        <f>""</f>
        <v/>
      </c>
      <c r="H2091" t="str">
        <f t="shared" si="42"/>
        <v>SOCIAL SECURITY TAXES</v>
      </c>
    </row>
    <row r="2092" spans="1:8" x14ac:dyDescent="0.25">
      <c r="E2092" t="str">
        <f>""</f>
        <v/>
      </c>
      <c r="F2092" t="str">
        <f>""</f>
        <v/>
      </c>
      <c r="H2092" t="str">
        <f t="shared" si="42"/>
        <v>SOCIAL SECURITY TAXES</v>
      </c>
    </row>
    <row r="2093" spans="1:8" x14ac:dyDescent="0.25">
      <c r="E2093" t="str">
        <f>""</f>
        <v/>
      </c>
      <c r="F2093" t="str">
        <f>""</f>
        <v/>
      </c>
      <c r="H2093" t="str">
        <f t="shared" si="42"/>
        <v>SOCIAL SECURITY TAXES</v>
      </c>
    </row>
    <row r="2094" spans="1:8" x14ac:dyDescent="0.25">
      <c r="E2094" t="str">
        <f>""</f>
        <v/>
      </c>
      <c r="F2094" t="str">
        <f>""</f>
        <v/>
      </c>
      <c r="H2094" t="str">
        <f t="shared" si="42"/>
        <v>SOCIAL SECURITY TAXES</v>
      </c>
    </row>
    <row r="2095" spans="1:8" x14ac:dyDescent="0.25">
      <c r="E2095" t="str">
        <f>""</f>
        <v/>
      </c>
      <c r="F2095" t="str">
        <f>""</f>
        <v/>
      </c>
      <c r="H2095" t="str">
        <f t="shared" si="42"/>
        <v>SOCIAL SECURITY TAXES</v>
      </c>
    </row>
    <row r="2096" spans="1:8" x14ac:dyDescent="0.25">
      <c r="E2096" t="str">
        <f>""</f>
        <v/>
      </c>
      <c r="F2096" t="str">
        <f>""</f>
        <v/>
      </c>
      <c r="H2096" t="str">
        <f t="shared" si="42"/>
        <v>SOCIAL SECURITY TAXES</v>
      </c>
    </row>
    <row r="2097" spans="5:8" x14ac:dyDescent="0.25">
      <c r="E2097" t="str">
        <f>""</f>
        <v/>
      </c>
      <c r="F2097" t="str">
        <f>""</f>
        <v/>
      </c>
      <c r="H2097" t="str">
        <f t="shared" si="42"/>
        <v>SOCIAL SECURITY TAXES</v>
      </c>
    </row>
    <row r="2098" spans="5:8" x14ac:dyDescent="0.25">
      <c r="E2098" t="str">
        <f>""</f>
        <v/>
      </c>
      <c r="F2098" t="str">
        <f>""</f>
        <v/>
      </c>
      <c r="H2098" t="str">
        <f t="shared" si="42"/>
        <v>SOCIAL SECURITY TAXES</v>
      </c>
    </row>
    <row r="2099" spans="5:8" x14ac:dyDescent="0.25">
      <c r="E2099" t="str">
        <f>""</f>
        <v/>
      </c>
      <c r="F2099" t="str">
        <f>""</f>
        <v/>
      </c>
      <c r="H2099" t="str">
        <f t="shared" si="42"/>
        <v>SOCIAL SECURITY TAXES</v>
      </c>
    </row>
    <row r="2100" spans="5:8" x14ac:dyDescent="0.25">
      <c r="E2100" t="str">
        <f>""</f>
        <v/>
      </c>
      <c r="F2100" t="str">
        <f>""</f>
        <v/>
      </c>
      <c r="H2100" t="str">
        <f t="shared" si="42"/>
        <v>SOCIAL SECURITY TAXES</v>
      </c>
    </row>
    <row r="2101" spans="5:8" x14ac:dyDescent="0.25">
      <c r="E2101" t="str">
        <f>""</f>
        <v/>
      </c>
      <c r="F2101" t="str">
        <f>""</f>
        <v/>
      </c>
      <c r="H2101" t="str">
        <f t="shared" si="42"/>
        <v>SOCIAL SECURITY TAXES</v>
      </c>
    </row>
    <row r="2102" spans="5:8" x14ac:dyDescent="0.25">
      <c r="E2102" t="str">
        <f>""</f>
        <v/>
      </c>
      <c r="F2102" t="str">
        <f>""</f>
        <v/>
      </c>
      <c r="H2102" t="str">
        <f t="shared" si="42"/>
        <v>SOCIAL SECURITY TAXES</v>
      </c>
    </row>
    <row r="2103" spans="5:8" x14ac:dyDescent="0.25">
      <c r="E2103" t="str">
        <f>""</f>
        <v/>
      </c>
      <c r="F2103" t="str">
        <f>""</f>
        <v/>
      </c>
      <c r="H2103" t="str">
        <f t="shared" si="42"/>
        <v>SOCIAL SECURITY TAXES</v>
      </c>
    </row>
    <row r="2104" spans="5:8" x14ac:dyDescent="0.25">
      <c r="E2104" t="str">
        <f>""</f>
        <v/>
      </c>
      <c r="F2104" t="str">
        <f>""</f>
        <v/>
      </c>
      <c r="H2104" t="str">
        <f t="shared" si="42"/>
        <v>SOCIAL SECURITY TAXES</v>
      </c>
    </row>
    <row r="2105" spans="5:8" x14ac:dyDescent="0.25">
      <c r="E2105" t="str">
        <f>""</f>
        <v/>
      </c>
      <c r="F2105" t="str">
        <f>""</f>
        <v/>
      </c>
      <c r="H2105" t="str">
        <f t="shared" si="42"/>
        <v>SOCIAL SECURITY TAXES</v>
      </c>
    </row>
    <row r="2106" spans="5:8" x14ac:dyDescent="0.25">
      <c r="E2106" t="str">
        <f>""</f>
        <v/>
      </c>
      <c r="F2106" t="str">
        <f>""</f>
        <v/>
      </c>
      <c r="H2106" t="str">
        <f t="shared" si="42"/>
        <v>SOCIAL SECURITY TAXES</v>
      </c>
    </row>
    <row r="2107" spans="5:8" x14ac:dyDescent="0.25">
      <c r="E2107" t="str">
        <f>""</f>
        <v/>
      </c>
      <c r="F2107" t="str">
        <f>""</f>
        <v/>
      </c>
      <c r="H2107" t="str">
        <f t="shared" si="42"/>
        <v>SOCIAL SECURITY TAXES</v>
      </c>
    </row>
    <row r="2108" spans="5:8" x14ac:dyDescent="0.25">
      <c r="E2108" t="str">
        <f>""</f>
        <v/>
      </c>
      <c r="F2108" t="str">
        <f>""</f>
        <v/>
      </c>
      <c r="H2108" t="str">
        <f t="shared" si="42"/>
        <v>SOCIAL SECURITY TAXES</v>
      </c>
    </row>
    <row r="2109" spans="5:8" x14ac:dyDescent="0.25">
      <c r="E2109" t="str">
        <f>""</f>
        <v/>
      </c>
      <c r="F2109" t="str">
        <f>""</f>
        <v/>
      </c>
      <c r="H2109" t="str">
        <f t="shared" si="42"/>
        <v>SOCIAL SECURITY TAXES</v>
      </c>
    </row>
    <row r="2110" spans="5:8" x14ac:dyDescent="0.25">
      <c r="E2110" t="str">
        <f>""</f>
        <v/>
      </c>
      <c r="F2110" t="str">
        <f>""</f>
        <v/>
      </c>
      <c r="H2110" t="str">
        <f t="shared" si="42"/>
        <v>SOCIAL SECURITY TAXES</v>
      </c>
    </row>
    <row r="2111" spans="5:8" x14ac:dyDescent="0.25">
      <c r="E2111" t="str">
        <f>""</f>
        <v/>
      </c>
      <c r="F2111" t="str">
        <f>""</f>
        <v/>
      </c>
      <c r="H2111" t="str">
        <f t="shared" si="42"/>
        <v>SOCIAL SECURITY TAXES</v>
      </c>
    </row>
    <row r="2112" spans="5:8" x14ac:dyDescent="0.25">
      <c r="E2112" t="str">
        <f>""</f>
        <v/>
      </c>
      <c r="F2112" t="str">
        <f>""</f>
        <v/>
      </c>
      <c r="H2112" t="str">
        <f t="shared" si="42"/>
        <v>SOCIAL SECURITY TAXES</v>
      </c>
    </row>
    <row r="2113" spans="5:8" x14ac:dyDescent="0.25">
      <c r="E2113" t="str">
        <f>""</f>
        <v/>
      </c>
      <c r="F2113" t="str">
        <f>""</f>
        <v/>
      </c>
      <c r="H2113" t="str">
        <f t="shared" si="42"/>
        <v>SOCIAL SECURITY TAXES</v>
      </c>
    </row>
    <row r="2114" spans="5:8" x14ac:dyDescent="0.25">
      <c r="E2114" t="str">
        <f>""</f>
        <v/>
      </c>
      <c r="F2114" t="str">
        <f>""</f>
        <v/>
      </c>
      <c r="H2114" t="str">
        <f t="shared" si="42"/>
        <v>SOCIAL SECURITY TAXES</v>
      </c>
    </row>
    <row r="2115" spans="5:8" x14ac:dyDescent="0.25">
      <c r="E2115" t="str">
        <f>""</f>
        <v/>
      </c>
      <c r="F2115" t="str">
        <f>""</f>
        <v/>
      </c>
      <c r="H2115" t="str">
        <f t="shared" si="42"/>
        <v>SOCIAL SECURITY TAXES</v>
      </c>
    </row>
    <row r="2116" spans="5:8" x14ac:dyDescent="0.25">
      <c r="E2116" t="str">
        <f>""</f>
        <v/>
      </c>
      <c r="F2116" t="str">
        <f>""</f>
        <v/>
      </c>
      <c r="H2116" t="str">
        <f t="shared" ref="H2116:H2140" si="43">"SOCIAL SECURITY TAXES"</f>
        <v>SOCIAL SECURITY TAXES</v>
      </c>
    </row>
    <row r="2117" spans="5:8" x14ac:dyDescent="0.25">
      <c r="E2117" t="str">
        <f>""</f>
        <v/>
      </c>
      <c r="F2117" t="str">
        <f>""</f>
        <v/>
      </c>
      <c r="H2117" t="str">
        <f t="shared" si="43"/>
        <v>SOCIAL SECURITY TAXES</v>
      </c>
    </row>
    <row r="2118" spans="5:8" x14ac:dyDescent="0.25">
      <c r="E2118" t="str">
        <f>""</f>
        <v/>
      </c>
      <c r="F2118" t="str">
        <f>""</f>
        <v/>
      </c>
      <c r="H2118" t="str">
        <f t="shared" si="43"/>
        <v>SOCIAL SECURITY TAXES</v>
      </c>
    </row>
    <row r="2119" spans="5:8" x14ac:dyDescent="0.25">
      <c r="E2119" t="str">
        <f>""</f>
        <v/>
      </c>
      <c r="F2119" t="str">
        <f>""</f>
        <v/>
      </c>
      <c r="H2119" t="str">
        <f t="shared" si="43"/>
        <v>SOCIAL SECURITY TAXES</v>
      </c>
    </row>
    <row r="2120" spans="5:8" x14ac:dyDescent="0.25">
      <c r="E2120" t="str">
        <f>""</f>
        <v/>
      </c>
      <c r="F2120" t="str">
        <f>""</f>
        <v/>
      </c>
      <c r="H2120" t="str">
        <f t="shared" si="43"/>
        <v>SOCIAL SECURITY TAXES</v>
      </c>
    </row>
    <row r="2121" spans="5:8" x14ac:dyDescent="0.25">
      <c r="E2121" t="str">
        <f>""</f>
        <v/>
      </c>
      <c r="F2121" t="str">
        <f>""</f>
        <v/>
      </c>
      <c r="H2121" t="str">
        <f t="shared" si="43"/>
        <v>SOCIAL SECURITY TAXES</v>
      </c>
    </row>
    <row r="2122" spans="5:8" x14ac:dyDescent="0.25">
      <c r="E2122" t="str">
        <f>""</f>
        <v/>
      </c>
      <c r="F2122" t="str">
        <f>""</f>
        <v/>
      </c>
      <c r="H2122" t="str">
        <f t="shared" si="43"/>
        <v>SOCIAL SECURITY TAXES</v>
      </c>
    </row>
    <row r="2123" spans="5:8" x14ac:dyDescent="0.25">
      <c r="E2123" t="str">
        <f>""</f>
        <v/>
      </c>
      <c r="F2123" t="str">
        <f>""</f>
        <v/>
      </c>
      <c r="H2123" t="str">
        <f t="shared" si="43"/>
        <v>SOCIAL SECURITY TAXES</v>
      </c>
    </row>
    <row r="2124" spans="5:8" x14ac:dyDescent="0.25">
      <c r="E2124" t="str">
        <f>""</f>
        <v/>
      </c>
      <c r="F2124" t="str">
        <f>""</f>
        <v/>
      </c>
      <c r="H2124" t="str">
        <f t="shared" si="43"/>
        <v>SOCIAL SECURITY TAXES</v>
      </c>
    </row>
    <row r="2125" spans="5:8" x14ac:dyDescent="0.25">
      <c r="E2125" t="str">
        <f>""</f>
        <v/>
      </c>
      <c r="F2125" t="str">
        <f>""</f>
        <v/>
      </c>
      <c r="H2125" t="str">
        <f t="shared" si="43"/>
        <v>SOCIAL SECURITY TAXES</v>
      </c>
    </row>
    <row r="2126" spans="5:8" x14ac:dyDescent="0.25">
      <c r="E2126" t="str">
        <f>""</f>
        <v/>
      </c>
      <c r="F2126" t="str">
        <f>""</f>
        <v/>
      </c>
      <c r="H2126" t="str">
        <f t="shared" si="43"/>
        <v>SOCIAL SECURITY TAXES</v>
      </c>
    </row>
    <row r="2127" spans="5:8" x14ac:dyDescent="0.25">
      <c r="E2127" t="str">
        <f>""</f>
        <v/>
      </c>
      <c r="F2127" t="str">
        <f>""</f>
        <v/>
      </c>
      <c r="H2127" t="str">
        <f t="shared" si="43"/>
        <v>SOCIAL SECURITY TAXES</v>
      </c>
    </row>
    <row r="2128" spans="5:8" x14ac:dyDescent="0.25">
      <c r="E2128" t="str">
        <f>""</f>
        <v/>
      </c>
      <c r="F2128" t="str">
        <f>""</f>
        <v/>
      </c>
      <c r="H2128" t="str">
        <f t="shared" si="43"/>
        <v>SOCIAL SECURITY TAXES</v>
      </c>
    </row>
    <row r="2129" spans="5:8" x14ac:dyDescent="0.25">
      <c r="E2129" t="str">
        <f>""</f>
        <v/>
      </c>
      <c r="F2129" t="str">
        <f>""</f>
        <v/>
      </c>
      <c r="H2129" t="str">
        <f t="shared" si="43"/>
        <v>SOCIAL SECURITY TAXES</v>
      </c>
    </row>
    <row r="2130" spans="5:8" x14ac:dyDescent="0.25">
      <c r="E2130" t="str">
        <f>""</f>
        <v/>
      </c>
      <c r="F2130" t="str">
        <f>""</f>
        <v/>
      </c>
      <c r="H2130" t="str">
        <f t="shared" si="43"/>
        <v>SOCIAL SECURITY TAXES</v>
      </c>
    </row>
    <row r="2131" spans="5:8" x14ac:dyDescent="0.25">
      <c r="E2131" t="str">
        <f>""</f>
        <v/>
      </c>
      <c r="F2131" t="str">
        <f>""</f>
        <v/>
      </c>
      <c r="H2131" t="str">
        <f t="shared" si="43"/>
        <v>SOCIAL SECURITY TAXES</v>
      </c>
    </row>
    <row r="2132" spans="5:8" x14ac:dyDescent="0.25">
      <c r="E2132" t="str">
        <f>""</f>
        <v/>
      </c>
      <c r="F2132" t="str">
        <f>""</f>
        <v/>
      </c>
      <c r="H2132" t="str">
        <f t="shared" si="43"/>
        <v>SOCIAL SECURITY TAXES</v>
      </c>
    </row>
    <row r="2133" spans="5:8" x14ac:dyDescent="0.25">
      <c r="E2133" t="str">
        <f>""</f>
        <v/>
      </c>
      <c r="F2133" t="str">
        <f>""</f>
        <v/>
      </c>
      <c r="H2133" t="str">
        <f t="shared" si="43"/>
        <v>SOCIAL SECURITY TAXES</v>
      </c>
    </row>
    <row r="2134" spans="5:8" x14ac:dyDescent="0.25">
      <c r="E2134" t="str">
        <f>""</f>
        <v/>
      </c>
      <c r="F2134" t="str">
        <f>""</f>
        <v/>
      </c>
      <c r="H2134" t="str">
        <f t="shared" si="43"/>
        <v>SOCIAL SECURITY TAXES</v>
      </c>
    </row>
    <row r="2135" spans="5:8" x14ac:dyDescent="0.25">
      <c r="E2135" t="str">
        <f>""</f>
        <v/>
      </c>
      <c r="F2135" t="str">
        <f>""</f>
        <v/>
      </c>
      <c r="H2135" t="str">
        <f t="shared" si="43"/>
        <v>SOCIAL SECURITY TAXES</v>
      </c>
    </row>
    <row r="2136" spans="5:8" x14ac:dyDescent="0.25">
      <c r="E2136" t="str">
        <f>""</f>
        <v/>
      </c>
      <c r="F2136" t="str">
        <f>""</f>
        <v/>
      </c>
      <c r="H2136" t="str">
        <f t="shared" si="43"/>
        <v>SOCIAL SECURITY TAXES</v>
      </c>
    </row>
    <row r="2137" spans="5:8" x14ac:dyDescent="0.25">
      <c r="E2137" t="str">
        <f>"T3 202003186057"</f>
        <v>T3 202003186057</v>
      </c>
      <c r="F2137" t="str">
        <f>"SOCIAL SECURITY TAXES"</f>
        <v>SOCIAL SECURITY TAXES</v>
      </c>
      <c r="G2137" s="5">
        <v>4408.6000000000004</v>
      </c>
      <c r="H2137" t="str">
        <f t="shared" si="43"/>
        <v>SOCIAL SECURITY TAXES</v>
      </c>
    </row>
    <row r="2138" spans="5:8" x14ac:dyDescent="0.25">
      <c r="E2138" t="str">
        <f>""</f>
        <v/>
      </c>
      <c r="F2138" t="str">
        <f>""</f>
        <v/>
      </c>
      <c r="H2138" t="str">
        <f t="shared" si="43"/>
        <v>SOCIAL SECURITY TAXES</v>
      </c>
    </row>
    <row r="2139" spans="5:8" x14ac:dyDescent="0.25">
      <c r="E2139" t="str">
        <f>"T3 202003186058"</f>
        <v>T3 202003186058</v>
      </c>
      <c r="F2139" t="str">
        <f>"SOCIAL SECURITY TAXES"</f>
        <v>SOCIAL SECURITY TAXES</v>
      </c>
      <c r="G2139" s="5">
        <v>4918.68</v>
      </c>
      <c r="H2139" t="str">
        <f t="shared" si="43"/>
        <v>SOCIAL SECURITY TAXES</v>
      </c>
    </row>
    <row r="2140" spans="5:8" x14ac:dyDescent="0.25">
      <c r="E2140" t="str">
        <f>""</f>
        <v/>
      </c>
      <c r="F2140" t="str">
        <f>""</f>
        <v/>
      </c>
      <c r="H2140" t="str">
        <f t="shared" si="43"/>
        <v>SOCIAL SECURITY TAXES</v>
      </c>
    </row>
    <row r="2141" spans="5:8" x14ac:dyDescent="0.25">
      <c r="E2141" t="str">
        <f>"T4 202003186056"</f>
        <v>T4 202003186056</v>
      </c>
      <c r="F2141" t="str">
        <f>"MEDICARE TAXES"</f>
        <v>MEDICARE TAXES</v>
      </c>
      <c r="G2141" s="5">
        <v>27678.18</v>
      </c>
      <c r="H2141" t="str">
        <f t="shared" ref="H2141:H2172" si="44">"MEDICARE TAXES"</f>
        <v>MEDICARE TAXES</v>
      </c>
    </row>
    <row r="2142" spans="5:8" x14ac:dyDescent="0.25">
      <c r="E2142" t="str">
        <f>""</f>
        <v/>
      </c>
      <c r="F2142" t="str">
        <f>""</f>
        <v/>
      </c>
      <c r="H2142" t="str">
        <f t="shared" si="44"/>
        <v>MEDICARE TAXES</v>
      </c>
    </row>
    <row r="2143" spans="5:8" x14ac:dyDescent="0.25">
      <c r="E2143" t="str">
        <f>""</f>
        <v/>
      </c>
      <c r="F2143" t="str">
        <f>""</f>
        <v/>
      </c>
      <c r="H2143" t="str">
        <f t="shared" si="44"/>
        <v>MEDICARE TAXES</v>
      </c>
    </row>
    <row r="2144" spans="5:8" x14ac:dyDescent="0.25">
      <c r="E2144" t="str">
        <f>""</f>
        <v/>
      </c>
      <c r="F2144" t="str">
        <f>""</f>
        <v/>
      </c>
      <c r="H2144" t="str">
        <f t="shared" si="44"/>
        <v>MEDICARE TAXES</v>
      </c>
    </row>
    <row r="2145" spans="5:8" x14ac:dyDescent="0.25">
      <c r="E2145" t="str">
        <f>""</f>
        <v/>
      </c>
      <c r="F2145" t="str">
        <f>""</f>
        <v/>
      </c>
      <c r="H2145" t="str">
        <f t="shared" si="44"/>
        <v>MEDICARE TAXES</v>
      </c>
    </row>
    <row r="2146" spans="5:8" x14ac:dyDescent="0.25">
      <c r="E2146" t="str">
        <f>""</f>
        <v/>
      </c>
      <c r="F2146" t="str">
        <f>""</f>
        <v/>
      </c>
      <c r="H2146" t="str">
        <f t="shared" si="44"/>
        <v>MEDICARE TAXES</v>
      </c>
    </row>
    <row r="2147" spans="5:8" x14ac:dyDescent="0.25">
      <c r="E2147" t="str">
        <f>""</f>
        <v/>
      </c>
      <c r="F2147" t="str">
        <f>""</f>
        <v/>
      </c>
      <c r="H2147" t="str">
        <f t="shared" si="44"/>
        <v>MEDICARE TAXES</v>
      </c>
    </row>
    <row r="2148" spans="5:8" x14ac:dyDescent="0.25">
      <c r="E2148" t="str">
        <f>""</f>
        <v/>
      </c>
      <c r="F2148" t="str">
        <f>""</f>
        <v/>
      </c>
      <c r="H2148" t="str">
        <f t="shared" si="44"/>
        <v>MEDICARE TAXES</v>
      </c>
    </row>
    <row r="2149" spans="5:8" x14ac:dyDescent="0.25">
      <c r="E2149" t="str">
        <f>""</f>
        <v/>
      </c>
      <c r="F2149" t="str">
        <f>""</f>
        <v/>
      </c>
      <c r="H2149" t="str">
        <f t="shared" si="44"/>
        <v>MEDICARE TAXES</v>
      </c>
    </row>
    <row r="2150" spans="5:8" x14ac:dyDescent="0.25">
      <c r="E2150" t="str">
        <f>""</f>
        <v/>
      </c>
      <c r="F2150" t="str">
        <f>""</f>
        <v/>
      </c>
      <c r="H2150" t="str">
        <f t="shared" si="44"/>
        <v>MEDICARE TAXES</v>
      </c>
    </row>
    <row r="2151" spans="5:8" x14ac:dyDescent="0.25">
      <c r="E2151" t="str">
        <f>""</f>
        <v/>
      </c>
      <c r="F2151" t="str">
        <f>""</f>
        <v/>
      </c>
      <c r="H2151" t="str">
        <f t="shared" si="44"/>
        <v>MEDICARE TAXES</v>
      </c>
    </row>
    <row r="2152" spans="5:8" x14ac:dyDescent="0.25">
      <c r="E2152" t="str">
        <f>""</f>
        <v/>
      </c>
      <c r="F2152" t="str">
        <f>""</f>
        <v/>
      </c>
      <c r="H2152" t="str">
        <f t="shared" si="44"/>
        <v>MEDICARE TAXES</v>
      </c>
    </row>
    <row r="2153" spans="5:8" x14ac:dyDescent="0.25">
      <c r="E2153" t="str">
        <f>""</f>
        <v/>
      </c>
      <c r="F2153" t="str">
        <f>""</f>
        <v/>
      </c>
      <c r="H2153" t="str">
        <f t="shared" si="44"/>
        <v>MEDICARE TAXES</v>
      </c>
    </row>
    <row r="2154" spans="5:8" x14ac:dyDescent="0.25">
      <c r="E2154" t="str">
        <f>""</f>
        <v/>
      </c>
      <c r="F2154" t="str">
        <f>""</f>
        <v/>
      </c>
      <c r="H2154" t="str">
        <f t="shared" si="44"/>
        <v>MEDICARE TAXES</v>
      </c>
    </row>
    <row r="2155" spans="5:8" x14ac:dyDescent="0.25">
      <c r="E2155" t="str">
        <f>""</f>
        <v/>
      </c>
      <c r="F2155" t="str">
        <f>""</f>
        <v/>
      </c>
      <c r="H2155" t="str">
        <f t="shared" si="44"/>
        <v>MEDICARE TAXES</v>
      </c>
    </row>
    <row r="2156" spans="5:8" x14ac:dyDescent="0.25">
      <c r="E2156" t="str">
        <f>""</f>
        <v/>
      </c>
      <c r="F2156" t="str">
        <f>""</f>
        <v/>
      </c>
      <c r="H2156" t="str">
        <f t="shared" si="44"/>
        <v>MEDICARE TAXES</v>
      </c>
    </row>
    <row r="2157" spans="5:8" x14ac:dyDescent="0.25">
      <c r="E2157" t="str">
        <f>""</f>
        <v/>
      </c>
      <c r="F2157" t="str">
        <f>""</f>
        <v/>
      </c>
      <c r="H2157" t="str">
        <f t="shared" si="44"/>
        <v>MEDICARE TAXES</v>
      </c>
    </row>
    <row r="2158" spans="5:8" x14ac:dyDescent="0.25">
      <c r="E2158" t="str">
        <f>""</f>
        <v/>
      </c>
      <c r="F2158" t="str">
        <f>""</f>
        <v/>
      </c>
      <c r="H2158" t="str">
        <f t="shared" si="44"/>
        <v>MEDICARE TAXES</v>
      </c>
    </row>
    <row r="2159" spans="5:8" x14ac:dyDescent="0.25">
      <c r="E2159" t="str">
        <f>""</f>
        <v/>
      </c>
      <c r="F2159" t="str">
        <f>""</f>
        <v/>
      </c>
      <c r="H2159" t="str">
        <f t="shared" si="44"/>
        <v>MEDICARE TAXES</v>
      </c>
    </row>
    <row r="2160" spans="5:8" x14ac:dyDescent="0.25">
      <c r="E2160" t="str">
        <f>""</f>
        <v/>
      </c>
      <c r="F2160" t="str">
        <f>""</f>
        <v/>
      </c>
      <c r="H2160" t="str">
        <f t="shared" si="44"/>
        <v>MEDICARE TAXES</v>
      </c>
    </row>
    <row r="2161" spans="5:8" x14ac:dyDescent="0.25">
      <c r="E2161" t="str">
        <f>""</f>
        <v/>
      </c>
      <c r="F2161" t="str">
        <f>""</f>
        <v/>
      </c>
      <c r="H2161" t="str">
        <f t="shared" si="44"/>
        <v>MEDICARE TAXES</v>
      </c>
    </row>
    <row r="2162" spans="5:8" x14ac:dyDescent="0.25">
      <c r="E2162" t="str">
        <f>""</f>
        <v/>
      </c>
      <c r="F2162" t="str">
        <f>""</f>
        <v/>
      </c>
      <c r="H2162" t="str">
        <f t="shared" si="44"/>
        <v>MEDICARE TAXES</v>
      </c>
    </row>
    <row r="2163" spans="5:8" x14ac:dyDescent="0.25">
      <c r="E2163" t="str">
        <f>""</f>
        <v/>
      </c>
      <c r="F2163" t="str">
        <f>""</f>
        <v/>
      </c>
      <c r="H2163" t="str">
        <f t="shared" si="44"/>
        <v>MEDICARE TAXES</v>
      </c>
    </row>
    <row r="2164" spans="5:8" x14ac:dyDescent="0.25">
      <c r="E2164" t="str">
        <f>""</f>
        <v/>
      </c>
      <c r="F2164" t="str">
        <f>""</f>
        <v/>
      </c>
      <c r="H2164" t="str">
        <f t="shared" si="44"/>
        <v>MEDICARE TAXES</v>
      </c>
    </row>
    <row r="2165" spans="5:8" x14ac:dyDescent="0.25">
      <c r="E2165" t="str">
        <f>""</f>
        <v/>
      </c>
      <c r="F2165" t="str">
        <f>""</f>
        <v/>
      </c>
      <c r="H2165" t="str">
        <f t="shared" si="44"/>
        <v>MEDICARE TAXES</v>
      </c>
    </row>
    <row r="2166" spans="5:8" x14ac:dyDescent="0.25">
      <c r="E2166" t="str">
        <f>""</f>
        <v/>
      </c>
      <c r="F2166" t="str">
        <f>""</f>
        <v/>
      </c>
      <c r="H2166" t="str">
        <f t="shared" si="44"/>
        <v>MEDICARE TAXES</v>
      </c>
    </row>
    <row r="2167" spans="5:8" x14ac:dyDescent="0.25">
      <c r="E2167" t="str">
        <f>""</f>
        <v/>
      </c>
      <c r="F2167" t="str">
        <f>""</f>
        <v/>
      </c>
      <c r="H2167" t="str">
        <f t="shared" si="44"/>
        <v>MEDICARE TAXES</v>
      </c>
    </row>
    <row r="2168" spans="5:8" x14ac:dyDescent="0.25">
      <c r="E2168" t="str">
        <f>""</f>
        <v/>
      </c>
      <c r="F2168" t="str">
        <f>""</f>
        <v/>
      </c>
      <c r="H2168" t="str">
        <f t="shared" si="44"/>
        <v>MEDICARE TAXES</v>
      </c>
    </row>
    <row r="2169" spans="5:8" x14ac:dyDescent="0.25">
      <c r="E2169" t="str">
        <f>""</f>
        <v/>
      </c>
      <c r="F2169" t="str">
        <f>""</f>
        <v/>
      </c>
      <c r="H2169" t="str">
        <f t="shared" si="44"/>
        <v>MEDICARE TAXES</v>
      </c>
    </row>
    <row r="2170" spans="5:8" x14ac:dyDescent="0.25">
      <c r="E2170" t="str">
        <f>""</f>
        <v/>
      </c>
      <c r="F2170" t="str">
        <f>""</f>
        <v/>
      </c>
      <c r="H2170" t="str">
        <f t="shared" si="44"/>
        <v>MEDICARE TAXES</v>
      </c>
    </row>
    <row r="2171" spans="5:8" x14ac:dyDescent="0.25">
      <c r="E2171" t="str">
        <f>""</f>
        <v/>
      </c>
      <c r="F2171" t="str">
        <f>""</f>
        <v/>
      </c>
      <c r="H2171" t="str">
        <f t="shared" si="44"/>
        <v>MEDICARE TAXES</v>
      </c>
    </row>
    <row r="2172" spans="5:8" x14ac:dyDescent="0.25">
      <c r="E2172" t="str">
        <f>""</f>
        <v/>
      </c>
      <c r="F2172" t="str">
        <f>""</f>
        <v/>
      </c>
      <c r="H2172" t="str">
        <f t="shared" si="44"/>
        <v>MEDICARE TAXES</v>
      </c>
    </row>
    <row r="2173" spans="5:8" x14ac:dyDescent="0.25">
      <c r="E2173" t="str">
        <f>""</f>
        <v/>
      </c>
      <c r="F2173" t="str">
        <f>""</f>
        <v/>
      </c>
      <c r="H2173" t="str">
        <f t="shared" ref="H2173:H2197" si="45">"MEDICARE TAXES"</f>
        <v>MEDICARE TAXES</v>
      </c>
    </row>
    <row r="2174" spans="5:8" x14ac:dyDescent="0.25">
      <c r="E2174" t="str">
        <f>""</f>
        <v/>
      </c>
      <c r="F2174" t="str">
        <f>""</f>
        <v/>
      </c>
      <c r="H2174" t="str">
        <f t="shared" si="45"/>
        <v>MEDICARE TAXES</v>
      </c>
    </row>
    <row r="2175" spans="5:8" x14ac:dyDescent="0.25">
      <c r="E2175" t="str">
        <f>""</f>
        <v/>
      </c>
      <c r="F2175" t="str">
        <f>""</f>
        <v/>
      </c>
      <c r="H2175" t="str">
        <f t="shared" si="45"/>
        <v>MEDICARE TAXES</v>
      </c>
    </row>
    <row r="2176" spans="5:8" x14ac:dyDescent="0.25">
      <c r="E2176" t="str">
        <f>""</f>
        <v/>
      </c>
      <c r="F2176" t="str">
        <f>""</f>
        <v/>
      </c>
      <c r="H2176" t="str">
        <f t="shared" si="45"/>
        <v>MEDICARE TAXES</v>
      </c>
    </row>
    <row r="2177" spans="5:8" x14ac:dyDescent="0.25">
      <c r="E2177" t="str">
        <f>""</f>
        <v/>
      </c>
      <c r="F2177" t="str">
        <f>""</f>
        <v/>
      </c>
      <c r="H2177" t="str">
        <f t="shared" si="45"/>
        <v>MEDICARE TAXES</v>
      </c>
    </row>
    <row r="2178" spans="5:8" x14ac:dyDescent="0.25">
      <c r="E2178" t="str">
        <f>""</f>
        <v/>
      </c>
      <c r="F2178" t="str">
        <f>""</f>
        <v/>
      </c>
      <c r="H2178" t="str">
        <f t="shared" si="45"/>
        <v>MEDICARE TAXES</v>
      </c>
    </row>
    <row r="2179" spans="5:8" x14ac:dyDescent="0.25">
      <c r="E2179" t="str">
        <f>""</f>
        <v/>
      </c>
      <c r="F2179" t="str">
        <f>""</f>
        <v/>
      </c>
      <c r="H2179" t="str">
        <f t="shared" si="45"/>
        <v>MEDICARE TAXES</v>
      </c>
    </row>
    <row r="2180" spans="5:8" x14ac:dyDescent="0.25">
      <c r="E2180" t="str">
        <f>""</f>
        <v/>
      </c>
      <c r="F2180" t="str">
        <f>""</f>
        <v/>
      </c>
      <c r="H2180" t="str">
        <f t="shared" si="45"/>
        <v>MEDICARE TAXES</v>
      </c>
    </row>
    <row r="2181" spans="5:8" x14ac:dyDescent="0.25">
      <c r="E2181" t="str">
        <f>""</f>
        <v/>
      </c>
      <c r="F2181" t="str">
        <f>""</f>
        <v/>
      </c>
      <c r="H2181" t="str">
        <f t="shared" si="45"/>
        <v>MEDICARE TAXES</v>
      </c>
    </row>
    <row r="2182" spans="5:8" x14ac:dyDescent="0.25">
      <c r="E2182" t="str">
        <f>""</f>
        <v/>
      </c>
      <c r="F2182" t="str">
        <f>""</f>
        <v/>
      </c>
      <c r="H2182" t="str">
        <f t="shared" si="45"/>
        <v>MEDICARE TAXES</v>
      </c>
    </row>
    <row r="2183" spans="5:8" x14ac:dyDescent="0.25">
      <c r="E2183" t="str">
        <f>""</f>
        <v/>
      </c>
      <c r="F2183" t="str">
        <f>""</f>
        <v/>
      </c>
      <c r="H2183" t="str">
        <f t="shared" si="45"/>
        <v>MEDICARE TAXES</v>
      </c>
    </row>
    <row r="2184" spans="5:8" x14ac:dyDescent="0.25">
      <c r="E2184" t="str">
        <f>""</f>
        <v/>
      </c>
      <c r="F2184" t="str">
        <f>""</f>
        <v/>
      </c>
      <c r="H2184" t="str">
        <f t="shared" si="45"/>
        <v>MEDICARE TAXES</v>
      </c>
    </row>
    <row r="2185" spans="5:8" x14ac:dyDescent="0.25">
      <c r="E2185" t="str">
        <f>""</f>
        <v/>
      </c>
      <c r="F2185" t="str">
        <f>""</f>
        <v/>
      </c>
      <c r="H2185" t="str">
        <f t="shared" si="45"/>
        <v>MEDICARE TAXES</v>
      </c>
    </row>
    <row r="2186" spans="5:8" x14ac:dyDescent="0.25">
      <c r="E2186" t="str">
        <f>""</f>
        <v/>
      </c>
      <c r="F2186" t="str">
        <f>""</f>
        <v/>
      </c>
      <c r="H2186" t="str">
        <f t="shared" si="45"/>
        <v>MEDICARE TAXES</v>
      </c>
    </row>
    <row r="2187" spans="5:8" x14ac:dyDescent="0.25">
      <c r="E2187" t="str">
        <f>""</f>
        <v/>
      </c>
      <c r="F2187" t="str">
        <f>""</f>
        <v/>
      </c>
      <c r="H2187" t="str">
        <f t="shared" si="45"/>
        <v>MEDICARE TAXES</v>
      </c>
    </row>
    <row r="2188" spans="5:8" x14ac:dyDescent="0.25">
      <c r="E2188" t="str">
        <f>""</f>
        <v/>
      </c>
      <c r="F2188" t="str">
        <f>""</f>
        <v/>
      </c>
      <c r="H2188" t="str">
        <f t="shared" si="45"/>
        <v>MEDICARE TAXES</v>
      </c>
    </row>
    <row r="2189" spans="5:8" x14ac:dyDescent="0.25">
      <c r="E2189" t="str">
        <f>""</f>
        <v/>
      </c>
      <c r="F2189" t="str">
        <f>""</f>
        <v/>
      </c>
      <c r="H2189" t="str">
        <f t="shared" si="45"/>
        <v>MEDICARE TAXES</v>
      </c>
    </row>
    <row r="2190" spans="5:8" x14ac:dyDescent="0.25">
      <c r="E2190" t="str">
        <f>""</f>
        <v/>
      </c>
      <c r="F2190" t="str">
        <f>""</f>
        <v/>
      </c>
      <c r="H2190" t="str">
        <f t="shared" si="45"/>
        <v>MEDICARE TAXES</v>
      </c>
    </row>
    <row r="2191" spans="5:8" x14ac:dyDescent="0.25">
      <c r="E2191" t="str">
        <f>""</f>
        <v/>
      </c>
      <c r="F2191" t="str">
        <f>""</f>
        <v/>
      </c>
      <c r="H2191" t="str">
        <f t="shared" si="45"/>
        <v>MEDICARE TAXES</v>
      </c>
    </row>
    <row r="2192" spans="5:8" x14ac:dyDescent="0.25">
      <c r="E2192" t="str">
        <f>""</f>
        <v/>
      </c>
      <c r="F2192" t="str">
        <f>""</f>
        <v/>
      </c>
      <c r="H2192" t="str">
        <f t="shared" si="45"/>
        <v>MEDICARE TAXES</v>
      </c>
    </row>
    <row r="2193" spans="1:8" x14ac:dyDescent="0.25">
      <c r="E2193" t="str">
        <f>""</f>
        <v/>
      </c>
      <c r="F2193" t="str">
        <f>""</f>
        <v/>
      </c>
      <c r="H2193" t="str">
        <f t="shared" si="45"/>
        <v>MEDICARE TAXES</v>
      </c>
    </row>
    <row r="2194" spans="1:8" x14ac:dyDescent="0.25">
      <c r="E2194" t="str">
        <f>"T4 202003186057"</f>
        <v>T4 202003186057</v>
      </c>
      <c r="F2194" t="str">
        <f>"MEDICARE TAXES"</f>
        <v>MEDICARE TAXES</v>
      </c>
      <c r="G2194" s="5">
        <v>1031.06</v>
      </c>
      <c r="H2194" t="str">
        <f t="shared" si="45"/>
        <v>MEDICARE TAXES</v>
      </c>
    </row>
    <row r="2195" spans="1:8" x14ac:dyDescent="0.25">
      <c r="E2195" t="str">
        <f>""</f>
        <v/>
      </c>
      <c r="F2195" t="str">
        <f>""</f>
        <v/>
      </c>
      <c r="H2195" t="str">
        <f t="shared" si="45"/>
        <v>MEDICARE TAXES</v>
      </c>
    </row>
    <row r="2196" spans="1:8" x14ac:dyDescent="0.25">
      <c r="E2196" t="str">
        <f>"T4 202003186058"</f>
        <v>T4 202003186058</v>
      </c>
      <c r="F2196" t="str">
        <f>"MEDICARE TAXES"</f>
        <v>MEDICARE TAXES</v>
      </c>
      <c r="G2196" s="5">
        <v>1150.3399999999999</v>
      </c>
      <c r="H2196" t="str">
        <f t="shared" si="45"/>
        <v>MEDICARE TAXES</v>
      </c>
    </row>
    <row r="2197" spans="1:8" x14ac:dyDescent="0.25">
      <c r="E2197" t="str">
        <f>""</f>
        <v/>
      </c>
      <c r="F2197" t="str">
        <f>""</f>
        <v/>
      </c>
      <c r="H2197" t="str">
        <f t="shared" si="45"/>
        <v>MEDICARE TAXES</v>
      </c>
    </row>
    <row r="2198" spans="1:8" x14ac:dyDescent="0.25">
      <c r="A2198" t="s">
        <v>447</v>
      </c>
      <c r="B2198">
        <v>463</v>
      </c>
      <c r="C2198" s="5">
        <v>535.82000000000005</v>
      </c>
      <c r="D2198" s="1">
        <v>43917</v>
      </c>
      <c r="E2198" t="str">
        <f>"LIX202003035702"</f>
        <v>LIX202003035702</v>
      </c>
      <c r="F2198" t="str">
        <f>"TEXAS LIFE/OLIVO GROUP"</f>
        <v>TEXAS LIFE/OLIVO GROUP</v>
      </c>
      <c r="G2198" s="5">
        <v>267.91000000000003</v>
      </c>
      <c r="H2198" t="str">
        <f>"TEXAS LIFE/OLIVO GROUP"</f>
        <v>TEXAS LIFE/OLIVO GROUP</v>
      </c>
    </row>
    <row r="2199" spans="1:8" x14ac:dyDescent="0.25">
      <c r="E2199" t="str">
        <f>"LIX202003186056"</f>
        <v>LIX202003186056</v>
      </c>
      <c r="F2199" t="str">
        <f>"TEXAS LIFE/OLIVO GROUP"</f>
        <v>TEXAS LIFE/OLIVO GROUP</v>
      </c>
      <c r="G2199" s="5">
        <v>267.91000000000003</v>
      </c>
      <c r="H2199" t="str">
        <f>"TEXAS LIFE/OLIVO GROUP"</f>
        <v>TEXAS LIFE/OLIVO GROUP</v>
      </c>
    </row>
    <row r="2200" spans="1:8" x14ac:dyDescent="0.25">
      <c r="A2200" t="s">
        <v>448</v>
      </c>
      <c r="B2200">
        <v>47877</v>
      </c>
      <c r="C2200" s="5">
        <v>80</v>
      </c>
      <c r="D2200" s="1">
        <v>43917</v>
      </c>
      <c r="E2200" t="str">
        <f>"PHI202003035702"</f>
        <v>PHI202003035702</v>
      </c>
      <c r="F2200" t="str">
        <f>"PHI AIR"</f>
        <v>PHI AIR</v>
      </c>
      <c r="G2200" s="5">
        <v>40</v>
      </c>
      <c r="H2200" t="str">
        <f>"PHI AIR"</f>
        <v>PHI AIR</v>
      </c>
    </row>
    <row r="2201" spans="1:8" x14ac:dyDescent="0.25">
      <c r="E2201" t="str">
        <f>"PHI202003186056"</f>
        <v>PHI202003186056</v>
      </c>
      <c r="F2201" t="str">
        <f>"PHI AIR"</f>
        <v>PHI AIR</v>
      </c>
      <c r="G2201" s="5">
        <v>40</v>
      </c>
      <c r="H2201" t="str">
        <f>"PHI AIR"</f>
        <v>PHI AIR</v>
      </c>
    </row>
    <row r="2202" spans="1:8" x14ac:dyDescent="0.25">
      <c r="A2202" t="s">
        <v>449</v>
      </c>
      <c r="B2202">
        <v>47876</v>
      </c>
      <c r="C2202" s="5">
        <v>366272.38</v>
      </c>
      <c r="D2202" s="1">
        <v>43917</v>
      </c>
      <c r="E2202" t="str">
        <f>"202003266108"</f>
        <v>202003266108</v>
      </c>
      <c r="F2202" t="str">
        <f>"RETIREE MARCH 2020"</f>
        <v>RETIREE MARCH 2020</v>
      </c>
      <c r="G2202" s="5">
        <v>16818.88</v>
      </c>
      <c r="H2202" t="str">
        <f>"RETIREE MARCH 2020"</f>
        <v>RETIREE MARCH 2020</v>
      </c>
    </row>
    <row r="2203" spans="1:8" x14ac:dyDescent="0.25">
      <c r="E2203" t="str">
        <f>"202003266109"</f>
        <v>202003266109</v>
      </c>
      <c r="F2203" t="str">
        <f>"DOVIE WOLF CREDIT BACK"</f>
        <v>DOVIE WOLF CREDIT BACK</v>
      </c>
      <c r="G2203" s="5">
        <v>331.88</v>
      </c>
      <c r="H2203" t="str">
        <f>"TAC HEALTH BENEFITS POOL"</f>
        <v>TAC HEALTH BENEFITS POOL</v>
      </c>
    </row>
    <row r="2204" spans="1:8" x14ac:dyDescent="0.25">
      <c r="E2204" t="str">
        <f>"2EC202003035702"</f>
        <v>2EC202003035702</v>
      </c>
      <c r="F2204" t="str">
        <f>"BCBS PAYABLE"</f>
        <v>BCBS PAYABLE</v>
      </c>
      <c r="G2204" s="5">
        <v>48344.480000000003</v>
      </c>
      <c r="H2204" t="str">
        <f t="shared" ref="H2204:H2235" si="46">"BCBS PAYABLE"</f>
        <v>BCBS PAYABLE</v>
      </c>
    </row>
    <row r="2205" spans="1:8" x14ac:dyDescent="0.25">
      <c r="E2205" t="str">
        <f>""</f>
        <v/>
      </c>
      <c r="F2205" t="str">
        <f>""</f>
        <v/>
      </c>
      <c r="H2205" t="str">
        <f t="shared" si="46"/>
        <v>BCBS PAYABLE</v>
      </c>
    </row>
    <row r="2206" spans="1:8" x14ac:dyDescent="0.25">
      <c r="E2206" t="str">
        <f>""</f>
        <v/>
      </c>
      <c r="F2206" t="str">
        <f>""</f>
        <v/>
      </c>
      <c r="H2206" t="str">
        <f t="shared" si="46"/>
        <v>BCBS PAYABLE</v>
      </c>
    </row>
    <row r="2207" spans="1:8" x14ac:dyDescent="0.25">
      <c r="E2207" t="str">
        <f>""</f>
        <v/>
      </c>
      <c r="F2207" t="str">
        <f>""</f>
        <v/>
      </c>
      <c r="H2207" t="str">
        <f t="shared" si="46"/>
        <v>BCBS PAYABLE</v>
      </c>
    </row>
    <row r="2208" spans="1:8" x14ac:dyDescent="0.25">
      <c r="E2208" t="str">
        <f>""</f>
        <v/>
      </c>
      <c r="F2208" t="str">
        <f>""</f>
        <v/>
      </c>
      <c r="H2208" t="str">
        <f t="shared" si="46"/>
        <v>BCBS PAYABLE</v>
      </c>
    </row>
    <row r="2209" spans="5:8" x14ac:dyDescent="0.25">
      <c r="E2209" t="str">
        <f>""</f>
        <v/>
      </c>
      <c r="F2209" t="str">
        <f>""</f>
        <v/>
      </c>
      <c r="H2209" t="str">
        <f t="shared" si="46"/>
        <v>BCBS PAYABLE</v>
      </c>
    </row>
    <row r="2210" spans="5:8" x14ac:dyDescent="0.25">
      <c r="E2210" t="str">
        <f>""</f>
        <v/>
      </c>
      <c r="F2210" t="str">
        <f>""</f>
        <v/>
      </c>
      <c r="H2210" t="str">
        <f t="shared" si="46"/>
        <v>BCBS PAYABLE</v>
      </c>
    </row>
    <row r="2211" spans="5:8" x14ac:dyDescent="0.25">
      <c r="E2211" t="str">
        <f>""</f>
        <v/>
      </c>
      <c r="F2211" t="str">
        <f>""</f>
        <v/>
      </c>
      <c r="H2211" t="str">
        <f t="shared" si="46"/>
        <v>BCBS PAYABLE</v>
      </c>
    </row>
    <row r="2212" spans="5:8" x14ac:dyDescent="0.25">
      <c r="E2212" t="str">
        <f>""</f>
        <v/>
      </c>
      <c r="F2212" t="str">
        <f>""</f>
        <v/>
      </c>
      <c r="H2212" t="str">
        <f t="shared" si="46"/>
        <v>BCBS PAYABLE</v>
      </c>
    </row>
    <row r="2213" spans="5:8" x14ac:dyDescent="0.25">
      <c r="E2213" t="str">
        <f>""</f>
        <v/>
      </c>
      <c r="F2213" t="str">
        <f>""</f>
        <v/>
      </c>
      <c r="H2213" t="str">
        <f t="shared" si="46"/>
        <v>BCBS PAYABLE</v>
      </c>
    </row>
    <row r="2214" spans="5:8" x14ac:dyDescent="0.25">
      <c r="E2214" t="str">
        <f>""</f>
        <v/>
      </c>
      <c r="F2214" t="str">
        <f>""</f>
        <v/>
      </c>
      <c r="H2214" t="str">
        <f t="shared" si="46"/>
        <v>BCBS PAYABLE</v>
      </c>
    </row>
    <row r="2215" spans="5:8" x14ac:dyDescent="0.25">
      <c r="E2215" t="str">
        <f>""</f>
        <v/>
      </c>
      <c r="F2215" t="str">
        <f>""</f>
        <v/>
      </c>
      <c r="H2215" t="str">
        <f t="shared" si="46"/>
        <v>BCBS PAYABLE</v>
      </c>
    </row>
    <row r="2216" spans="5:8" x14ac:dyDescent="0.25">
      <c r="E2216" t="str">
        <f>""</f>
        <v/>
      </c>
      <c r="F2216" t="str">
        <f>""</f>
        <v/>
      </c>
      <c r="H2216" t="str">
        <f t="shared" si="46"/>
        <v>BCBS PAYABLE</v>
      </c>
    </row>
    <row r="2217" spans="5:8" x14ac:dyDescent="0.25">
      <c r="E2217" t="str">
        <f>""</f>
        <v/>
      </c>
      <c r="F2217" t="str">
        <f>""</f>
        <v/>
      </c>
      <c r="H2217" t="str">
        <f t="shared" si="46"/>
        <v>BCBS PAYABLE</v>
      </c>
    </row>
    <row r="2218" spans="5:8" x14ac:dyDescent="0.25">
      <c r="E2218" t="str">
        <f>""</f>
        <v/>
      </c>
      <c r="F2218" t="str">
        <f>""</f>
        <v/>
      </c>
      <c r="H2218" t="str">
        <f t="shared" si="46"/>
        <v>BCBS PAYABLE</v>
      </c>
    </row>
    <row r="2219" spans="5:8" x14ac:dyDescent="0.25">
      <c r="E2219" t="str">
        <f>""</f>
        <v/>
      </c>
      <c r="F2219" t="str">
        <f>""</f>
        <v/>
      </c>
      <c r="H2219" t="str">
        <f t="shared" si="46"/>
        <v>BCBS PAYABLE</v>
      </c>
    </row>
    <row r="2220" spans="5:8" x14ac:dyDescent="0.25">
      <c r="E2220" t="str">
        <f>""</f>
        <v/>
      </c>
      <c r="F2220" t="str">
        <f>""</f>
        <v/>
      </c>
      <c r="H2220" t="str">
        <f t="shared" si="46"/>
        <v>BCBS PAYABLE</v>
      </c>
    </row>
    <row r="2221" spans="5:8" x14ac:dyDescent="0.25">
      <c r="E2221" t="str">
        <f>""</f>
        <v/>
      </c>
      <c r="F2221" t="str">
        <f>""</f>
        <v/>
      </c>
      <c r="H2221" t="str">
        <f t="shared" si="46"/>
        <v>BCBS PAYABLE</v>
      </c>
    </row>
    <row r="2222" spans="5:8" x14ac:dyDescent="0.25">
      <c r="E2222" t="str">
        <f>""</f>
        <v/>
      </c>
      <c r="F2222" t="str">
        <f>""</f>
        <v/>
      </c>
      <c r="H2222" t="str">
        <f t="shared" si="46"/>
        <v>BCBS PAYABLE</v>
      </c>
    </row>
    <row r="2223" spans="5:8" x14ac:dyDescent="0.25">
      <c r="E2223" t="str">
        <f>""</f>
        <v/>
      </c>
      <c r="F2223" t="str">
        <f>""</f>
        <v/>
      </c>
      <c r="H2223" t="str">
        <f t="shared" si="46"/>
        <v>BCBS PAYABLE</v>
      </c>
    </row>
    <row r="2224" spans="5:8" x14ac:dyDescent="0.25">
      <c r="E2224" t="str">
        <f>""</f>
        <v/>
      </c>
      <c r="F2224" t="str">
        <f>""</f>
        <v/>
      </c>
      <c r="H2224" t="str">
        <f t="shared" si="46"/>
        <v>BCBS PAYABLE</v>
      </c>
    </row>
    <row r="2225" spans="5:8" x14ac:dyDescent="0.25">
      <c r="E2225" t="str">
        <f>""</f>
        <v/>
      </c>
      <c r="F2225" t="str">
        <f>""</f>
        <v/>
      </c>
      <c r="H2225" t="str">
        <f t="shared" si="46"/>
        <v>BCBS PAYABLE</v>
      </c>
    </row>
    <row r="2226" spans="5:8" x14ac:dyDescent="0.25">
      <c r="E2226" t="str">
        <f>""</f>
        <v/>
      </c>
      <c r="F2226" t="str">
        <f>""</f>
        <v/>
      </c>
      <c r="H2226" t="str">
        <f t="shared" si="46"/>
        <v>BCBS PAYABLE</v>
      </c>
    </row>
    <row r="2227" spans="5:8" x14ac:dyDescent="0.25">
      <c r="E2227" t="str">
        <f>""</f>
        <v/>
      </c>
      <c r="F2227" t="str">
        <f>""</f>
        <v/>
      </c>
      <c r="H2227" t="str">
        <f t="shared" si="46"/>
        <v>BCBS PAYABLE</v>
      </c>
    </row>
    <row r="2228" spans="5:8" x14ac:dyDescent="0.25">
      <c r="E2228" t="str">
        <f>""</f>
        <v/>
      </c>
      <c r="F2228" t="str">
        <f>""</f>
        <v/>
      </c>
      <c r="H2228" t="str">
        <f t="shared" si="46"/>
        <v>BCBS PAYABLE</v>
      </c>
    </row>
    <row r="2229" spans="5:8" x14ac:dyDescent="0.25">
      <c r="E2229" t="str">
        <f>""</f>
        <v/>
      </c>
      <c r="F2229" t="str">
        <f>""</f>
        <v/>
      </c>
      <c r="H2229" t="str">
        <f t="shared" si="46"/>
        <v>BCBS PAYABLE</v>
      </c>
    </row>
    <row r="2230" spans="5:8" x14ac:dyDescent="0.25">
      <c r="E2230" t="str">
        <f>""</f>
        <v/>
      </c>
      <c r="F2230" t="str">
        <f>""</f>
        <v/>
      </c>
      <c r="H2230" t="str">
        <f t="shared" si="46"/>
        <v>BCBS PAYABLE</v>
      </c>
    </row>
    <row r="2231" spans="5:8" x14ac:dyDescent="0.25">
      <c r="E2231" t="str">
        <f>""</f>
        <v/>
      </c>
      <c r="F2231" t="str">
        <f>""</f>
        <v/>
      </c>
      <c r="H2231" t="str">
        <f t="shared" si="46"/>
        <v>BCBS PAYABLE</v>
      </c>
    </row>
    <row r="2232" spans="5:8" x14ac:dyDescent="0.25">
      <c r="E2232" t="str">
        <f>""</f>
        <v/>
      </c>
      <c r="F2232" t="str">
        <f>""</f>
        <v/>
      </c>
      <c r="H2232" t="str">
        <f t="shared" si="46"/>
        <v>BCBS PAYABLE</v>
      </c>
    </row>
    <row r="2233" spans="5:8" x14ac:dyDescent="0.25">
      <c r="E2233" t="str">
        <f>""</f>
        <v/>
      </c>
      <c r="F2233" t="str">
        <f>""</f>
        <v/>
      </c>
      <c r="H2233" t="str">
        <f t="shared" si="46"/>
        <v>BCBS PAYABLE</v>
      </c>
    </row>
    <row r="2234" spans="5:8" x14ac:dyDescent="0.25">
      <c r="E2234" t="str">
        <f>""</f>
        <v/>
      </c>
      <c r="F2234" t="str">
        <f>""</f>
        <v/>
      </c>
      <c r="H2234" t="str">
        <f t="shared" si="46"/>
        <v>BCBS PAYABLE</v>
      </c>
    </row>
    <row r="2235" spans="5:8" x14ac:dyDescent="0.25">
      <c r="E2235" t="str">
        <f>"2EC202003045735"</f>
        <v>2EC202003045735</v>
      </c>
      <c r="F2235" t="str">
        <f>"BCBS PAYABLE"</f>
        <v>BCBS PAYABLE</v>
      </c>
      <c r="G2235" s="5">
        <v>1824.32</v>
      </c>
      <c r="H2235" t="str">
        <f t="shared" si="46"/>
        <v>BCBS PAYABLE</v>
      </c>
    </row>
    <row r="2236" spans="5:8" x14ac:dyDescent="0.25">
      <c r="E2236" t="str">
        <f>""</f>
        <v/>
      </c>
      <c r="F2236" t="str">
        <f>""</f>
        <v/>
      </c>
      <c r="H2236" t="str">
        <f t="shared" ref="H2236:H2267" si="47">"BCBS PAYABLE"</f>
        <v>BCBS PAYABLE</v>
      </c>
    </row>
    <row r="2237" spans="5:8" x14ac:dyDescent="0.25">
      <c r="E2237" t="str">
        <f>"2EC202003186056"</f>
        <v>2EC202003186056</v>
      </c>
      <c r="F2237" t="str">
        <f>"BCBS PAYABLE"</f>
        <v>BCBS PAYABLE</v>
      </c>
      <c r="G2237" s="5">
        <v>48344.480000000003</v>
      </c>
      <c r="H2237" t="str">
        <f t="shared" si="47"/>
        <v>BCBS PAYABLE</v>
      </c>
    </row>
    <row r="2238" spans="5:8" x14ac:dyDescent="0.25">
      <c r="E2238" t="str">
        <f>""</f>
        <v/>
      </c>
      <c r="F2238" t="str">
        <f>""</f>
        <v/>
      </c>
      <c r="H2238" t="str">
        <f t="shared" si="47"/>
        <v>BCBS PAYABLE</v>
      </c>
    </row>
    <row r="2239" spans="5:8" x14ac:dyDescent="0.25">
      <c r="E2239" t="str">
        <f>""</f>
        <v/>
      </c>
      <c r="F2239" t="str">
        <f>""</f>
        <v/>
      </c>
      <c r="H2239" t="str">
        <f t="shared" si="47"/>
        <v>BCBS PAYABLE</v>
      </c>
    </row>
    <row r="2240" spans="5:8" x14ac:dyDescent="0.25">
      <c r="E2240" t="str">
        <f>""</f>
        <v/>
      </c>
      <c r="F2240" t="str">
        <f>""</f>
        <v/>
      </c>
      <c r="H2240" t="str">
        <f t="shared" si="47"/>
        <v>BCBS PAYABLE</v>
      </c>
    </row>
    <row r="2241" spans="5:8" x14ac:dyDescent="0.25">
      <c r="E2241" t="str">
        <f>""</f>
        <v/>
      </c>
      <c r="F2241" t="str">
        <f>""</f>
        <v/>
      </c>
      <c r="H2241" t="str">
        <f t="shared" si="47"/>
        <v>BCBS PAYABLE</v>
      </c>
    </row>
    <row r="2242" spans="5:8" x14ac:dyDescent="0.25">
      <c r="E2242" t="str">
        <f>""</f>
        <v/>
      </c>
      <c r="F2242" t="str">
        <f>""</f>
        <v/>
      </c>
      <c r="H2242" t="str">
        <f t="shared" si="47"/>
        <v>BCBS PAYABLE</v>
      </c>
    </row>
    <row r="2243" spans="5:8" x14ac:dyDescent="0.25">
      <c r="E2243" t="str">
        <f>""</f>
        <v/>
      </c>
      <c r="F2243" t="str">
        <f>""</f>
        <v/>
      </c>
      <c r="H2243" t="str">
        <f t="shared" si="47"/>
        <v>BCBS PAYABLE</v>
      </c>
    </row>
    <row r="2244" spans="5:8" x14ac:dyDescent="0.25">
      <c r="E2244" t="str">
        <f>""</f>
        <v/>
      </c>
      <c r="F2244" t="str">
        <f>""</f>
        <v/>
      </c>
      <c r="H2244" t="str">
        <f t="shared" si="47"/>
        <v>BCBS PAYABLE</v>
      </c>
    </row>
    <row r="2245" spans="5:8" x14ac:dyDescent="0.25">
      <c r="E2245" t="str">
        <f>""</f>
        <v/>
      </c>
      <c r="F2245" t="str">
        <f>""</f>
        <v/>
      </c>
      <c r="H2245" t="str">
        <f t="shared" si="47"/>
        <v>BCBS PAYABLE</v>
      </c>
    </row>
    <row r="2246" spans="5:8" x14ac:dyDescent="0.25">
      <c r="E2246" t="str">
        <f>""</f>
        <v/>
      </c>
      <c r="F2246" t="str">
        <f>""</f>
        <v/>
      </c>
      <c r="H2246" t="str">
        <f t="shared" si="47"/>
        <v>BCBS PAYABLE</v>
      </c>
    </row>
    <row r="2247" spans="5:8" x14ac:dyDescent="0.25">
      <c r="E2247" t="str">
        <f>""</f>
        <v/>
      </c>
      <c r="F2247" t="str">
        <f>""</f>
        <v/>
      </c>
      <c r="H2247" t="str">
        <f t="shared" si="47"/>
        <v>BCBS PAYABLE</v>
      </c>
    </row>
    <row r="2248" spans="5:8" x14ac:dyDescent="0.25">
      <c r="E2248" t="str">
        <f>""</f>
        <v/>
      </c>
      <c r="F2248" t="str">
        <f>""</f>
        <v/>
      </c>
      <c r="H2248" t="str">
        <f t="shared" si="47"/>
        <v>BCBS PAYABLE</v>
      </c>
    </row>
    <row r="2249" spans="5:8" x14ac:dyDescent="0.25">
      <c r="E2249" t="str">
        <f>""</f>
        <v/>
      </c>
      <c r="F2249" t="str">
        <f>""</f>
        <v/>
      </c>
      <c r="H2249" t="str">
        <f t="shared" si="47"/>
        <v>BCBS PAYABLE</v>
      </c>
    </row>
    <row r="2250" spans="5:8" x14ac:dyDescent="0.25">
      <c r="E2250" t="str">
        <f>""</f>
        <v/>
      </c>
      <c r="F2250" t="str">
        <f>""</f>
        <v/>
      </c>
      <c r="H2250" t="str">
        <f t="shared" si="47"/>
        <v>BCBS PAYABLE</v>
      </c>
    </row>
    <row r="2251" spans="5:8" x14ac:dyDescent="0.25">
      <c r="E2251" t="str">
        <f>""</f>
        <v/>
      </c>
      <c r="F2251" t="str">
        <f>""</f>
        <v/>
      </c>
      <c r="H2251" t="str">
        <f t="shared" si="47"/>
        <v>BCBS PAYABLE</v>
      </c>
    </row>
    <row r="2252" spans="5:8" x14ac:dyDescent="0.25">
      <c r="E2252" t="str">
        <f>""</f>
        <v/>
      </c>
      <c r="F2252" t="str">
        <f>""</f>
        <v/>
      </c>
      <c r="H2252" t="str">
        <f t="shared" si="47"/>
        <v>BCBS PAYABLE</v>
      </c>
    </row>
    <row r="2253" spans="5:8" x14ac:dyDescent="0.25">
      <c r="E2253" t="str">
        <f>""</f>
        <v/>
      </c>
      <c r="F2253" t="str">
        <f>""</f>
        <v/>
      </c>
      <c r="H2253" t="str">
        <f t="shared" si="47"/>
        <v>BCBS PAYABLE</v>
      </c>
    </row>
    <row r="2254" spans="5:8" x14ac:dyDescent="0.25">
      <c r="E2254" t="str">
        <f>""</f>
        <v/>
      </c>
      <c r="F2254" t="str">
        <f>""</f>
        <v/>
      </c>
      <c r="H2254" t="str">
        <f t="shared" si="47"/>
        <v>BCBS PAYABLE</v>
      </c>
    </row>
    <row r="2255" spans="5:8" x14ac:dyDescent="0.25">
      <c r="E2255" t="str">
        <f>""</f>
        <v/>
      </c>
      <c r="F2255" t="str">
        <f>""</f>
        <v/>
      </c>
      <c r="H2255" t="str">
        <f t="shared" si="47"/>
        <v>BCBS PAYABLE</v>
      </c>
    </row>
    <row r="2256" spans="5:8" x14ac:dyDescent="0.25">
      <c r="E2256" t="str">
        <f>""</f>
        <v/>
      </c>
      <c r="F2256" t="str">
        <f>""</f>
        <v/>
      </c>
      <c r="H2256" t="str">
        <f t="shared" si="47"/>
        <v>BCBS PAYABLE</v>
      </c>
    </row>
    <row r="2257" spans="5:8" x14ac:dyDescent="0.25">
      <c r="E2257" t="str">
        <f>""</f>
        <v/>
      </c>
      <c r="F2257" t="str">
        <f>""</f>
        <v/>
      </c>
      <c r="H2257" t="str">
        <f t="shared" si="47"/>
        <v>BCBS PAYABLE</v>
      </c>
    </row>
    <row r="2258" spans="5:8" x14ac:dyDescent="0.25">
      <c r="E2258" t="str">
        <f>""</f>
        <v/>
      </c>
      <c r="F2258" t="str">
        <f>""</f>
        <v/>
      </c>
      <c r="H2258" t="str">
        <f t="shared" si="47"/>
        <v>BCBS PAYABLE</v>
      </c>
    </row>
    <row r="2259" spans="5:8" x14ac:dyDescent="0.25">
      <c r="E2259" t="str">
        <f>""</f>
        <v/>
      </c>
      <c r="F2259" t="str">
        <f>""</f>
        <v/>
      </c>
      <c r="H2259" t="str">
        <f t="shared" si="47"/>
        <v>BCBS PAYABLE</v>
      </c>
    </row>
    <row r="2260" spans="5:8" x14ac:dyDescent="0.25">
      <c r="E2260" t="str">
        <f>""</f>
        <v/>
      </c>
      <c r="F2260" t="str">
        <f>""</f>
        <v/>
      </c>
      <c r="H2260" t="str">
        <f t="shared" si="47"/>
        <v>BCBS PAYABLE</v>
      </c>
    </row>
    <row r="2261" spans="5:8" x14ac:dyDescent="0.25">
      <c r="E2261" t="str">
        <f>""</f>
        <v/>
      </c>
      <c r="F2261" t="str">
        <f>""</f>
        <v/>
      </c>
      <c r="H2261" t="str">
        <f t="shared" si="47"/>
        <v>BCBS PAYABLE</v>
      </c>
    </row>
    <row r="2262" spans="5:8" x14ac:dyDescent="0.25">
      <c r="E2262" t="str">
        <f>""</f>
        <v/>
      </c>
      <c r="F2262" t="str">
        <f>""</f>
        <v/>
      </c>
      <c r="H2262" t="str">
        <f t="shared" si="47"/>
        <v>BCBS PAYABLE</v>
      </c>
    </row>
    <row r="2263" spans="5:8" x14ac:dyDescent="0.25">
      <c r="E2263" t="str">
        <f>""</f>
        <v/>
      </c>
      <c r="F2263" t="str">
        <f>""</f>
        <v/>
      </c>
      <c r="H2263" t="str">
        <f t="shared" si="47"/>
        <v>BCBS PAYABLE</v>
      </c>
    </row>
    <row r="2264" spans="5:8" x14ac:dyDescent="0.25">
      <c r="E2264" t="str">
        <f>""</f>
        <v/>
      </c>
      <c r="F2264" t="str">
        <f>""</f>
        <v/>
      </c>
      <c r="H2264" t="str">
        <f t="shared" si="47"/>
        <v>BCBS PAYABLE</v>
      </c>
    </row>
    <row r="2265" spans="5:8" x14ac:dyDescent="0.25">
      <c r="E2265" t="str">
        <f>""</f>
        <v/>
      </c>
      <c r="F2265" t="str">
        <f>""</f>
        <v/>
      </c>
      <c r="H2265" t="str">
        <f t="shared" si="47"/>
        <v>BCBS PAYABLE</v>
      </c>
    </row>
    <row r="2266" spans="5:8" x14ac:dyDescent="0.25">
      <c r="E2266" t="str">
        <f>""</f>
        <v/>
      </c>
      <c r="F2266" t="str">
        <f>""</f>
        <v/>
      </c>
      <c r="H2266" t="str">
        <f t="shared" si="47"/>
        <v>BCBS PAYABLE</v>
      </c>
    </row>
    <row r="2267" spans="5:8" x14ac:dyDescent="0.25">
      <c r="E2267" t="str">
        <f>""</f>
        <v/>
      </c>
      <c r="F2267" t="str">
        <f>""</f>
        <v/>
      </c>
      <c r="H2267" t="str">
        <f t="shared" si="47"/>
        <v>BCBS PAYABLE</v>
      </c>
    </row>
    <row r="2268" spans="5:8" x14ac:dyDescent="0.25">
      <c r="E2268" t="str">
        <f>"2EC202003186057"</f>
        <v>2EC202003186057</v>
      </c>
      <c r="F2268" t="str">
        <f>"BCBS PAYABLE"</f>
        <v>BCBS PAYABLE</v>
      </c>
      <c r="G2268" s="5">
        <v>1824.32</v>
      </c>
      <c r="H2268" t="str">
        <f t="shared" ref="H2268:H2299" si="48">"BCBS PAYABLE"</f>
        <v>BCBS PAYABLE</v>
      </c>
    </row>
    <row r="2269" spans="5:8" x14ac:dyDescent="0.25">
      <c r="E2269" t="str">
        <f>""</f>
        <v/>
      </c>
      <c r="F2269" t="str">
        <f>""</f>
        <v/>
      </c>
      <c r="H2269" t="str">
        <f t="shared" si="48"/>
        <v>BCBS PAYABLE</v>
      </c>
    </row>
    <row r="2270" spans="5:8" x14ac:dyDescent="0.25">
      <c r="E2270" t="str">
        <f>"2EF202003035702"</f>
        <v>2EF202003035702</v>
      </c>
      <c r="F2270" t="str">
        <f>"BCBS PAYABLE"</f>
        <v>BCBS PAYABLE</v>
      </c>
      <c r="G2270" s="5">
        <v>2718.27</v>
      </c>
      <c r="H2270" t="str">
        <f t="shared" si="48"/>
        <v>BCBS PAYABLE</v>
      </c>
    </row>
    <row r="2271" spans="5:8" x14ac:dyDescent="0.25">
      <c r="E2271" t="str">
        <f>""</f>
        <v/>
      </c>
      <c r="F2271" t="str">
        <f>""</f>
        <v/>
      </c>
      <c r="H2271" t="str">
        <f t="shared" si="48"/>
        <v>BCBS PAYABLE</v>
      </c>
    </row>
    <row r="2272" spans="5:8" x14ac:dyDescent="0.25">
      <c r="E2272" t="str">
        <f>""</f>
        <v/>
      </c>
      <c r="F2272" t="str">
        <f>""</f>
        <v/>
      </c>
      <c r="H2272" t="str">
        <f t="shared" si="48"/>
        <v>BCBS PAYABLE</v>
      </c>
    </row>
    <row r="2273" spans="5:8" x14ac:dyDescent="0.25">
      <c r="E2273" t="str">
        <f>""</f>
        <v/>
      </c>
      <c r="F2273" t="str">
        <f>""</f>
        <v/>
      </c>
      <c r="H2273" t="str">
        <f t="shared" si="48"/>
        <v>BCBS PAYABLE</v>
      </c>
    </row>
    <row r="2274" spans="5:8" x14ac:dyDescent="0.25">
      <c r="E2274" t="str">
        <f>"2EF202003186056"</f>
        <v>2EF202003186056</v>
      </c>
      <c r="F2274" t="str">
        <f>"BCBS PAYABLE"</f>
        <v>BCBS PAYABLE</v>
      </c>
      <c r="G2274" s="5">
        <v>2718.27</v>
      </c>
      <c r="H2274" t="str">
        <f t="shared" si="48"/>
        <v>BCBS PAYABLE</v>
      </c>
    </row>
    <row r="2275" spans="5:8" x14ac:dyDescent="0.25">
      <c r="E2275" t="str">
        <f>""</f>
        <v/>
      </c>
      <c r="F2275" t="str">
        <f>""</f>
        <v/>
      </c>
      <c r="H2275" t="str">
        <f t="shared" si="48"/>
        <v>BCBS PAYABLE</v>
      </c>
    </row>
    <row r="2276" spans="5:8" x14ac:dyDescent="0.25">
      <c r="E2276" t="str">
        <f>""</f>
        <v/>
      </c>
      <c r="F2276" t="str">
        <f>""</f>
        <v/>
      </c>
      <c r="H2276" t="str">
        <f t="shared" si="48"/>
        <v>BCBS PAYABLE</v>
      </c>
    </row>
    <row r="2277" spans="5:8" x14ac:dyDescent="0.25">
      <c r="E2277" t="str">
        <f>""</f>
        <v/>
      </c>
      <c r="F2277" t="str">
        <f>""</f>
        <v/>
      </c>
      <c r="H2277" t="str">
        <f t="shared" si="48"/>
        <v>BCBS PAYABLE</v>
      </c>
    </row>
    <row r="2278" spans="5:8" x14ac:dyDescent="0.25">
      <c r="E2278" t="str">
        <f>"2EO202003035702"</f>
        <v>2EO202003035702</v>
      </c>
      <c r="F2278" t="str">
        <f>"BCBS PAYABLE"</f>
        <v>BCBS PAYABLE</v>
      </c>
      <c r="G2278" s="5">
        <v>101887.16</v>
      </c>
      <c r="H2278" t="str">
        <f t="shared" si="48"/>
        <v>BCBS PAYABLE</v>
      </c>
    </row>
    <row r="2279" spans="5:8" x14ac:dyDescent="0.25">
      <c r="E2279" t="str">
        <f>""</f>
        <v/>
      </c>
      <c r="F2279" t="str">
        <f>""</f>
        <v/>
      </c>
      <c r="H2279" t="str">
        <f t="shared" si="48"/>
        <v>BCBS PAYABLE</v>
      </c>
    </row>
    <row r="2280" spans="5:8" x14ac:dyDescent="0.25">
      <c r="E2280" t="str">
        <f>""</f>
        <v/>
      </c>
      <c r="F2280" t="str">
        <f>""</f>
        <v/>
      </c>
      <c r="H2280" t="str">
        <f t="shared" si="48"/>
        <v>BCBS PAYABLE</v>
      </c>
    </row>
    <row r="2281" spans="5:8" x14ac:dyDescent="0.25">
      <c r="E2281" t="str">
        <f>""</f>
        <v/>
      </c>
      <c r="F2281" t="str">
        <f>""</f>
        <v/>
      </c>
      <c r="H2281" t="str">
        <f t="shared" si="48"/>
        <v>BCBS PAYABLE</v>
      </c>
    </row>
    <row r="2282" spans="5:8" x14ac:dyDescent="0.25">
      <c r="E2282" t="str">
        <f>""</f>
        <v/>
      </c>
      <c r="F2282" t="str">
        <f>""</f>
        <v/>
      </c>
      <c r="H2282" t="str">
        <f t="shared" si="48"/>
        <v>BCBS PAYABLE</v>
      </c>
    </row>
    <row r="2283" spans="5:8" x14ac:dyDescent="0.25">
      <c r="E2283" t="str">
        <f>""</f>
        <v/>
      </c>
      <c r="F2283" t="str">
        <f>""</f>
        <v/>
      </c>
      <c r="H2283" t="str">
        <f t="shared" si="48"/>
        <v>BCBS PAYABLE</v>
      </c>
    </row>
    <row r="2284" spans="5:8" x14ac:dyDescent="0.25">
      <c r="E2284" t="str">
        <f>""</f>
        <v/>
      </c>
      <c r="F2284" t="str">
        <f>""</f>
        <v/>
      </c>
      <c r="H2284" t="str">
        <f t="shared" si="48"/>
        <v>BCBS PAYABLE</v>
      </c>
    </row>
    <row r="2285" spans="5:8" x14ac:dyDescent="0.25">
      <c r="E2285" t="str">
        <f>""</f>
        <v/>
      </c>
      <c r="F2285" t="str">
        <f>""</f>
        <v/>
      </c>
      <c r="H2285" t="str">
        <f t="shared" si="48"/>
        <v>BCBS PAYABLE</v>
      </c>
    </row>
    <row r="2286" spans="5:8" x14ac:dyDescent="0.25">
      <c r="E2286" t="str">
        <f>""</f>
        <v/>
      </c>
      <c r="F2286" t="str">
        <f>""</f>
        <v/>
      </c>
      <c r="H2286" t="str">
        <f t="shared" si="48"/>
        <v>BCBS PAYABLE</v>
      </c>
    </row>
    <row r="2287" spans="5:8" x14ac:dyDescent="0.25">
      <c r="E2287" t="str">
        <f>""</f>
        <v/>
      </c>
      <c r="F2287" t="str">
        <f>""</f>
        <v/>
      </c>
      <c r="H2287" t="str">
        <f t="shared" si="48"/>
        <v>BCBS PAYABLE</v>
      </c>
    </row>
    <row r="2288" spans="5:8" x14ac:dyDescent="0.25">
      <c r="E2288" t="str">
        <f>""</f>
        <v/>
      </c>
      <c r="F2288" t="str">
        <f>""</f>
        <v/>
      </c>
      <c r="H2288" t="str">
        <f t="shared" si="48"/>
        <v>BCBS PAYABLE</v>
      </c>
    </row>
    <row r="2289" spans="5:8" x14ac:dyDescent="0.25">
      <c r="E2289" t="str">
        <f>""</f>
        <v/>
      </c>
      <c r="F2289" t="str">
        <f>""</f>
        <v/>
      </c>
      <c r="H2289" t="str">
        <f t="shared" si="48"/>
        <v>BCBS PAYABLE</v>
      </c>
    </row>
    <row r="2290" spans="5:8" x14ac:dyDescent="0.25">
      <c r="E2290" t="str">
        <f>""</f>
        <v/>
      </c>
      <c r="F2290" t="str">
        <f>""</f>
        <v/>
      </c>
      <c r="H2290" t="str">
        <f t="shared" si="48"/>
        <v>BCBS PAYABLE</v>
      </c>
    </row>
    <row r="2291" spans="5:8" x14ac:dyDescent="0.25">
      <c r="E2291" t="str">
        <f>""</f>
        <v/>
      </c>
      <c r="F2291" t="str">
        <f>""</f>
        <v/>
      </c>
      <c r="H2291" t="str">
        <f t="shared" si="48"/>
        <v>BCBS PAYABLE</v>
      </c>
    </row>
    <row r="2292" spans="5:8" x14ac:dyDescent="0.25">
      <c r="E2292" t="str">
        <f>""</f>
        <v/>
      </c>
      <c r="F2292" t="str">
        <f>""</f>
        <v/>
      </c>
      <c r="H2292" t="str">
        <f t="shared" si="48"/>
        <v>BCBS PAYABLE</v>
      </c>
    </row>
    <row r="2293" spans="5:8" x14ac:dyDescent="0.25">
      <c r="E2293" t="str">
        <f>""</f>
        <v/>
      </c>
      <c r="F2293" t="str">
        <f>""</f>
        <v/>
      </c>
      <c r="H2293" t="str">
        <f t="shared" si="48"/>
        <v>BCBS PAYABLE</v>
      </c>
    </row>
    <row r="2294" spans="5:8" x14ac:dyDescent="0.25">
      <c r="E2294" t="str">
        <f>""</f>
        <v/>
      </c>
      <c r="F2294" t="str">
        <f>""</f>
        <v/>
      </c>
      <c r="H2294" t="str">
        <f t="shared" si="48"/>
        <v>BCBS PAYABLE</v>
      </c>
    </row>
    <row r="2295" spans="5:8" x14ac:dyDescent="0.25">
      <c r="E2295" t="str">
        <f>""</f>
        <v/>
      </c>
      <c r="F2295" t="str">
        <f>""</f>
        <v/>
      </c>
      <c r="H2295" t="str">
        <f t="shared" si="48"/>
        <v>BCBS PAYABLE</v>
      </c>
    </row>
    <row r="2296" spans="5:8" x14ac:dyDescent="0.25">
      <c r="E2296" t="str">
        <f>""</f>
        <v/>
      </c>
      <c r="F2296" t="str">
        <f>""</f>
        <v/>
      </c>
      <c r="H2296" t="str">
        <f t="shared" si="48"/>
        <v>BCBS PAYABLE</v>
      </c>
    </row>
    <row r="2297" spans="5:8" x14ac:dyDescent="0.25">
      <c r="E2297" t="str">
        <f>""</f>
        <v/>
      </c>
      <c r="F2297" t="str">
        <f>""</f>
        <v/>
      </c>
      <c r="H2297" t="str">
        <f t="shared" si="48"/>
        <v>BCBS PAYABLE</v>
      </c>
    </row>
    <row r="2298" spans="5:8" x14ac:dyDescent="0.25">
      <c r="E2298" t="str">
        <f>""</f>
        <v/>
      </c>
      <c r="F2298" t="str">
        <f>""</f>
        <v/>
      </c>
      <c r="H2298" t="str">
        <f t="shared" si="48"/>
        <v>BCBS PAYABLE</v>
      </c>
    </row>
    <row r="2299" spans="5:8" x14ac:dyDescent="0.25">
      <c r="E2299" t="str">
        <f>""</f>
        <v/>
      </c>
      <c r="F2299" t="str">
        <f>""</f>
        <v/>
      </c>
      <c r="H2299" t="str">
        <f t="shared" si="48"/>
        <v>BCBS PAYABLE</v>
      </c>
    </row>
    <row r="2300" spans="5:8" x14ac:dyDescent="0.25">
      <c r="E2300" t="str">
        <f>""</f>
        <v/>
      </c>
      <c r="F2300" t="str">
        <f>""</f>
        <v/>
      </c>
      <c r="H2300" t="str">
        <f t="shared" ref="H2300:H2331" si="49">"BCBS PAYABLE"</f>
        <v>BCBS PAYABLE</v>
      </c>
    </row>
    <row r="2301" spans="5:8" x14ac:dyDescent="0.25">
      <c r="E2301" t="str">
        <f>""</f>
        <v/>
      </c>
      <c r="F2301" t="str">
        <f>""</f>
        <v/>
      </c>
      <c r="H2301" t="str">
        <f t="shared" si="49"/>
        <v>BCBS PAYABLE</v>
      </c>
    </row>
    <row r="2302" spans="5:8" x14ac:dyDescent="0.25">
      <c r="E2302" t="str">
        <f>""</f>
        <v/>
      </c>
      <c r="F2302" t="str">
        <f>""</f>
        <v/>
      </c>
      <c r="H2302" t="str">
        <f t="shared" si="49"/>
        <v>BCBS PAYABLE</v>
      </c>
    </row>
    <row r="2303" spans="5:8" x14ac:dyDescent="0.25">
      <c r="E2303" t="str">
        <f>""</f>
        <v/>
      </c>
      <c r="F2303" t="str">
        <f>""</f>
        <v/>
      </c>
      <c r="H2303" t="str">
        <f t="shared" si="49"/>
        <v>BCBS PAYABLE</v>
      </c>
    </row>
    <row r="2304" spans="5:8" x14ac:dyDescent="0.25">
      <c r="E2304" t="str">
        <f>""</f>
        <v/>
      </c>
      <c r="F2304" t="str">
        <f>""</f>
        <v/>
      </c>
      <c r="H2304" t="str">
        <f t="shared" si="49"/>
        <v>BCBS PAYABLE</v>
      </c>
    </row>
    <row r="2305" spans="5:8" x14ac:dyDescent="0.25">
      <c r="E2305" t="str">
        <f>""</f>
        <v/>
      </c>
      <c r="F2305" t="str">
        <f>""</f>
        <v/>
      </c>
      <c r="H2305" t="str">
        <f t="shared" si="49"/>
        <v>BCBS PAYABLE</v>
      </c>
    </row>
    <row r="2306" spans="5:8" x14ac:dyDescent="0.25">
      <c r="E2306" t="str">
        <f>""</f>
        <v/>
      </c>
      <c r="F2306" t="str">
        <f>""</f>
        <v/>
      </c>
      <c r="H2306" t="str">
        <f t="shared" si="49"/>
        <v>BCBS PAYABLE</v>
      </c>
    </row>
    <row r="2307" spans="5:8" x14ac:dyDescent="0.25">
      <c r="E2307" t="str">
        <f>""</f>
        <v/>
      </c>
      <c r="F2307" t="str">
        <f>""</f>
        <v/>
      </c>
      <c r="H2307" t="str">
        <f t="shared" si="49"/>
        <v>BCBS PAYABLE</v>
      </c>
    </row>
    <row r="2308" spans="5:8" x14ac:dyDescent="0.25">
      <c r="E2308" t="str">
        <f>""</f>
        <v/>
      </c>
      <c r="F2308" t="str">
        <f>""</f>
        <v/>
      </c>
      <c r="H2308" t="str">
        <f t="shared" si="49"/>
        <v>BCBS PAYABLE</v>
      </c>
    </row>
    <row r="2309" spans="5:8" x14ac:dyDescent="0.25">
      <c r="E2309" t="str">
        <f>""</f>
        <v/>
      </c>
      <c r="F2309" t="str">
        <f>""</f>
        <v/>
      </c>
      <c r="H2309" t="str">
        <f t="shared" si="49"/>
        <v>BCBS PAYABLE</v>
      </c>
    </row>
    <row r="2310" spans="5:8" x14ac:dyDescent="0.25">
      <c r="E2310" t="str">
        <f>""</f>
        <v/>
      </c>
      <c r="F2310" t="str">
        <f>""</f>
        <v/>
      </c>
      <c r="H2310" t="str">
        <f t="shared" si="49"/>
        <v>BCBS PAYABLE</v>
      </c>
    </row>
    <row r="2311" spans="5:8" x14ac:dyDescent="0.25">
      <c r="E2311" t="str">
        <f>""</f>
        <v/>
      </c>
      <c r="F2311" t="str">
        <f>""</f>
        <v/>
      </c>
      <c r="H2311" t="str">
        <f t="shared" si="49"/>
        <v>BCBS PAYABLE</v>
      </c>
    </row>
    <row r="2312" spans="5:8" x14ac:dyDescent="0.25">
      <c r="E2312" t="str">
        <f>""</f>
        <v/>
      </c>
      <c r="F2312" t="str">
        <f>""</f>
        <v/>
      </c>
      <c r="H2312" t="str">
        <f t="shared" si="49"/>
        <v>BCBS PAYABLE</v>
      </c>
    </row>
    <row r="2313" spans="5:8" x14ac:dyDescent="0.25">
      <c r="E2313" t="str">
        <f>""</f>
        <v/>
      </c>
      <c r="F2313" t="str">
        <f>""</f>
        <v/>
      </c>
      <c r="H2313" t="str">
        <f t="shared" si="49"/>
        <v>BCBS PAYABLE</v>
      </c>
    </row>
    <row r="2314" spans="5:8" x14ac:dyDescent="0.25">
      <c r="E2314" t="str">
        <f>""</f>
        <v/>
      </c>
      <c r="F2314" t="str">
        <f>""</f>
        <v/>
      </c>
      <c r="H2314" t="str">
        <f t="shared" si="49"/>
        <v>BCBS PAYABLE</v>
      </c>
    </row>
    <row r="2315" spans="5:8" x14ac:dyDescent="0.25">
      <c r="E2315" t="str">
        <f>""</f>
        <v/>
      </c>
      <c r="F2315" t="str">
        <f>""</f>
        <v/>
      </c>
      <c r="H2315" t="str">
        <f t="shared" si="49"/>
        <v>BCBS PAYABLE</v>
      </c>
    </row>
    <row r="2316" spans="5:8" x14ac:dyDescent="0.25">
      <c r="E2316" t="str">
        <f>""</f>
        <v/>
      </c>
      <c r="F2316" t="str">
        <f>""</f>
        <v/>
      </c>
      <c r="H2316" t="str">
        <f t="shared" si="49"/>
        <v>BCBS PAYABLE</v>
      </c>
    </row>
    <row r="2317" spans="5:8" x14ac:dyDescent="0.25">
      <c r="E2317" t="str">
        <f>""</f>
        <v/>
      </c>
      <c r="F2317" t="str">
        <f>""</f>
        <v/>
      </c>
      <c r="H2317" t="str">
        <f t="shared" si="49"/>
        <v>BCBS PAYABLE</v>
      </c>
    </row>
    <row r="2318" spans="5:8" x14ac:dyDescent="0.25">
      <c r="E2318" t="str">
        <f>""</f>
        <v/>
      </c>
      <c r="F2318" t="str">
        <f>""</f>
        <v/>
      </c>
      <c r="H2318" t="str">
        <f t="shared" si="49"/>
        <v>BCBS PAYABLE</v>
      </c>
    </row>
    <row r="2319" spans="5:8" x14ac:dyDescent="0.25">
      <c r="E2319" t="str">
        <f>""</f>
        <v/>
      </c>
      <c r="F2319" t="str">
        <f>""</f>
        <v/>
      </c>
      <c r="H2319" t="str">
        <f t="shared" si="49"/>
        <v>BCBS PAYABLE</v>
      </c>
    </row>
    <row r="2320" spans="5:8" x14ac:dyDescent="0.25">
      <c r="E2320" t="str">
        <f>""</f>
        <v/>
      </c>
      <c r="F2320" t="str">
        <f>""</f>
        <v/>
      </c>
      <c r="H2320" t="str">
        <f t="shared" si="49"/>
        <v>BCBS PAYABLE</v>
      </c>
    </row>
    <row r="2321" spans="5:8" x14ac:dyDescent="0.25">
      <c r="E2321" t="str">
        <f>""</f>
        <v/>
      </c>
      <c r="F2321" t="str">
        <f>""</f>
        <v/>
      </c>
      <c r="H2321" t="str">
        <f t="shared" si="49"/>
        <v>BCBS PAYABLE</v>
      </c>
    </row>
    <row r="2322" spans="5:8" x14ac:dyDescent="0.25">
      <c r="E2322" t="str">
        <f>""</f>
        <v/>
      </c>
      <c r="F2322" t="str">
        <f>""</f>
        <v/>
      </c>
      <c r="H2322" t="str">
        <f t="shared" si="49"/>
        <v>BCBS PAYABLE</v>
      </c>
    </row>
    <row r="2323" spans="5:8" x14ac:dyDescent="0.25">
      <c r="E2323" t="str">
        <f>""</f>
        <v/>
      </c>
      <c r="F2323" t="str">
        <f>""</f>
        <v/>
      </c>
      <c r="H2323" t="str">
        <f t="shared" si="49"/>
        <v>BCBS PAYABLE</v>
      </c>
    </row>
    <row r="2324" spans="5:8" x14ac:dyDescent="0.25">
      <c r="E2324" t="str">
        <f>""</f>
        <v/>
      </c>
      <c r="F2324" t="str">
        <f>""</f>
        <v/>
      </c>
      <c r="H2324" t="str">
        <f t="shared" si="49"/>
        <v>BCBS PAYABLE</v>
      </c>
    </row>
    <row r="2325" spans="5:8" x14ac:dyDescent="0.25">
      <c r="E2325" t="str">
        <f>"2EO202003045735"</f>
        <v>2EO202003045735</v>
      </c>
      <c r="F2325" t="str">
        <f>"BCBS PAYABLE"</f>
        <v>BCBS PAYABLE</v>
      </c>
      <c r="G2325" s="5">
        <v>4314.4399999999996</v>
      </c>
      <c r="H2325" t="str">
        <f t="shared" si="49"/>
        <v>BCBS PAYABLE</v>
      </c>
    </row>
    <row r="2326" spans="5:8" x14ac:dyDescent="0.25">
      <c r="E2326" t="str">
        <f>"2EO202003186056"</f>
        <v>2EO202003186056</v>
      </c>
      <c r="F2326" t="str">
        <f>"BCBS PAYABLE"</f>
        <v>BCBS PAYABLE</v>
      </c>
      <c r="G2326" s="5">
        <v>102219.04</v>
      </c>
      <c r="H2326" t="str">
        <f t="shared" si="49"/>
        <v>BCBS PAYABLE</v>
      </c>
    </row>
    <row r="2327" spans="5:8" x14ac:dyDescent="0.25">
      <c r="E2327" t="str">
        <f>""</f>
        <v/>
      </c>
      <c r="F2327" t="str">
        <f>""</f>
        <v/>
      </c>
      <c r="H2327" t="str">
        <f t="shared" si="49"/>
        <v>BCBS PAYABLE</v>
      </c>
    </row>
    <row r="2328" spans="5:8" x14ac:dyDescent="0.25">
      <c r="E2328" t="str">
        <f>""</f>
        <v/>
      </c>
      <c r="F2328" t="str">
        <f>""</f>
        <v/>
      </c>
      <c r="H2328" t="str">
        <f t="shared" si="49"/>
        <v>BCBS PAYABLE</v>
      </c>
    </row>
    <row r="2329" spans="5:8" x14ac:dyDescent="0.25">
      <c r="E2329" t="str">
        <f>""</f>
        <v/>
      </c>
      <c r="F2329" t="str">
        <f>""</f>
        <v/>
      </c>
      <c r="H2329" t="str">
        <f t="shared" si="49"/>
        <v>BCBS PAYABLE</v>
      </c>
    </row>
    <row r="2330" spans="5:8" x14ac:dyDescent="0.25">
      <c r="E2330" t="str">
        <f>""</f>
        <v/>
      </c>
      <c r="F2330" t="str">
        <f>""</f>
        <v/>
      </c>
      <c r="H2330" t="str">
        <f t="shared" si="49"/>
        <v>BCBS PAYABLE</v>
      </c>
    </row>
    <row r="2331" spans="5:8" x14ac:dyDescent="0.25">
      <c r="E2331" t="str">
        <f>""</f>
        <v/>
      </c>
      <c r="F2331" t="str">
        <f>""</f>
        <v/>
      </c>
      <c r="H2331" t="str">
        <f t="shared" si="49"/>
        <v>BCBS PAYABLE</v>
      </c>
    </row>
    <row r="2332" spans="5:8" x14ac:dyDescent="0.25">
      <c r="E2332" t="str">
        <f>""</f>
        <v/>
      </c>
      <c r="F2332" t="str">
        <f>""</f>
        <v/>
      </c>
      <c r="H2332" t="str">
        <f t="shared" ref="H2332:H2363" si="50">"BCBS PAYABLE"</f>
        <v>BCBS PAYABLE</v>
      </c>
    </row>
    <row r="2333" spans="5:8" x14ac:dyDescent="0.25">
      <c r="E2333" t="str">
        <f>""</f>
        <v/>
      </c>
      <c r="F2333" t="str">
        <f>""</f>
        <v/>
      </c>
      <c r="H2333" t="str">
        <f t="shared" si="50"/>
        <v>BCBS PAYABLE</v>
      </c>
    </row>
    <row r="2334" spans="5:8" x14ac:dyDescent="0.25">
      <c r="E2334" t="str">
        <f>""</f>
        <v/>
      </c>
      <c r="F2334" t="str">
        <f>""</f>
        <v/>
      </c>
      <c r="H2334" t="str">
        <f t="shared" si="50"/>
        <v>BCBS PAYABLE</v>
      </c>
    </row>
    <row r="2335" spans="5:8" x14ac:dyDescent="0.25">
      <c r="E2335" t="str">
        <f>""</f>
        <v/>
      </c>
      <c r="F2335" t="str">
        <f>""</f>
        <v/>
      </c>
      <c r="H2335" t="str">
        <f t="shared" si="50"/>
        <v>BCBS PAYABLE</v>
      </c>
    </row>
    <row r="2336" spans="5:8" x14ac:dyDescent="0.25">
      <c r="E2336" t="str">
        <f>""</f>
        <v/>
      </c>
      <c r="F2336" t="str">
        <f>""</f>
        <v/>
      </c>
      <c r="H2336" t="str">
        <f t="shared" si="50"/>
        <v>BCBS PAYABLE</v>
      </c>
    </row>
    <row r="2337" spans="5:8" x14ac:dyDescent="0.25">
      <c r="E2337" t="str">
        <f>""</f>
        <v/>
      </c>
      <c r="F2337" t="str">
        <f>""</f>
        <v/>
      </c>
      <c r="H2337" t="str">
        <f t="shared" si="50"/>
        <v>BCBS PAYABLE</v>
      </c>
    </row>
    <row r="2338" spans="5:8" x14ac:dyDescent="0.25">
      <c r="E2338" t="str">
        <f>""</f>
        <v/>
      </c>
      <c r="F2338" t="str">
        <f>""</f>
        <v/>
      </c>
      <c r="H2338" t="str">
        <f t="shared" si="50"/>
        <v>BCBS PAYABLE</v>
      </c>
    </row>
    <row r="2339" spans="5:8" x14ac:dyDescent="0.25">
      <c r="E2339" t="str">
        <f>""</f>
        <v/>
      </c>
      <c r="F2339" t="str">
        <f>""</f>
        <v/>
      </c>
      <c r="H2339" t="str">
        <f t="shared" si="50"/>
        <v>BCBS PAYABLE</v>
      </c>
    </row>
    <row r="2340" spans="5:8" x14ac:dyDescent="0.25">
      <c r="E2340" t="str">
        <f>""</f>
        <v/>
      </c>
      <c r="F2340" t="str">
        <f>""</f>
        <v/>
      </c>
      <c r="H2340" t="str">
        <f t="shared" si="50"/>
        <v>BCBS PAYABLE</v>
      </c>
    </row>
    <row r="2341" spans="5:8" x14ac:dyDescent="0.25">
      <c r="E2341" t="str">
        <f>""</f>
        <v/>
      </c>
      <c r="F2341" t="str">
        <f>""</f>
        <v/>
      </c>
      <c r="H2341" t="str">
        <f t="shared" si="50"/>
        <v>BCBS PAYABLE</v>
      </c>
    </row>
    <row r="2342" spans="5:8" x14ac:dyDescent="0.25">
      <c r="E2342" t="str">
        <f>""</f>
        <v/>
      </c>
      <c r="F2342" t="str">
        <f>""</f>
        <v/>
      </c>
      <c r="H2342" t="str">
        <f t="shared" si="50"/>
        <v>BCBS PAYABLE</v>
      </c>
    </row>
    <row r="2343" spans="5:8" x14ac:dyDescent="0.25">
      <c r="E2343" t="str">
        <f>""</f>
        <v/>
      </c>
      <c r="F2343" t="str">
        <f>""</f>
        <v/>
      </c>
      <c r="H2343" t="str">
        <f t="shared" si="50"/>
        <v>BCBS PAYABLE</v>
      </c>
    </row>
    <row r="2344" spans="5:8" x14ac:dyDescent="0.25">
      <c r="E2344" t="str">
        <f>""</f>
        <v/>
      </c>
      <c r="F2344" t="str">
        <f>""</f>
        <v/>
      </c>
      <c r="H2344" t="str">
        <f t="shared" si="50"/>
        <v>BCBS PAYABLE</v>
      </c>
    </row>
    <row r="2345" spans="5:8" x14ac:dyDescent="0.25">
      <c r="E2345" t="str">
        <f>""</f>
        <v/>
      </c>
      <c r="F2345" t="str">
        <f>""</f>
        <v/>
      </c>
      <c r="H2345" t="str">
        <f t="shared" si="50"/>
        <v>BCBS PAYABLE</v>
      </c>
    </row>
    <row r="2346" spans="5:8" x14ac:dyDescent="0.25">
      <c r="E2346" t="str">
        <f>""</f>
        <v/>
      </c>
      <c r="F2346" t="str">
        <f>""</f>
        <v/>
      </c>
      <c r="H2346" t="str">
        <f t="shared" si="50"/>
        <v>BCBS PAYABLE</v>
      </c>
    </row>
    <row r="2347" spans="5:8" x14ac:dyDescent="0.25">
      <c r="E2347" t="str">
        <f>""</f>
        <v/>
      </c>
      <c r="F2347" t="str">
        <f>""</f>
        <v/>
      </c>
      <c r="H2347" t="str">
        <f t="shared" si="50"/>
        <v>BCBS PAYABLE</v>
      </c>
    </row>
    <row r="2348" spans="5:8" x14ac:dyDescent="0.25">
      <c r="E2348" t="str">
        <f>""</f>
        <v/>
      </c>
      <c r="F2348" t="str">
        <f>""</f>
        <v/>
      </c>
      <c r="H2348" t="str">
        <f t="shared" si="50"/>
        <v>BCBS PAYABLE</v>
      </c>
    </row>
    <row r="2349" spans="5:8" x14ac:dyDescent="0.25">
      <c r="E2349" t="str">
        <f>""</f>
        <v/>
      </c>
      <c r="F2349" t="str">
        <f>""</f>
        <v/>
      </c>
      <c r="H2349" t="str">
        <f t="shared" si="50"/>
        <v>BCBS PAYABLE</v>
      </c>
    </row>
    <row r="2350" spans="5:8" x14ac:dyDescent="0.25">
      <c r="E2350" t="str">
        <f>""</f>
        <v/>
      </c>
      <c r="F2350" t="str">
        <f>""</f>
        <v/>
      </c>
      <c r="H2350" t="str">
        <f t="shared" si="50"/>
        <v>BCBS PAYABLE</v>
      </c>
    </row>
    <row r="2351" spans="5:8" x14ac:dyDescent="0.25">
      <c r="E2351" t="str">
        <f>""</f>
        <v/>
      </c>
      <c r="F2351" t="str">
        <f>""</f>
        <v/>
      </c>
      <c r="H2351" t="str">
        <f t="shared" si="50"/>
        <v>BCBS PAYABLE</v>
      </c>
    </row>
    <row r="2352" spans="5:8" x14ac:dyDescent="0.25">
      <c r="E2352" t="str">
        <f>""</f>
        <v/>
      </c>
      <c r="F2352" t="str">
        <f>""</f>
        <v/>
      </c>
      <c r="H2352" t="str">
        <f t="shared" si="50"/>
        <v>BCBS PAYABLE</v>
      </c>
    </row>
    <row r="2353" spans="5:8" x14ac:dyDescent="0.25">
      <c r="E2353" t="str">
        <f>""</f>
        <v/>
      </c>
      <c r="F2353" t="str">
        <f>""</f>
        <v/>
      </c>
      <c r="H2353" t="str">
        <f t="shared" si="50"/>
        <v>BCBS PAYABLE</v>
      </c>
    </row>
    <row r="2354" spans="5:8" x14ac:dyDescent="0.25">
      <c r="E2354" t="str">
        <f>""</f>
        <v/>
      </c>
      <c r="F2354" t="str">
        <f>""</f>
        <v/>
      </c>
      <c r="H2354" t="str">
        <f t="shared" si="50"/>
        <v>BCBS PAYABLE</v>
      </c>
    </row>
    <row r="2355" spans="5:8" x14ac:dyDescent="0.25">
      <c r="E2355" t="str">
        <f>""</f>
        <v/>
      </c>
      <c r="F2355" t="str">
        <f>""</f>
        <v/>
      </c>
      <c r="H2355" t="str">
        <f t="shared" si="50"/>
        <v>BCBS PAYABLE</v>
      </c>
    </row>
    <row r="2356" spans="5:8" x14ac:dyDescent="0.25">
      <c r="E2356" t="str">
        <f>""</f>
        <v/>
      </c>
      <c r="F2356" t="str">
        <f>""</f>
        <v/>
      </c>
      <c r="H2356" t="str">
        <f t="shared" si="50"/>
        <v>BCBS PAYABLE</v>
      </c>
    </row>
    <row r="2357" spans="5:8" x14ac:dyDescent="0.25">
      <c r="E2357" t="str">
        <f>""</f>
        <v/>
      </c>
      <c r="F2357" t="str">
        <f>""</f>
        <v/>
      </c>
      <c r="H2357" t="str">
        <f t="shared" si="50"/>
        <v>BCBS PAYABLE</v>
      </c>
    </row>
    <row r="2358" spans="5:8" x14ac:dyDescent="0.25">
      <c r="E2358" t="str">
        <f>""</f>
        <v/>
      </c>
      <c r="F2358" t="str">
        <f>""</f>
        <v/>
      </c>
      <c r="H2358" t="str">
        <f t="shared" si="50"/>
        <v>BCBS PAYABLE</v>
      </c>
    </row>
    <row r="2359" spans="5:8" x14ac:dyDescent="0.25">
      <c r="E2359" t="str">
        <f>""</f>
        <v/>
      </c>
      <c r="F2359" t="str">
        <f>""</f>
        <v/>
      </c>
      <c r="H2359" t="str">
        <f t="shared" si="50"/>
        <v>BCBS PAYABLE</v>
      </c>
    </row>
    <row r="2360" spans="5:8" x14ac:dyDescent="0.25">
      <c r="E2360" t="str">
        <f>""</f>
        <v/>
      </c>
      <c r="F2360" t="str">
        <f>""</f>
        <v/>
      </c>
      <c r="H2360" t="str">
        <f t="shared" si="50"/>
        <v>BCBS PAYABLE</v>
      </c>
    </row>
    <row r="2361" spans="5:8" x14ac:dyDescent="0.25">
      <c r="E2361" t="str">
        <f>""</f>
        <v/>
      </c>
      <c r="F2361" t="str">
        <f>""</f>
        <v/>
      </c>
      <c r="H2361" t="str">
        <f t="shared" si="50"/>
        <v>BCBS PAYABLE</v>
      </c>
    </row>
    <row r="2362" spans="5:8" x14ac:dyDescent="0.25">
      <c r="E2362" t="str">
        <f>""</f>
        <v/>
      </c>
      <c r="F2362" t="str">
        <f>""</f>
        <v/>
      </c>
      <c r="H2362" t="str">
        <f t="shared" si="50"/>
        <v>BCBS PAYABLE</v>
      </c>
    </row>
    <row r="2363" spans="5:8" x14ac:dyDescent="0.25">
      <c r="E2363" t="str">
        <f>""</f>
        <v/>
      </c>
      <c r="F2363" t="str">
        <f>""</f>
        <v/>
      </c>
      <c r="H2363" t="str">
        <f t="shared" si="50"/>
        <v>BCBS PAYABLE</v>
      </c>
    </row>
    <row r="2364" spans="5:8" x14ac:dyDescent="0.25">
      <c r="E2364" t="str">
        <f>""</f>
        <v/>
      </c>
      <c r="F2364" t="str">
        <f>""</f>
        <v/>
      </c>
      <c r="H2364" t="str">
        <f t="shared" ref="H2364:H2395" si="51">"BCBS PAYABLE"</f>
        <v>BCBS PAYABLE</v>
      </c>
    </row>
    <row r="2365" spans="5:8" x14ac:dyDescent="0.25">
      <c r="E2365" t="str">
        <f>""</f>
        <v/>
      </c>
      <c r="F2365" t="str">
        <f>""</f>
        <v/>
      </c>
      <c r="H2365" t="str">
        <f t="shared" si="51"/>
        <v>BCBS PAYABLE</v>
      </c>
    </row>
    <row r="2366" spans="5:8" x14ac:dyDescent="0.25">
      <c r="E2366" t="str">
        <f>""</f>
        <v/>
      </c>
      <c r="F2366" t="str">
        <f>""</f>
        <v/>
      </c>
      <c r="H2366" t="str">
        <f t="shared" si="51"/>
        <v>BCBS PAYABLE</v>
      </c>
    </row>
    <row r="2367" spans="5:8" x14ac:dyDescent="0.25">
      <c r="E2367" t="str">
        <f>""</f>
        <v/>
      </c>
      <c r="F2367" t="str">
        <f>""</f>
        <v/>
      </c>
      <c r="H2367" t="str">
        <f t="shared" si="51"/>
        <v>BCBS PAYABLE</v>
      </c>
    </row>
    <row r="2368" spans="5:8" x14ac:dyDescent="0.25">
      <c r="E2368" t="str">
        <f>""</f>
        <v/>
      </c>
      <c r="F2368" t="str">
        <f>""</f>
        <v/>
      </c>
      <c r="H2368" t="str">
        <f t="shared" si="51"/>
        <v>BCBS PAYABLE</v>
      </c>
    </row>
    <row r="2369" spans="5:8" x14ac:dyDescent="0.25">
      <c r="E2369" t="str">
        <f>""</f>
        <v/>
      </c>
      <c r="F2369" t="str">
        <f>""</f>
        <v/>
      </c>
      <c r="H2369" t="str">
        <f t="shared" si="51"/>
        <v>BCBS PAYABLE</v>
      </c>
    </row>
    <row r="2370" spans="5:8" x14ac:dyDescent="0.25">
      <c r="E2370" t="str">
        <f>""</f>
        <v/>
      </c>
      <c r="F2370" t="str">
        <f>""</f>
        <v/>
      </c>
      <c r="H2370" t="str">
        <f t="shared" si="51"/>
        <v>BCBS PAYABLE</v>
      </c>
    </row>
    <row r="2371" spans="5:8" x14ac:dyDescent="0.25">
      <c r="E2371" t="str">
        <f>""</f>
        <v/>
      </c>
      <c r="F2371" t="str">
        <f>""</f>
        <v/>
      </c>
      <c r="H2371" t="str">
        <f t="shared" si="51"/>
        <v>BCBS PAYABLE</v>
      </c>
    </row>
    <row r="2372" spans="5:8" x14ac:dyDescent="0.25">
      <c r="E2372" t="str">
        <f>""</f>
        <v/>
      </c>
      <c r="F2372" t="str">
        <f>""</f>
        <v/>
      </c>
      <c r="H2372" t="str">
        <f t="shared" si="51"/>
        <v>BCBS PAYABLE</v>
      </c>
    </row>
    <row r="2373" spans="5:8" x14ac:dyDescent="0.25">
      <c r="E2373" t="str">
        <f>"2EO202003186057"</f>
        <v>2EO202003186057</v>
      </c>
      <c r="F2373" t="str">
        <f>"BCBS PAYABLE"</f>
        <v>BCBS PAYABLE</v>
      </c>
      <c r="G2373" s="5">
        <v>4314.4399999999996</v>
      </c>
      <c r="H2373" t="str">
        <f t="shared" si="51"/>
        <v>BCBS PAYABLE</v>
      </c>
    </row>
    <row r="2374" spans="5:8" x14ac:dyDescent="0.25">
      <c r="E2374" t="str">
        <f>"2ES202003035702"</f>
        <v>2ES202003035702</v>
      </c>
      <c r="F2374" t="str">
        <f>"BCBS PAYABLE"</f>
        <v>BCBS PAYABLE</v>
      </c>
      <c r="G2374" s="5">
        <v>15306.2</v>
      </c>
      <c r="H2374" t="str">
        <f t="shared" si="51"/>
        <v>BCBS PAYABLE</v>
      </c>
    </row>
    <row r="2375" spans="5:8" x14ac:dyDescent="0.25">
      <c r="E2375" t="str">
        <f>""</f>
        <v/>
      </c>
      <c r="F2375" t="str">
        <f>""</f>
        <v/>
      </c>
      <c r="H2375" t="str">
        <f t="shared" si="51"/>
        <v>BCBS PAYABLE</v>
      </c>
    </row>
    <row r="2376" spans="5:8" x14ac:dyDescent="0.25">
      <c r="E2376" t="str">
        <f>""</f>
        <v/>
      </c>
      <c r="F2376" t="str">
        <f>""</f>
        <v/>
      </c>
      <c r="H2376" t="str">
        <f t="shared" si="51"/>
        <v>BCBS PAYABLE</v>
      </c>
    </row>
    <row r="2377" spans="5:8" x14ac:dyDescent="0.25">
      <c r="E2377" t="str">
        <f>""</f>
        <v/>
      </c>
      <c r="F2377" t="str">
        <f>""</f>
        <v/>
      </c>
      <c r="H2377" t="str">
        <f t="shared" si="51"/>
        <v>BCBS PAYABLE</v>
      </c>
    </row>
    <row r="2378" spans="5:8" x14ac:dyDescent="0.25">
      <c r="E2378" t="str">
        <f>""</f>
        <v/>
      </c>
      <c r="F2378" t="str">
        <f>""</f>
        <v/>
      </c>
      <c r="H2378" t="str">
        <f t="shared" si="51"/>
        <v>BCBS PAYABLE</v>
      </c>
    </row>
    <row r="2379" spans="5:8" x14ac:dyDescent="0.25">
      <c r="E2379" t="str">
        <f>""</f>
        <v/>
      </c>
      <c r="F2379" t="str">
        <f>""</f>
        <v/>
      </c>
      <c r="H2379" t="str">
        <f t="shared" si="51"/>
        <v>BCBS PAYABLE</v>
      </c>
    </row>
    <row r="2380" spans="5:8" x14ac:dyDescent="0.25">
      <c r="E2380" t="str">
        <f>""</f>
        <v/>
      </c>
      <c r="F2380" t="str">
        <f>""</f>
        <v/>
      </c>
      <c r="H2380" t="str">
        <f t="shared" si="51"/>
        <v>BCBS PAYABLE</v>
      </c>
    </row>
    <row r="2381" spans="5:8" x14ac:dyDescent="0.25">
      <c r="E2381" t="str">
        <f>""</f>
        <v/>
      </c>
      <c r="F2381" t="str">
        <f>""</f>
        <v/>
      </c>
      <c r="H2381" t="str">
        <f t="shared" si="51"/>
        <v>BCBS PAYABLE</v>
      </c>
    </row>
    <row r="2382" spans="5:8" x14ac:dyDescent="0.25">
      <c r="E2382" t="str">
        <f>""</f>
        <v/>
      </c>
      <c r="F2382" t="str">
        <f>""</f>
        <v/>
      </c>
      <c r="H2382" t="str">
        <f t="shared" si="51"/>
        <v>BCBS PAYABLE</v>
      </c>
    </row>
    <row r="2383" spans="5:8" x14ac:dyDescent="0.25">
      <c r="E2383" t="str">
        <f>""</f>
        <v/>
      </c>
      <c r="F2383" t="str">
        <f>""</f>
        <v/>
      </c>
      <c r="H2383" t="str">
        <f t="shared" si="51"/>
        <v>BCBS PAYABLE</v>
      </c>
    </row>
    <row r="2384" spans="5:8" x14ac:dyDescent="0.25">
      <c r="E2384" t="str">
        <f>""</f>
        <v/>
      </c>
      <c r="F2384" t="str">
        <f>""</f>
        <v/>
      </c>
      <c r="H2384" t="str">
        <f t="shared" si="51"/>
        <v>BCBS PAYABLE</v>
      </c>
    </row>
    <row r="2385" spans="5:8" x14ac:dyDescent="0.25">
      <c r="E2385" t="str">
        <f>""</f>
        <v/>
      </c>
      <c r="F2385" t="str">
        <f>""</f>
        <v/>
      </c>
      <c r="H2385" t="str">
        <f t="shared" si="51"/>
        <v>BCBS PAYABLE</v>
      </c>
    </row>
    <row r="2386" spans="5:8" x14ac:dyDescent="0.25">
      <c r="E2386" t="str">
        <f>""</f>
        <v/>
      </c>
      <c r="F2386" t="str">
        <f>""</f>
        <v/>
      </c>
      <c r="H2386" t="str">
        <f t="shared" si="51"/>
        <v>BCBS PAYABLE</v>
      </c>
    </row>
    <row r="2387" spans="5:8" x14ac:dyDescent="0.25">
      <c r="E2387" t="str">
        <f>""</f>
        <v/>
      </c>
      <c r="F2387" t="str">
        <f>""</f>
        <v/>
      </c>
      <c r="H2387" t="str">
        <f t="shared" si="51"/>
        <v>BCBS PAYABLE</v>
      </c>
    </row>
    <row r="2388" spans="5:8" x14ac:dyDescent="0.25">
      <c r="E2388" t="str">
        <f>""</f>
        <v/>
      </c>
      <c r="F2388" t="str">
        <f>""</f>
        <v/>
      </c>
      <c r="H2388" t="str">
        <f t="shared" si="51"/>
        <v>BCBS PAYABLE</v>
      </c>
    </row>
    <row r="2389" spans="5:8" x14ac:dyDescent="0.25">
      <c r="E2389" t="str">
        <f>"2ES202003186056"</f>
        <v>2ES202003186056</v>
      </c>
      <c r="F2389" t="str">
        <f>"BCBS PAYABLE"</f>
        <v>BCBS PAYABLE</v>
      </c>
      <c r="G2389" s="5">
        <v>15306.2</v>
      </c>
      <c r="H2389" t="str">
        <f t="shared" si="51"/>
        <v>BCBS PAYABLE</v>
      </c>
    </row>
    <row r="2390" spans="5:8" x14ac:dyDescent="0.25">
      <c r="E2390" t="str">
        <f>""</f>
        <v/>
      </c>
      <c r="F2390" t="str">
        <f>""</f>
        <v/>
      </c>
      <c r="H2390" t="str">
        <f t="shared" si="51"/>
        <v>BCBS PAYABLE</v>
      </c>
    </row>
    <row r="2391" spans="5:8" x14ac:dyDescent="0.25">
      <c r="E2391" t="str">
        <f>""</f>
        <v/>
      </c>
      <c r="F2391" t="str">
        <f>""</f>
        <v/>
      </c>
      <c r="H2391" t="str">
        <f t="shared" si="51"/>
        <v>BCBS PAYABLE</v>
      </c>
    </row>
    <row r="2392" spans="5:8" x14ac:dyDescent="0.25">
      <c r="E2392" t="str">
        <f>""</f>
        <v/>
      </c>
      <c r="F2392" t="str">
        <f>""</f>
        <v/>
      </c>
      <c r="H2392" t="str">
        <f t="shared" si="51"/>
        <v>BCBS PAYABLE</v>
      </c>
    </row>
    <row r="2393" spans="5:8" x14ac:dyDescent="0.25">
      <c r="E2393" t="str">
        <f>""</f>
        <v/>
      </c>
      <c r="F2393" t="str">
        <f>""</f>
        <v/>
      </c>
      <c r="H2393" t="str">
        <f t="shared" si="51"/>
        <v>BCBS PAYABLE</v>
      </c>
    </row>
    <row r="2394" spans="5:8" x14ac:dyDescent="0.25">
      <c r="E2394" t="str">
        <f>""</f>
        <v/>
      </c>
      <c r="F2394" t="str">
        <f>""</f>
        <v/>
      </c>
      <c r="H2394" t="str">
        <f t="shared" si="51"/>
        <v>BCBS PAYABLE</v>
      </c>
    </row>
    <row r="2395" spans="5:8" x14ac:dyDescent="0.25">
      <c r="E2395" t="str">
        <f>""</f>
        <v/>
      </c>
      <c r="F2395" t="str">
        <f>""</f>
        <v/>
      </c>
      <c r="H2395" t="str">
        <f t="shared" si="51"/>
        <v>BCBS PAYABLE</v>
      </c>
    </row>
    <row r="2396" spans="5:8" x14ac:dyDescent="0.25">
      <c r="E2396" t="str">
        <f>""</f>
        <v/>
      </c>
      <c r="F2396" t="str">
        <f>""</f>
        <v/>
      </c>
      <c r="H2396" t="str">
        <f t="shared" ref="H2396:H2403" si="52">"BCBS PAYABLE"</f>
        <v>BCBS PAYABLE</v>
      </c>
    </row>
    <row r="2397" spans="5:8" x14ac:dyDescent="0.25">
      <c r="E2397" t="str">
        <f>""</f>
        <v/>
      </c>
      <c r="F2397" t="str">
        <f>""</f>
        <v/>
      </c>
      <c r="H2397" t="str">
        <f t="shared" si="52"/>
        <v>BCBS PAYABLE</v>
      </c>
    </row>
    <row r="2398" spans="5:8" x14ac:dyDescent="0.25">
      <c r="E2398" t="str">
        <f>""</f>
        <v/>
      </c>
      <c r="F2398" t="str">
        <f>""</f>
        <v/>
      </c>
      <c r="H2398" t="str">
        <f t="shared" si="52"/>
        <v>BCBS PAYABLE</v>
      </c>
    </row>
    <row r="2399" spans="5:8" x14ac:dyDescent="0.25">
      <c r="E2399" t="str">
        <f>""</f>
        <v/>
      </c>
      <c r="F2399" t="str">
        <f>""</f>
        <v/>
      </c>
      <c r="H2399" t="str">
        <f t="shared" si="52"/>
        <v>BCBS PAYABLE</v>
      </c>
    </row>
    <row r="2400" spans="5:8" x14ac:dyDescent="0.25">
      <c r="E2400" t="str">
        <f>""</f>
        <v/>
      </c>
      <c r="F2400" t="str">
        <f>""</f>
        <v/>
      </c>
      <c r="H2400" t="str">
        <f t="shared" si="52"/>
        <v>BCBS PAYABLE</v>
      </c>
    </row>
    <row r="2401" spans="1:8" x14ac:dyDescent="0.25">
      <c r="E2401" t="str">
        <f>""</f>
        <v/>
      </c>
      <c r="F2401" t="str">
        <f>""</f>
        <v/>
      </c>
      <c r="H2401" t="str">
        <f t="shared" si="52"/>
        <v>BCBS PAYABLE</v>
      </c>
    </row>
    <row r="2402" spans="1:8" x14ac:dyDescent="0.25">
      <c r="E2402" t="str">
        <f>""</f>
        <v/>
      </c>
      <c r="F2402" t="str">
        <f>""</f>
        <v/>
      </c>
      <c r="H2402" t="str">
        <f t="shared" si="52"/>
        <v>BCBS PAYABLE</v>
      </c>
    </row>
    <row r="2403" spans="1:8" x14ac:dyDescent="0.25">
      <c r="E2403" t="str">
        <f>""</f>
        <v/>
      </c>
      <c r="F2403" t="str">
        <f>""</f>
        <v/>
      </c>
      <c r="H2403" t="str">
        <f t="shared" si="52"/>
        <v>BCBS PAYABLE</v>
      </c>
    </row>
    <row r="2404" spans="1:8" x14ac:dyDescent="0.25">
      <c r="A2404" t="s">
        <v>450</v>
      </c>
      <c r="B2404">
        <v>439</v>
      </c>
      <c r="C2404" s="5">
        <v>11970.6</v>
      </c>
      <c r="D2404" s="1">
        <v>43896</v>
      </c>
      <c r="E2404" t="str">
        <f>"FSA202003035702"</f>
        <v>FSA202003035702</v>
      </c>
      <c r="F2404" t="str">
        <f>"TASC FSA"</f>
        <v>TASC FSA</v>
      </c>
      <c r="G2404" s="5">
        <v>7625.48</v>
      </c>
      <c r="H2404" t="str">
        <f>"TASC FSA"</f>
        <v>TASC FSA</v>
      </c>
    </row>
    <row r="2405" spans="1:8" x14ac:dyDescent="0.25">
      <c r="E2405" t="str">
        <f>"FSA202003045735"</f>
        <v>FSA202003045735</v>
      </c>
      <c r="F2405" t="str">
        <f>"TASC FSA"</f>
        <v>TASC FSA</v>
      </c>
      <c r="G2405" s="5">
        <v>445.4</v>
      </c>
      <c r="H2405" t="str">
        <f>"TASC FSA"</f>
        <v>TASC FSA</v>
      </c>
    </row>
    <row r="2406" spans="1:8" x14ac:dyDescent="0.25">
      <c r="E2406" t="str">
        <f>"FSC202003035702"</f>
        <v>FSC202003035702</v>
      </c>
      <c r="F2406" t="str">
        <f>"TASC DEPENDENT CARE"</f>
        <v>TASC DEPENDENT CARE</v>
      </c>
      <c r="G2406" s="5">
        <v>470</v>
      </c>
      <c r="H2406" t="str">
        <f>"TASC DEPENDENT CARE"</f>
        <v>TASC DEPENDENT CARE</v>
      </c>
    </row>
    <row r="2407" spans="1:8" x14ac:dyDescent="0.25">
      <c r="E2407" t="str">
        <f>"FSF202003035702"</f>
        <v>FSF202003035702</v>
      </c>
      <c r="F2407" t="str">
        <f>"TASC - FSA  FEES"</f>
        <v>TASC - FSA  FEES</v>
      </c>
      <c r="G2407" s="5">
        <v>252</v>
      </c>
      <c r="H2407" t="str">
        <f t="shared" ref="H2407:H2447" si="53">"TASC - FSA  FEES"</f>
        <v>TASC - FSA  FEES</v>
      </c>
    </row>
    <row r="2408" spans="1:8" x14ac:dyDescent="0.25">
      <c r="E2408" t="str">
        <f>""</f>
        <v/>
      </c>
      <c r="F2408" t="str">
        <f>""</f>
        <v/>
      </c>
      <c r="H2408" t="str">
        <f t="shared" si="53"/>
        <v>TASC - FSA  FEES</v>
      </c>
    </row>
    <row r="2409" spans="1:8" x14ac:dyDescent="0.25">
      <c r="E2409" t="str">
        <f>""</f>
        <v/>
      </c>
      <c r="F2409" t="str">
        <f>""</f>
        <v/>
      </c>
      <c r="H2409" t="str">
        <f t="shared" si="53"/>
        <v>TASC - FSA  FEES</v>
      </c>
    </row>
    <row r="2410" spans="1:8" x14ac:dyDescent="0.25">
      <c r="E2410" t="str">
        <f>""</f>
        <v/>
      </c>
      <c r="F2410" t="str">
        <f>""</f>
        <v/>
      </c>
      <c r="H2410" t="str">
        <f t="shared" si="53"/>
        <v>TASC - FSA  FEES</v>
      </c>
    </row>
    <row r="2411" spans="1:8" x14ac:dyDescent="0.25">
      <c r="E2411" t="str">
        <f>""</f>
        <v/>
      </c>
      <c r="F2411" t="str">
        <f>""</f>
        <v/>
      </c>
      <c r="H2411" t="str">
        <f t="shared" si="53"/>
        <v>TASC - FSA  FEES</v>
      </c>
    </row>
    <row r="2412" spans="1:8" x14ac:dyDescent="0.25">
      <c r="E2412" t="str">
        <f>""</f>
        <v/>
      </c>
      <c r="F2412" t="str">
        <f>""</f>
        <v/>
      </c>
      <c r="H2412" t="str">
        <f t="shared" si="53"/>
        <v>TASC - FSA  FEES</v>
      </c>
    </row>
    <row r="2413" spans="1:8" x14ac:dyDescent="0.25">
      <c r="E2413" t="str">
        <f>""</f>
        <v/>
      </c>
      <c r="F2413" t="str">
        <f>""</f>
        <v/>
      </c>
      <c r="H2413" t="str">
        <f t="shared" si="53"/>
        <v>TASC - FSA  FEES</v>
      </c>
    </row>
    <row r="2414" spans="1:8" x14ac:dyDescent="0.25">
      <c r="E2414" t="str">
        <f>""</f>
        <v/>
      </c>
      <c r="F2414" t="str">
        <f>""</f>
        <v/>
      </c>
      <c r="H2414" t="str">
        <f t="shared" si="53"/>
        <v>TASC - FSA  FEES</v>
      </c>
    </row>
    <row r="2415" spans="1:8" x14ac:dyDescent="0.25">
      <c r="E2415" t="str">
        <f>""</f>
        <v/>
      </c>
      <c r="F2415" t="str">
        <f>""</f>
        <v/>
      </c>
      <c r="H2415" t="str">
        <f t="shared" si="53"/>
        <v>TASC - FSA  FEES</v>
      </c>
    </row>
    <row r="2416" spans="1:8" x14ac:dyDescent="0.25">
      <c r="E2416" t="str">
        <f>""</f>
        <v/>
      </c>
      <c r="F2416" t="str">
        <f>""</f>
        <v/>
      </c>
      <c r="H2416" t="str">
        <f t="shared" si="53"/>
        <v>TASC - FSA  FEES</v>
      </c>
    </row>
    <row r="2417" spans="5:8" x14ac:dyDescent="0.25">
      <c r="E2417" t="str">
        <f>""</f>
        <v/>
      </c>
      <c r="F2417" t="str">
        <f>""</f>
        <v/>
      </c>
      <c r="H2417" t="str">
        <f t="shared" si="53"/>
        <v>TASC - FSA  FEES</v>
      </c>
    </row>
    <row r="2418" spans="5:8" x14ac:dyDescent="0.25">
      <c r="E2418" t="str">
        <f>""</f>
        <v/>
      </c>
      <c r="F2418" t="str">
        <f>""</f>
        <v/>
      </c>
      <c r="H2418" t="str">
        <f t="shared" si="53"/>
        <v>TASC - FSA  FEES</v>
      </c>
    </row>
    <row r="2419" spans="5:8" x14ac:dyDescent="0.25">
      <c r="E2419" t="str">
        <f>""</f>
        <v/>
      </c>
      <c r="F2419" t="str">
        <f>""</f>
        <v/>
      </c>
      <c r="H2419" t="str">
        <f t="shared" si="53"/>
        <v>TASC - FSA  FEES</v>
      </c>
    </row>
    <row r="2420" spans="5:8" x14ac:dyDescent="0.25">
      <c r="E2420" t="str">
        <f>""</f>
        <v/>
      </c>
      <c r="F2420" t="str">
        <f>""</f>
        <v/>
      </c>
      <c r="H2420" t="str">
        <f t="shared" si="53"/>
        <v>TASC - FSA  FEES</v>
      </c>
    </row>
    <row r="2421" spans="5:8" x14ac:dyDescent="0.25">
      <c r="E2421" t="str">
        <f>""</f>
        <v/>
      </c>
      <c r="F2421" t="str">
        <f>""</f>
        <v/>
      </c>
      <c r="H2421" t="str">
        <f t="shared" si="53"/>
        <v>TASC - FSA  FEES</v>
      </c>
    </row>
    <row r="2422" spans="5:8" x14ac:dyDescent="0.25">
      <c r="E2422" t="str">
        <f>""</f>
        <v/>
      </c>
      <c r="F2422" t="str">
        <f>""</f>
        <v/>
      </c>
      <c r="H2422" t="str">
        <f t="shared" si="53"/>
        <v>TASC - FSA  FEES</v>
      </c>
    </row>
    <row r="2423" spans="5:8" x14ac:dyDescent="0.25">
      <c r="E2423" t="str">
        <f>""</f>
        <v/>
      </c>
      <c r="F2423" t="str">
        <f>""</f>
        <v/>
      </c>
      <c r="H2423" t="str">
        <f t="shared" si="53"/>
        <v>TASC - FSA  FEES</v>
      </c>
    </row>
    <row r="2424" spans="5:8" x14ac:dyDescent="0.25">
      <c r="E2424" t="str">
        <f>""</f>
        <v/>
      </c>
      <c r="F2424" t="str">
        <f>""</f>
        <v/>
      </c>
      <c r="H2424" t="str">
        <f t="shared" si="53"/>
        <v>TASC - FSA  FEES</v>
      </c>
    </row>
    <row r="2425" spans="5:8" x14ac:dyDescent="0.25">
      <c r="E2425" t="str">
        <f>""</f>
        <v/>
      </c>
      <c r="F2425" t="str">
        <f>""</f>
        <v/>
      </c>
      <c r="H2425" t="str">
        <f t="shared" si="53"/>
        <v>TASC - FSA  FEES</v>
      </c>
    </row>
    <row r="2426" spans="5:8" x14ac:dyDescent="0.25">
      <c r="E2426" t="str">
        <f>""</f>
        <v/>
      </c>
      <c r="F2426" t="str">
        <f>""</f>
        <v/>
      </c>
      <c r="H2426" t="str">
        <f t="shared" si="53"/>
        <v>TASC - FSA  FEES</v>
      </c>
    </row>
    <row r="2427" spans="5:8" x14ac:dyDescent="0.25">
      <c r="E2427" t="str">
        <f>""</f>
        <v/>
      </c>
      <c r="F2427" t="str">
        <f>""</f>
        <v/>
      </c>
      <c r="H2427" t="str">
        <f t="shared" si="53"/>
        <v>TASC - FSA  FEES</v>
      </c>
    </row>
    <row r="2428" spans="5:8" x14ac:dyDescent="0.25">
      <c r="E2428" t="str">
        <f>""</f>
        <v/>
      </c>
      <c r="F2428" t="str">
        <f>""</f>
        <v/>
      </c>
      <c r="H2428" t="str">
        <f t="shared" si="53"/>
        <v>TASC - FSA  FEES</v>
      </c>
    </row>
    <row r="2429" spans="5:8" x14ac:dyDescent="0.25">
      <c r="E2429" t="str">
        <f>""</f>
        <v/>
      </c>
      <c r="F2429" t="str">
        <f>""</f>
        <v/>
      </c>
      <c r="H2429" t="str">
        <f t="shared" si="53"/>
        <v>TASC - FSA  FEES</v>
      </c>
    </row>
    <row r="2430" spans="5:8" x14ac:dyDescent="0.25">
      <c r="E2430" t="str">
        <f>""</f>
        <v/>
      </c>
      <c r="F2430" t="str">
        <f>""</f>
        <v/>
      </c>
      <c r="H2430" t="str">
        <f t="shared" si="53"/>
        <v>TASC - FSA  FEES</v>
      </c>
    </row>
    <row r="2431" spans="5:8" x14ac:dyDescent="0.25">
      <c r="E2431" t="str">
        <f>""</f>
        <v/>
      </c>
      <c r="F2431" t="str">
        <f>""</f>
        <v/>
      </c>
      <c r="H2431" t="str">
        <f t="shared" si="53"/>
        <v>TASC - FSA  FEES</v>
      </c>
    </row>
    <row r="2432" spans="5:8" x14ac:dyDescent="0.25">
      <c r="E2432" t="str">
        <f>""</f>
        <v/>
      </c>
      <c r="F2432" t="str">
        <f>""</f>
        <v/>
      </c>
      <c r="H2432" t="str">
        <f t="shared" si="53"/>
        <v>TASC - FSA  FEES</v>
      </c>
    </row>
    <row r="2433" spans="5:8" x14ac:dyDescent="0.25">
      <c r="E2433" t="str">
        <f>""</f>
        <v/>
      </c>
      <c r="F2433" t="str">
        <f>""</f>
        <v/>
      </c>
      <c r="H2433" t="str">
        <f t="shared" si="53"/>
        <v>TASC - FSA  FEES</v>
      </c>
    </row>
    <row r="2434" spans="5:8" x14ac:dyDescent="0.25">
      <c r="E2434" t="str">
        <f>""</f>
        <v/>
      </c>
      <c r="F2434" t="str">
        <f>""</f>
        <v/>
      </c>
      <c r="H2434" t="str">
        <f t="shared" si="53"/>
        <v>TASC - FSA  FEES</v>
      </c>
    </row>
    <row r="2435" spans="5:8" x14ac:dyDescent="0.25">
      <c r="E2435" t="str">
        <f>""</f>
        <v/>
      </c>
      <c r="F2435" t="str">
        <f>""</f>
        <v/>
      </c>
      <c r="H2435" t="str">
        <f t="shared" si="53"/>
        <v>TASC - FSA  FEES</v>
      </c>
    </row>
    <row r="2436" spans="5:8" x14ac:dyDescent="0.25">
      <c r="E2436" t="str">
        <f>""</f>
        <v/>
      </c>
      <c r="F2436" t="str">
        <f>""</f>
        <v/>
      </c>
      <c r="H2436" t="str">
        <f t="shared" si="53"/>
        <v>TASC - FSA  FEES</v>
      </c>
    </row>
    <row r="2437" spans="5:8" x14ac:dyDescent="0.25">
      <c r="E2437" t="str">
        <f>""</f>
        <v/>
      </c>
      <c r="F2437" t="str">
        <f>""</f>
        <v/>
      </c>
      <c r="H2437" t="str">
        <f t="shared" si="53"/>
        <v>TASC - FSA  FEES</v>
      </c>
    </row>
    <row r="2438" spans="5:8" x14ac:dyDescent="0.25">
      <c r="E2438" t="str">
        <f>""</f>
        <v/>
      </c>
      <c r="F2438" t="str">
        <f>""</f>
        <v/>
      </c>
      <c r="H2438" t="str">
        <f t="shared" si="53"/>
        <v>TASC - FSA  FEES</v>
      </c>
    </row>
    <row r="2439" spans="5:8" x14ac:dyDescent="0.25">
      <c r="E2439" t="str">
        <f>""</f>
        <v/>
      </c>
      <c r="F2439" t="str">
        <f>""</f>
        <v/>
      </c>
      <c r="H2439" t="str">
        <f t="shared" si="53"/>
        <v>TASC - FSA  FEES</v>
      </c>
    </row>
    <row r="2440" spans="5:8" x14ac:dyDescent="0.25">
      <c r="E2440" t="str">
        <f>""</f>
        <v/>
      </c>
      <c r="F2440" t="str">
        <f>""</f>
        <v/>
      </c>
      <c r="H2440" t="str">
        <f t="shared" si="53"/>
        <v>TASC - FSA  FEES</v>
      </c>
    </row>
    <row r="2441" spans="5:8" x14ac:dyDescent="0.25">
      <c r="E2441" t="str">
        <f>""</f>
        <v/>
      </c>
      <c r="F2441" t="str">
        <f>""</f>
        <v/>
      </c>
      <c r="H2441" t="str">
        <f t="shared" si="53"/>
        <v>TASC - FSA  FEES</v>
      </c>
    </row>
    <row r="2442" spans="5:8" x14ac:dyDescent="0.25">
      <c r="E2442" t="str">
        <f>""</f>
        <v/>
      </c>
      <c r="F2442" t="str">
        <f>""</f>
        <v/>
      </c>
      <c r="H2442" t="str">
        <f t="shared" si="53"/>
        <v>TASC - FSA  FEES</v>
      </c>
    </row>
    <row r="2443" spans="5:8" x14ac:dyDescent="0.25">
      <c r="E2443" t="str">
        <f>""</f>
        <v/>
      </c>
      <c r="F2443" t="str">
        <f>""</f>
        <v/>
      </c>
      <c r="H2443" t="str">
        <f t="shared" si="53"/>
        <v>TASC - FSA  FEES</v>
      </c>
    </row>
    <row r="2444" spans="5:8" x14ac:dyDescent="0.25">
      <c r="E2444" t="str">
        <f>""</f>
        <v/>
      </c>
      <c r="F2444" t="str">
        <f>""</f>
        <v/>
      </c>
      <c r="H2444" t="str">
        <f t="shared" si="53"/>
        <v>TASC - FSA  FEES</v>
      </c>
    </row>
    <row r="2445" spans="5:8" x14ac:dyDescent="0.25">
      <c r="E2445" t="str">
        <f>""</f>
        <v/>
      </c>
      <c r="F2445" t="str">
        <f>""</f>
        <v/>
      </c>
      <c r="H2445" t="str">
        <f t="shared" si="53"/>
        <v>TASC - FSA  FEES</v>
      </c>
    </row>
    <row r="2446" spans="5:8" x14ac:dyDescent="0.25">
      <c r="E2446" t="str">
        <f>""</f>
        <v/>
      </c>
      <c r="F2446" t="str">
        <f>""</f>
        <v/>
      </c>
      <c r="H2446" t="str">
        <f t="shared" si="53"/>
        <v>TASC - FSA  FEES</v>
      </c>
    </row>
    <row r="2447" spans="5:8" x14ac:dyDescent="0.25">
      <c r="E2447" t="str">
        <f>"FSF202003045735"</f>
        <v>FSF202003045735</v>
      </c>
      <c r="F2447" t="str">
        <f>"TASC - FSA  FEES"</f>
        <v>TASC - FSA  FEES</v>
      </c>
      <c r="G2447" s="5">
        <v>12.6</v>
      </c>
      <c r="H2447" t="str">
        <f t="shared" si="53"/>
        <v>TASC - FSA  FEES</v>
      </c>
    </row>
    <row r="2448" spans="5:8" x14ac:dyDescent="0.25">
      <c r="E2448" t="str">
        <f>"HRA202003035702"</f>
        <v>HRA202003035702</v>
      </c>
      <c r="F2448" t="str">
        <f>"TASC HRA"</f>
        <v>TASC HRA</v>
      </c>
      <c r="G2448" s="5">
        <v>2333.52</v>
      </c>
      <c r="H2448" t="str">
        <f t="shared" ref="H2448:H2453" si="54">"TASC HRA"</f>
        <v>TASC HRA</v>
      </c>
    </row>
    <row r="2449" spans="5:8" x14ac:dyDescent="0.25">
      <c r="E2449" t="str">
        <f>""</f>
        <v/>
      </c>
      <c r="F2449" t="str">
        <f>""</f>
        <v/>
      </c>
      <c r="H2449" t="str">
        <f t="shared" si="54"/>
        <v>TASC HRA</v>
      </c>
    </row>
    <row r="2450" spans="5:8" x14ac:dyDescent="0.25">
      <c r="E2450" t="str">
        <f>""</f>
        <v/>
      </c>
      <c r="F2450" t="str">
        <f>""</f>
        <v/>
      </c>
      <c r="H2450" t="str">
        <f t="shared" si="54"/>
        <v>TASC HRA</v>
      </c>
    </row>
    <row r="2451" spans="5:8" x14ac:dyDescent="0.25">
      <c r="E2451" t="str">
        <f>""</f>
        <v/>
      </c>
      <c r="F2451" t="str">
        <f>""</f>
        <v/>
      </c>
      <c r="H2451" t="str">
        <f t="shared" si="54"/>
        <v>TASC HRA</v>
      </c>
    </row>
    <row r="2452" spans="5:8" x14ac:dyDescent="0.25">
      <c r="E2452" t="str">
        <f>""</f>
        <v/>
      </c>
      <c r="F2452" t="str">
        <f>""</f>
        <v/>
      </c>
      <c r="H2452" t="str">
        <f t="shared" si="54"/>
        <v>TASC HRA</v>
      </c>
    </row>
    <row r="2453" spans="5:8" x14ac:dyDescent="0.25">
      <c r="E2453" t="str">
        <f>""</f>
        <v/>
      </c>
      <c r="F2453" t="str">
        <f>""</f>
        <v/>
      </c>
      <c r="H2453" t="str">
        <f t="shared" si="54"/>
        <v>TASC HRA</v>
      </c>
    </row>
    <row r="2454" spans="5:8" x14ac:dyDescent="0.25">
      <c r="E2454" t="str">
        <f>"HRF202003035702"</f>
        <v>HRF202003035702</v>
      </c>
      <c r="F2454" t="str">
        <f>"TASC - HRA FEES"</f>
        <v>TASC - HRA FEES</v>
      </c>
      <c r="G2454" s="5">
        <v>801</v>
      </c>
      <c r="H2454" t="str">
        <f t="shared" ref="H2454:H2485" si="55">"TASC - HRA FEES"</f>
        <v>TASC - HRA FEES</v>
      </c>
    </row>
    <row r="2455" spans="5:8" x14ac:dyDescent="0.25">
      <c r="E2455" t="str">
        <f>""</f>
        <v/>
      </c>
      <c r="F2455" t="str">
        <f>""</f>
        <v/>
      </c>
      <c r="H2455" t="str">
        <f t="shared" si="55"/>
        <v>TASC - HRA FEES</v>
      </c>
    </row>
    <row r="2456" spans="5:8" x14ac:dyDescent="0.25">
      <c r="E2456" t="str">
        <f>""</f>
        <v/>
      </c>
      <c r="F2456" t="str">
        <f>""</f>
        <v/>
      </c>
      <c r="H2456" t="str">
        <f t="shared" si="55"/>
        <v>TASC - HRA FEES</v>
      </c>
    </row>
    <row r="2457" spans="5:8" x14ac:dyDescent="0.25">
      <c r="E2457" t="str">
        <f>""</f>
        <v/>
      </c>
      <c r="F2457" t="str">
        <f>""</f>
        <v/>
      </c>
      <c r="H2457" t="str">
        <f t="shared" si="55"/>
        <v>TASC - HRA FEES</v>
      </c>
    </row>
    <row r="2458" spans="5:8" x14ac:dyDescent="0.25">
      <c r="E2458" t="str">
        <f>""</f>
        <v/>
      </c>
      <c r="F2458" t="str">
        <f>""</f>
        <v/>
      </c>
      <c r="H2458" t="str">
        <f t="shared" si="55"/>
        <v>TASC - HRA FEES</v>
      </c>
    </row>
    <row r="2459" spans="5:8" x14ac:dyDescent="0.25">
      <c r="E2459" t="str">
        <f>""</f>
        <v/>
      </c>
      <c r="F2459" t="str">
        <f>""</f>
        <v/>
      </c>
      <c r="H2459" t="str">
        <f t="shared" si="55"/>
        <v>TASC - HRA FEES</v>
      </c>
    </row>
    <row r="2460" spans="5:8" x14ac:dyDescent="0.25">
      <c r="E2460" t="str">
        <f>""</f>
        <v/>
      </c>
      <c r="F2460" t="str">
        <f>""</f>
        <v/>
      </c>
      <c r="H2460" t="str">
        <f t="shared" si="55"/>
        <v>TASC - HRA FEES</v>
      </c>
    </row>
    <row r="2461" spans="5:8" x14ac:dyDescent="0.25">
      <c r="E2461" t="str">
        <f>""</f>
        <v/>
      </c>
      <c r="F2461" t="str">
        <f>""</f>
        <v/>
      </c>
      <c r="H2461" t="str">
        <f t="shared" si="55"/>
        <v>TASC - HRA FEES</v>
      </c>
    </row>
    <row r="2462" spans="5:8" x14ac:dyDescent="0.25">
      <c r="E2462" t="str">
        <f>""</f>
        <v/>
      </c>
      <c r="F2462" t="str">
        <f>""</f>
        <v/>
      </c>
      <c r="H2462" t="str">
        <f t="shared" si="55"/>
        <v>TASC - HRA FEES</v>
      </c>
    </row>
    <row r="2463" spans="5:8" x14ac:dyDescent="0.25">
      <c r="E2463" t="str">
        <f>""</f>
        <v/>
      </c>
      <c r="F2463" t="str">
        <f>""</f>
        <v/>
      </c>
      <c r="H2463" t="str">
        <f t="shared" si="55"/>
        <v>TASC - HRA FEES</v>
      </c>
    </row>
    <row r="2464" spans="5:8" x14ac:dyDescent="0.25">
      <c r="E2464" t="str">
        <f>""</f>
        <v/>
      </c>
      <c r="F2464" t="str">
        <f>""</f>
        <v/>
      </c>
      <c r="H2464" t="str">
        <f t="shared" si="55"/>
        <v>TASC - HRA FEES</v>
      </c>
    </row>
    <row r="2465" spans="5:8" x14ac:dyDescent="0.25">
      <c r="E2465" t="str">
        <f>""</f>
        <v/>
      </c>
      <c r="F2465" t="str">
        <f>""</f>
        <v/>
      </c>
      <c r="H2465" t="str">
        <f t="shared" si="55"/>
        <v>TASC - HRA FEES</v>
      </c>
    </row>
    <row r="2466" spans="5:8" x14ac:dyDescent="0.25">
      <c r="E2466" t="str">
        <f>""</f>
        <v/>
      </c>
      <c r="F2466" t="str">
        <f>""</f>
        <v/>
      </c>
      <c r="H2466" t="str">
        <f t="shared" si="55"/>
        <v>TASC - HRA FEES</v>
      </c>
    </row>
    <row r="2467" spans="5:8" x14ac:dyDescent="0.25">
      <c r="E2467" t="str">
        <f>""</f>
        <v/>
      </c>
      <c r="F2467" t="str">
        <f>""</f>
        <v/>
      </c>
      <c r="H2467" t="str">
        <f t="shared" si="55"/>
        <v>TASC - HRA FEES</v>
      </c>
    </row>
    <row r="2468" spans="5:8" x14ac:dyDescent="0.25">
      <c r="E2468" t="str">
        <f>""</f>
        <v/>
      </c>
      <c r="F2468" t="str">
        <f>""</f>
        <v/>
      </c>
      <c r="H2468" t="str">
        <f t="shared" si="55"/>
        <v>TASC - HRA FEES</v>
      </c>
    </row>
    <row r="2469" spans="5:8" x14ac:dyDescent="0.25">
      <c r="E2469" t="str">
        <f>""</f>
        <v/>
      </c>
      <c r="F2469" t="str">
        <f>""</f>
        <v/>
      </c>
      <c r="H2469" t="str">
        <f t="shared" si="55"/>
        <v>TASC - HRA FEES</v>
      </c>
    </row>
    <row r="2470" spans="5:8" x14ac:dyDescent="0.25">
      <c r="E2470" t="str">
        <f>""</f>
        <v/>
      </c>
      <c r="F2470" t="str">
        <f>""</f>
        <v/>
      </c>
      <c r="H2470" t="str">
        <f t="shared" si="55"/>
        <v>TASC - HRA FEES</v>
      </c>
    </row>
    <row r="2471" spans="5:8" x14ac:dyDescent="0.25">
      <c r="E2471" t="str">
        <f>""</f>
        <v/>
      </c>
      <c r="F2471" t="str">
        <f>""</f>
        <v/>
      </c>
      <c r="H2471" t="str">
        <f t="shared" si="55"/>
        <v>TASC - HRA FEES</v>
      </c>
    </row>
    <row r="2472" spans="5:8" x14ac:dyDescent="0.25">
      <c r="E2472" t="str">
        <f>""</f>
        <v/>
      </c>
      <c r="F2472" t="str">
        <f>""</f>
        <v/>
      </c>
      <c r="H2472" t="str">
        <f t="shared" si="55"/>
        <v>TASC - HRA FEES</v>
      </c>
    </row>
    <row r="2473" spans="5:8" x14ac:dyDescent="0.25">
      <c r="E2473" t="str">
        <f>""</f>
        <v/>
      </c>
      <c r="F2473" t="str">
        <f>""</f>
        <v/>
      </c>
      <c r="H2473" t="str">
        <f t="shared" si="55"/>
        <v>TASC - HRA FEES</v>
      </c>
    </row>
    <row r="2474" spans="5:8" x14ac:dyDescent="0.25">
      <c r="E2474" t="str">
        <f>""</f>
        <v/>
      </c>
      <c r="F2474" t="str">
        <f>""</f>
        <v/>
      </c>
      <c r="H2474" t="str">
        <f t="shared" si="55"/>
        <v>TASC - HRA FEES</v>
      </c>
    </row>
    <row r="2475" spans="5:8" x14ac:dyDescent="0.25">
      <c r="E2475" t="str">
        <f>""</f>
        <v/>
      </c>
      <c r="F2475" t="str">
        <f>""</f>
        <v/>
      </c>
      <c r="H2475" t="str">
        <f t="shared" si="55"/>
        <v>TASC - HRA FEES</v>
      </c>
    </row>
    <row r="2476" spans="5:8" x14ac:dyDescent="0.25">
      <c r="E2476" t="str">
        <f>""</f>
        <v/>
      </c>
      <c r="F2476" t="str">
        <f>""</f>
        <v/>
      </c>
      <c r="H2476" t="str">
        <f t="shared" si="55"/>
        <v>TASC - HRA FEES</v>
      </c>
    </row>
    <row r="2477" spans="5:8" x14ac:dyDescent="0.25">
      <c r="E2477" t="str">
        <f>""</f>
        <v/>
      </c>
      <c r="F2477" t="str">
        <f>""</f>
        <v/>
      </c>
      <c r="H2477" t="str">
        <f t="shared" si="55"/>
        <v>TASC - HRA FEES</v>
      </c>
    </row>
    <row r="2478" spans="5:8" x14ac:dyDescent="0.25">
      <c r="E2478" t="str">
        <f>""</f>
        <v/>
      </c>
      <c r="F2478" t="str">
        <f>""</f>
        <v/>
      </c>
      <c r="H2478" t="str">
        <f t="shared" si="55"/>
        <v>TASC - HRA FEES</v>
      </c>
    </row>
    <row r="2479" spans="5:8" x14ac:dyDescent="0.25">
      <c r="E2479" t="str">
        <f>""</f>
        <v/>
      </c>
      <c r="F2479" t="str">
        <f>""</f>
        <v/>
      </c>
      <c r="H2479" t="str">
        <f t="shared" si="55"/>
        <v>TASC - HRA FEES</v>
      </c>
    </row>
    <row r="2480" spans="5:8" x14ac:dyDescent="0.25">
      <c r="E2480" t="str">
        <f>""</f>
        <v/>
      </c>
      <c r="F2480" t="str">
        <f>""</f>
        <v/>
      </c>
      <c r="H2480" t="str">
        <f t="shared" si="55"/>
        <v>TASC - HRA FEES</v>
      </c>
    </row>
    <row r="2481" spans="5:8" x14ac:dyDescent="0.25">
      <c r="E2481" t="str">
        <f>""</f>
        <v/>
      </c>
      <c r="F2481" t="str">
        <f>""</f>
        <v/>
      </c>
      <c r="H2481" t="str">
        <f t="shared" si="55"/>
        <v>TASC - HRA FEES</v>
      </c>
    </row>
    <row r="2482" spans="5:8" x14ac:dyDescent="0.25">
      <c r="E2482" t="str">
        <f>""</f>
        <v/>
      </c>
      <c r="F2482" t="str">
        <f>""</f>
        <v/>
      </c>
      <c r="H2482" t="str">
        <f t="shared" si="55"/>
        <v>TASC - HRA FEES</v>
      </c>
    </row>
    <row r="2483" spans="5:8" x14ac:dyDescent="0.25">
      <c r="E2483" t="str">
        <f>""</f>
        <v/>
      </c>
      <c r="F2483" t="str">
        <f>""</f>
        <v/>
      </c>
      <c r="H2483" t="str">
        <f t="shared" si="55"/>
        <v>TASC - HRA FEES</v>
      </c>
    </row>
    <row r="2484" spans="5:8" x14ac:dyDescent="0.25">
      <c r="E2484" t="str">
        <f>""</f>
        <v/>
      </c>
      <c r="F2484" t="str">
        <f>""</f>
        <v/>
      </c>
      <c r="H2484" t="str">
        <f t="shared" si="55"/>
        <v>TASC - HRA FEES</v>
      </c>
    </row>
    <row r="2485" spans="5:8" x14ac:dyDescent="0.25">
      <c r="E2485" t="str">
        <f>""</f>
        <v/>
      </c>
      <c r="F2485" t="str">
        <f>""</f>
        <v/>
      </c>
      <c r="H2485" t="str">
        <f t="shared" si="55"/>
        <v>TASC - HRA FEES</v>
      </c>
    </row>
    <row r="2486" spans="5:8" x14ac:dyDescent="0.25">
      <c r="E2486" t="str">
        <f>""</f>
        <v/>
      </c>
      <c r="F2486" t="str">
        <f>""</f>
        <v/>
      </c>
      <c r="H2486" t="str">
        <f t="shared" ref="H2486:H2505" si="56">"TASC - HRA FEES"</f>
        <v>TASC - HRA FEES</v>
      </c>
    </row>
    <row r="2487" spans="5:8" x14ac:dyDescent="0.25">
      <c r="E2487" t="str">
        <f>""</f>
        <v/>
      </c>
      <c r="F2487" t="str">
        <f>""</f>
        <v/>
      </c>
      <c r="H2487" t="str">
        <f t="shared" si="56"/>
        <v>TASC - HRA FEES</v>
      </c>
    </row>
    <row r="2488" spans="5:8" x14ac:dyDescent="0.25">
      <c r="E2488" t="str">
        <f>""</f>
        <v/>
      </c>
      <c r="F2488" t="str">
        <f>""</f>
        <v/>
      </c>
      <c r="H2488" t="str">
        <f t="shared" si="56"/>
        <v>TASC - HRA FEES</v>
      </c>
    </row>
    <row r="2489" spans="5:8" x14ac:dyDescent="0.25">
      <c r="E2489" t="str">
        <f>""</f>
        <v/>
      </c>
      <c r="F2489" t="str">
        <f>""</f>
        <v/>
      </c>
      <c r="H2489" t="str">
        <f t="shared" si="56"/>
        <v>TASC - HRA FEES</v>
      </c>
    </row>
    <row r="2490" spans="5:8" x14ac:dyDescent="0.25">
      <c r="E2490" t="str">
        <f>""</f>
        <v/>
      </c>
      <c r="F2490" t="str">
        <f>""</f>
        <v/>
      </c>
      <c r="H2490" t="str">
        <f t="shared" si="56"/>
        <v>TASC - HRA FEES</v>
      </c>
    </row>
    <row r="2491" spans="5:8" x14ac:dyDescent="0.25">
      <c r="E2491" t="str">
        <f>""</f>
        <v/>
      </c>
      <c r="F2491" t="str">
        <f>""</f>
        <v/>
      </c>
      <c r="H2491" t="str">
        <f t="shared" si="56"/>
        <v>TASC - HRA FEES</v>
      </c>
    </row>
    <row r="2492" spans="5:8" x14ac:dyDescent="0.25">
      <c r="E2492" t="str">
        <f>""</f>
        <v/>
      </c>
      <c r="F2492" t="str">
        <f>""</f>
        <v/>
      </c>
      <c r="H2492" t="str">
        <f t="shared" si="56"/>
        <v>TASC - HRA FEES</v>
      </c>
    </row>
    <row r="2493" spans="5:8" x14ac:dyDescent="0.25">
      <c r="E2493" t="str">
        <f>""</f>
        <v/>
      </c>
      <c r="F2493" t="str">
        <f>""</f>
        <v/>
      </c>
      <c r="H2493" t="str">
        <f t="shared" si="56"/>
        <v>TASC - HRA FEES</v>
      </c>
    </row>
    <row r="2494" spans="5:8" x14ac:dyDescent="0.25">
      <c r="E2494" t="str">
        <f>""</f>
        <v/>
      </c>
      <c r="F2494" t="str">
        <f>""</f>
        <v/>
      </c>
      <c r="H2494" t="str">
        <f t="shared" si="56"/>
        <v>TASC - HRA FEES</v>
      </c>
    </row>
    <row r="2495" spans="5:8" x14ac:dyDescent="0.25">
      <c r="E2495" t="str">
        <f>""</f>
        <v/>
      </c>
      <c r="F2495" t="str">
        <f>""</f>
        <v/>
      </c>
      <c r="H2495" t="str">
        <f t="shared" si="56"/>
        <v>TASC - HRA FEES</v>
      </c>
    </row>
    <row r="2496" spans="5:8" x14ac:dyDescent="0.25">
      <c r="E2496" t="str">
        <f>""</f>
        <v/>
      </c>
      <c r="F2496" t="str">
        <f>""</f>
        <v/>
      </c>
      <c r="H2496" t="str">
        <f t="shared" si="56"/>
        <v>TASC - HRA FEES</v>
      </c>
    </row>
    <row r="2497" spans="1:8" x14ac:dyDescent="0.25">
      <c r="E2497" t="str">
        <f>""</f>
        <v/>
      </c>
      <c r="F2497" t="str">
        <f>""</f>
        <v/>
      </c>
      <c r="H2497" t="str">
        <f t="shared" si="56"/>
        <v>TASC - HRA FEES</v>
      </c>
    </row>
    <row r="2498" spans="1:8" x14ac:dyDescent="0.25">
      <c r="E2498" t="str">
        <f>""</f>
        <v/>
      </c>
      <c r="F2498" t="str">
        <f>""</f>
        <v/>
      </c>
      <c r="H2498" t="str">
        <f t="shared" si="56"/>
        <v>TASC - HRA FEES</v>
      </c>
    </row>
    <row r="2499" spans="1:8" x14ac:dyDescent="0.25">
      <c r="E2499" t="str">
        <f>""</f>
        <v/>
      </c>
      <c r="F2499" t="str">
        <f>""</f>
        <v/>
      </c>
      <c r="H2499" t="str">
        <f t="shared" si="56"/>
        <v>TASC - HRA FEES</v>
      </c>
    </row>
    <row r="2500" spans="1:8" x14ac:dyDescent="0.25">
      <c r="E2500" t="str">
        <f>""</f>
        <v/>
      </c>
      <c r="F2500" t="str">
        <f>""</f>
        <v/>
      </c>
      <c r="H2500" t="str">
        <f t="shared" si="56"/>
        <v>TASC - HRA FEES</v>
      </c>
    </row>
    <row r="2501" spans="1:8" x14ac:dyDescent="0.25">
      <c r="E2501" t="str">
        <f>""</f>
        <v/>
      </c>
      <c r="F2501" t="str">
        <f>""</f>
        <v/>
      </c>
      <c r="H2501" t="str">
        <f t="shared" si="56"/>
        <v>TASC - HRA FEES</v>
      </c>
    </row>
    <row r="2502" spans="1:8" x14ac:dyDescent="0.25">
      <c r="E2502" t="str">
        <f>""</f>
        <v/>
      </c>
      <c r="F2502" t="str">
        <f>""</f>
        <v/>
      </c>
      <c r="H2502" t="str">
        <f t="shared" si="56"/>
        <v>TASC - HRA FEES</v>
      </c>
    </row>
    <row r="2503" spans="1:8" x14ac:dyDescent="0.25">
      <c r="E2503" t="str">
        <f>""</f>
        <v/>
      </c>
      <c r="F2503" t="str">
        <f>""</f>
        <v/>
      </c>
      <c r="H2503" t="str">
        <f t="shared" si="56"/>
        <v>TASC - HRA FEES</v>
      </c>
    </row>
    <row r="2504" spans="1:8" x14ac:dyDescent="0.25">
      <c r="E2504" t="str">
        <f>""</f>
        <v/>
      </c>
      <c r="F2504" t="str">
        <f>""</f>
        <v/>
      </c>
      <c r="H2504" t="str">
        <f t="shared" si="56"/>
        <v>TASC - HRA FEES</v>
      </c>
    </row>
    <row r="2505" spans="1:8" x14ac:dyDescent="0.25">
      <c r="E2505" t="str">
        <f>"HRF202003045735"</f>
        <v>HRF202003045735</v>
      </c>
      <c r="F2505" t="str">
        <f>"TASC - HRA FEES"</f>
        <v>TASC - HRA FEES</v>
      </c>
      <c r="G2505" s="5">
        <v>30.6</v>
      </c>
      <c r="H2505" t="str">
        <f t="shared" si="56"/>
        <v>TASC - HRA FEES</v>
      </c>
    </row>
    <row r="2506" spans="1:8" x14ac:dyDescent="0.25">
      <c r="A2506" t="s">
        <v>450</v>
      </c>
      <c r="B2506">
        <v>456</v>
      </c>
      <c r="C2506" s="5">
        <v>9637.08</v>
      </c>
      <c r="D2506" s="1">
        <v>43910</v>
      </c>
      <c r="E2506" t="str">
        <f>"FSA202003186056"</f>
        <v>FSA202003186056</v>
      </c>
      <c r="F2506" t="str">
        <f>"TASC FSA"</f>
        <v>TASC FSA</v>
      </c>
      <c r="G2506" s="5">
        <v>7625.48</v>
      </c>
      <c r="H2506" t="str">
        <f>"TASC FSA"</f>
        <v>TASC FSA</v>
      </c>
    </row>
    <row r="2507" spans="1:8" x14ac:dyDescent="0.25">
      <c r="E2507" t="str">
        <f>"FSA202003186057"</f>
        <v>FSA202003186057</v>
      </c>
      <c r="F2507" t="str">
        <f>"TASC FSA"</f>
        <v>TASC FSA</v>
      </c>
      <c r="G2507" s="5">
        <v>445.4</v>
      </c>
      <c r="H2507" t="str">
        <f>"TASC FSA"</f>
        <v>TASC FSA</v>
      </c>
    </row>
    <row r="2508" spans="1:8" x14ac:dyDescent="0.25">
      <c r="E2508" t="str">
        <f>"FSC202003186056"</f>
        <v>FSC202003186056</v>
      </c>
      <c r="F2508" t="str">
        <f>"TASC DEPENDENT CARE"</f>
        <v>TASC DEPENDENT CARE</v>
      </c>
      <c r="G2508" s="5">
        <v>470</v>
      </c>
      <c r="H2508" t="str">
        <f>"TASC DEPENDENT CARE"</f>
        <v>TASC DEPENDENT CARE</v>
      </c>
    </row>
    <row r="2509" spans="1:8" x14ac:dyDescent="0.25">
      <c r="E2509" t="str">
        <f>"FSF202003186056"</f>
        <v>FSF202003186056</v>
      </c>
      <c r="F2509" t="str">
        <f>"TASC - FSA  FEES"</f>
        <v>TASC - FSA  FEES</v>
      </c>
      <c r="G2509" s="5">
        <v>252</v>
      </c>
      <c r="H2509" t="str">
        <f t="shared" ref="H2509:H2549" si="57">"TASC - FSA  FEES"</f>
        <v>TASC - FSA  FEES</v>
      </c>
    </row>
    <row r="2510" spans="1:8" x14ac:dyDescent="0.25">
      <c r="E2510" t="str">
        <f>""</f>
        <v/>
      </c>
      <c r="F2510" t="str">
        <f>""</f>
        <v/>
      </c>
      <c r="H2510" t="str">
        <f t="shared" si="57"/>
        <v>TASC - FSA  FEES</v>
      </c>
    </row>
    <row r="2511" spans="1:8" x14ac:dyDescent="0.25">
      <c r="E2511" t="str">
        <f>""</f>
        <v/>
      </c>
      <c r="F2511" t="str">
        <f>""</f>
        <v/>
      </c>
      <c r="H2511" t="str">
        <f t="shared" si="57"/>
        <v>TASC - FSA  FEES</v>
      </c>
    </row>
    <row r="2512" spans="1:8" x14ac:dyDescent="0.25">
      <c r="E2512" t="str">
        <f>""</f>
        <v/>
      </c>
      <c r="F2512" t="str">
        <f>""</f>
        <v/>
      </c>
      <c r="H2512" t="str">
        <f t="shared" si="57"/>
        <v>TASC - FSA  FEES</v>
      </c>
    </row>
    <row r="2513" spans="5:8" x14ac:dyDescent="0.25">
      <c r="E2513" t="str">
        <f>""</f>
        <v/>
      </c>
      <c r="F2513" t="str">
        <f>""</f>
        <v/>
      </c>
      <c r="H2513" t="str">
        <f t="shared" si="57"/>
        <v>TASC - FSA  FEES</v>
      </c>
    </row>
    <row r="2514" spans="5:8" x14ac:dyDescent="0.25">
      <c r="E2514" t="str">
        <f>""</f>
        <v/>
      </c>
      <c r="F2514" t="str">
        <f>""</f>
        <v/>
      </c>
      <c r="H2514" t="str">
        <f t="shared" si="57"/>
        <v>TASC - FSA  FEES</v>
      </c>
    </row>
    <row r="2515" spans="5:8" x14ac:dyDescent="0.25">
      <c r="E2515" t="str">
        <f>""</f>
        <v/>
      </c>
      <c r="F2515" t="str">
        <f>""</f>
        <v/>
      </c>
      <c r="H2515" t="str">
        <f t="shared" si="57"/>
        <v>TASC - FSA  FEES</v>
      </c>
    </row>
    <row r="2516" spans="5:8" x14ac:dyDescent="0.25">
      <c r="E2516" t="str">
        <f>""</f>
        <v/>
      </c>
      <c r="F2516" t="str">
        <f>""</f>
        <v/>
      </c>
      <c r="H2516" t="str">
        <f t="shared" si="57"/>
        <v>TASC - FSA  FEES</v>
      </c>
    </row>
    <row r="2517" spans="5:8" x14ac:dyDescent="0.25">
      <c r="E2517" t="str">
        <f>""</f>
        <v/>
      </c>
      <c r="F2517" t="str">
        <f>""</f>
        <v/>
      </c>
      <c r="H2517" t="str">
        <f t="shared" si="57"/>
        <v>TASC - FSA  FEES</v>
      </c>
    </row>
    <row r="2518" spans="5:8" x14ac:dyDescent="0.25">
      <c r="E2518" t="str">
        <f>""</f>
        <v/>
      </c>
      <c r="F2518" t="str">
        <f>""</f>
        <v/>
      </c>
      <c r="H2518" t="str">
        <f t="shared" si="57"/>
        <v>TASC - FSA  FEES</v>
      </c>
    </row>
    <row r="2519" spans="5:8" x14ac:dyDescent="0.25">
      <c r="E2519" t="str">
        <f>""</f>
        <v/>
      </c>
      <c r="F2519" t="str">
        <f>""</f>
        <v/>
      </c>
      <c r="H2519" t="str">
        <f t="shared" si="57"/>
        <v>TASC - FSA  FEES</v>
      </c>
    </row>
    <row r="2520" spans="5:8" x14ac:dyDescent="0.25">
      <c r="E2520" t="str">
        <f>""</f>
        <v/>
      </c>
      <c r="F2520" t="str">
        <f>""</f>
        <v/>
      </c>
      <c r="H2520" t="str">
        <f t="shared" si="57"/>
        <v>TASC - FSA  FEES</v>
      </c>
    </row>
    <row r="2521" spans="5:8" x14ac:dyDescent="0.25">
      <c r="E2521" t="str">
        <f>""</f>
        <v/>
      </c>
      <c r="F2521" t="str">
        <f>""</f>
        <v/>
      </c>
      <c r="H2521" t="str">
        <f t="shared" si="57"/>
        <v>TASC - FSA  FEES</v>
      </c>
    </row>
    <row r="2522" spans="5:8" x14ac:dyDescent="0.25">
      <c r="E2522" t="str">
        <f>""</f>
        <v/>
      </c>
      <c r="F2522" t="str">
        <f>""</f>
        <v/>
      </c>
      <c r="H2522" t="str">
        <f t="shared" si="57"/>
        <v>TASC - FSA  FEES</v>
      </c>
    </row>
    <row r="2523" spans="5:8" x14ac:dyDescent="0.25">
      <c r="E2523" t="str">
        <f>""</f>
        <v/>
      </c>
      <c r="F2523" t="str">
        <f>""</f>
        <v/>
      </c>
      <c r="H2523" t="str">
        <f t="shared" si="57"/>
        <v>TASC - FSA  FEES</v>
      </c>
    </row>
    <row r="2524" spans="5:8" x14ac:dyDescent="0.25">
      <c r="E2524" t="str">
        <f>""</f>
        <v/>
      </c>
      <c r="F2524" t="str">
        <f>""</f>
        <v/>
      </c>
      <c r="H2524" t="str">
        <f t="shared" si="57"/>
        <v>TASC - FSA  FEES</v>
      </c>
    </row>
    <row r="2525" spans="5:8" x14ac:dyDescent="0.25">
      <c r="E2525" t="str">
        <f>""</f>
        <v/>
      </c>
      <c r="F2525" t="str">
        <f>""</f>
        <v/>
      </c>
      <c r="H2525" t="str">
        <f t="shared" si="57"/>
        <v>TASC - FSA  FEES</v>
      </c>
    </row>
    <row r="2526" spans="5:8" x14ac:dyDescent="0.25">
      <c r="E2526" t="str">
        <f>""</f>
        <v/>
      </c>
      <c r="F2526" t="str">
        <f>""</f>
        <v/>
      </c>
      <c r="H2526" t="str">
        <f t="shared" si="57"/>
        <v>TASC - FSA  FEES</v>
      </c>
    </row>
    <row r="2527" spans="5:8" x14ac:dyDescent="0.25">
      <c r="E2527" t="str">
        <f>""</f>
        <v/>
      </c>
      <c r="F2527" t="str">
        <f>""</f>
        <v/>
      </c>
      <c r="H2527" t="str">
        <f t="shared" si="57"/>
        <v>TASC - FSA  FEES</v>
      </c>
    </row>
    <row r="2528" spans="5:8" x14ac:dyDescent="0.25">
      <c r="E2528" t="str">
        <f>""</f>
        <v/>
      </c>
      <c r="F2528" t="str">
        <f>""</f>
        <v/>
      </c>
      <c r="H2528" t="str">
        <f t="shared" si="57"/>
        <v>TASC - FSA  FEES</v>
      </c>
    </row>
    <row r="2529" spans="5:8" x14ac:dyDescent="0.25">
      <c r="E2529" t="str">
        <f>""</f>
        <v/>
      </c>
      <c r="F2529" t="str">
        <f>""</f>
        <v/>
      </c>
      <c r="H2529" t="str">
        <f t="shared" si="57"/>
        <v>TASC - FSA  FEES</v>
      </c>
    </row>
    <row r="2530" spans="5:8" x14ac:dyDescent="0.25">
      <c r="E2530" t="str">
        <f>""</f>
        <v/>
      </c>
      <c r="F2530" t="str">
        <f>""</f>
        <v/>
      </c>
      <c r="H2530" t="str">
        <f t="shared" si="57"/>
        <v>TASC - FSA  FEES</v>
      </c>
    </row>
    <row r="2531" spans="5:8" x14ac:dyDescent="0.25">
      <c r="E2531" t="str">
        <f>""</f>
        <v/>
      </c>
      <c r="F2531" t="str">
        <f>""</f>
        <v/>
      </c>
      <c r="H2531" t="str">
        <f t="shared" si="57"/>
        <v>TASC - FSA  FEES</v>
      </c>
    </row>
    <row r="2532" spans="5:8" x14ac:dyDescent="0.25">
      <c r="E2532" t="str">
        <f>""</f>
        <v/>
      </c>
      <c r="F2532" t="str">
        <f>""</f>
        <v/>
      </c>
      <c r="H2532" t="str">
        <f t="shared" si="57"/>
        <v>TASC - FSA  FEES</v>
      </c>
    </row>
    <row r="2533" spans="5:8" x14ac:dyDescent="0.25">
      <c r="E2533" t="str">
        <f>""</f>
        <v/>
      </c>
      <c r="F2533" t="str">
        <f>""</f>
        <v/>
      </c>
      <c r="H2533" t="str">
        <f t="shared" si="57"/>
        <v>TASC - FSA  FEES</v>
      </c>
    </row>
    <row r="2534" spans="5:8" x14ac:dyDescent="0.25">
      <c r="E2534" t="str">
        <f>""</f>
        <v/>
      </c>
      <c r="F2534" t="str">
        <f>""</f>
        <v/>
      </c>
      <c r="H2534" t="str">
        <f t="shared" si="57"/>
        <v>TASC - FSA  FEES</v>
      </c>
    </row>
    <row r="2535" spans="5:8" x14ac:dyDescent="0.25">
      <c r="E2535" t="str">
        <f>""</f>
        <v/>
      </c>
      <c r="F2535" t="str">
        <f>""</f>
        <v/>
      </c>
      <c r="H2535" t="str">
        <f t="shared" si="57"/>
        <v>TASC - FSA  FEES</v>
      </c>
    </row>
    <row r="2536" spans="5:8" x14ac:dyDescent="0.25">
      <c r="E2536" t="str">
        <f>""</f>
        <v/>
      </c>
      <c r="F2536" t="str">
        <f>""</f>
        <v/>
      </c>
      <c r="H2536" t="str">
        <f t="shared" si="57"/>
        <v>TASC - FSA  FEES</v>
      </c>
    </row>
    <row r="2537" spans="5:8" x14ac:dyDescent="0.25">
      <c r="E2537" t="str">
        <f>""</f>
        <v/>
      </c>
      <c r="F2537" t="str">
        <f>""</f>
        <v/>
      </c>
      <c r="H2537" t="str">
        <f t="shared" si="57"/>
        <v>TASC - FSA  FEES</v>
      </c>
    </row>
    <row r="2538" spans="5:8" x14ac:dyDescent="0.25">
      <c r="E2538" t="str">
        <f>""</f>
        <v/>
      </c>
      <c r="F2538" t="str">
        <f>""</f>
        <v/>
      </c>
      <c r="H2538" t="str">
        <f t="shared" si="57"/>
        <v>TASC - FSA  FEES</v>
      </c>
    </row>
    <row r="2539" spans="5:8" x14ac:dyDescent="0.25">
      <c r="E2539" t="str">
        <f>""</f>
        <v/>
      </c>
      <c r="F2539" t="str">
        <f>""</f>
        <v/>
      </c>
      <c r="H2539" t="str">
        <f t="shared" si="57"/>
        <v>TASC - FSA  FEES</v>
      </c>
    </row>
    <row r="2540" spans="5:8" x14ac:dyDescent="0.25">
      <c r="E2540" t="str">
        <f>""</f>
        <v/>
      </c>
      <c r="F2540" t="str">
        <f>""</f>
        <v/>
      </c>
      <c r="H2540" t="str">
        <f t="shared" si="57"/>
        <v>TASC - FSA  FEES</v>
      </c>
    </row>
    <row r="2541" spans="5:8" x14ac:dyDescent="0.25">
      <c r="E2541" t="str">
        <f>""</f>
        <v/>
      </c>
      <c r="F2541" t="str">
        <f>""</f>
        <v/>
      </c>
      <c r="H2541" t="str">
        <f t="shared" si="57"/>
        <v>TASC - FSA  FEES</v>
      </c>
    </row>
    <row r="2542" spans="5:8" x14ac:dyDescent="0.25">
      <c r="E2542" t="str">
        <f>""</f>
        <v/>
      </c>
      <c r="F2542" t="str">
        <f>""</f>
        <v/>
      </c>
      <c r="H2542" t="str">
        <f t="shared" si="57"/>
        <v>TASC - FSA  FEES</v>
      </c>
    </row>
    <row r="2543" spans="5:8" x14ac:dyDescent="0.25">
      <c r="E2543" t="str">
        <f>""</f>
        <v/>
      </c>
      <c r="F2543" t="str">
        <f>""</f>
        <v/>
      </c>
      <c r="H2543" t="str">
        <f t="shared" si="57"/>
        <v>TASC - FSA  FEES</v>
      </c>
    </row>
    <row r="2544" spans="5:8" x14ac:dyDescent="0.25">
      <c r="E2544" t="str">
        <f>""</f>
        <v/>
      </c>
      <c r="F2544" t="str">
        <f>""</f>
        <v/>
      </c>
      <c r="H2544" t="str">
        <f t="shared" si="57"/>
        <v>TASC - FSA  FEES</v>
      </c>
    </row>
    <row r="2545" spans="5:8" x14ac:dyDescent="0.25">
      <c r="E2545" t="str">
        <f>""</f>
        <v/>
      </c>
      <c r="F2545" t="str">
        <f>""</f>
        <v/>
      </c>
      <c r="H2545" t="str">
        <f t="shared" si="57"/>
        <v>TASC - FSA  FEES</v>
      </c>
    </row>
    <row r="2546" spans="5:8" x14ac:dyDescent="0.25">
      <c r="E2546" t="str">
        <f>""</f>
        <v/>
      </c>
      <c r="F2546" t="str">
        <f>""</f>
        <v/>
      </c>
      <c r="H2546" t="str">
        <f t="shared" si="57"/>
        <v>TASC - FSA  FEES</v>
      </c>
    </row>
    <row r="2547" spans="5:8" x14ac:dyDescent="0.25">
      <c r="E2547" t="str">
        <f>""</f>
        <v/>
      </c>
      <c r="F2547" t="str">
        <f>""</f>
        <v/>
      </c>
      <c r="H2547" t="str">
        <f t="shared" si="57"/>
        <v>TASC - FSA  FEES</v>
      </c>
    </row>
    <row r="2548" spans="5:8" x14ac:dyDescent="0.25">
      <c r="E2548" t="str">
        <f>""</f>
        <v/>
      </c>
      <c r="F2548" t="str">
        <f>""</f>
        <v/>
      </c>
      <c r="H2548" t="str">
        <f t="shared" si="57"/>
        <v>TASC - FSA  FEES</v>
      </c>
    </row>
    <row r="2549" spans="5:8" x14ac:dyDescent="0.25">
      <c r="E2549" t="str">
        <f>"FSF202003186057"</f>
        <v>FSF202003186057</v>
      </c>
      <c r="F2549" t="str">
        <f>"TASC - FSA  FEES"</f>
        <v>TASC - FSA  FEES</v>
      </c>
      <c r="G2549" s="5">
        <v>12.6</v>
      </c>
      <c r="H2549" t="str">
        <f t="shared" si="57"/>
        <v>TASC - FSA  FEES</v>
      </c>
    </row>
    <row r="2550" spans="5:8" x14ac:dyDescent="0.25">
      <c r="E2550" t="str">
        <f>"HRF202003186056"</f>
        <v>HRF202003186056</v>
      </c>
      <c r="F2550" t="str">
        <f>"TASC - HRA FEES"</f>
        <v>TASC - HRA FEES</v>
      </c>
      <c r="G2550" s="5">
        <v>801</v>
      </c>
      <c r="H2550" t="str">
        <f t="shared" ref="H2550:H2581" si="58">"TASC - HRA FEES"</f>
        <v>TASC - HRA FEES</v>
      </c>
    </row>
    <row r="2551" spans="5:8" x14ac:dyDescent="0.25">
      <c r="E2551" t="str">
        <f>""</f>
        <v/>
      </c>
      <c r="F2551" t="str">
        <f>""</f>
        <v/>
      </c>
      <c r="H2551" t="str">
        <f t="shared" si="58"/>
        <v>TASC - HRA FEES</v>
      </c>
    </row>
    <row r="2552" spans="5:8" x14ac:dyDescent="0.25">
      <c r="E2552" t="str">
        <f>""</f>
        <v/>
      </c>
      <c r="F2552" t="str">
        <f>""</f>
        <v/>
      </c>
      <c r="H2552" t="str">
        <f t="shared" si="58"/>
        <v>TASC - HRA FEES</v>
      </c>
    </row>
    <row r="2553" spans="5:8" x14ac:dyDescent="0.25">
      <c r="E2553" t="str">
        <f>""</f>
        <v/>
      </c>
      <c r="F2553" t="str">
        <f>""</f>
        <v/>
      </c>
      <c r="H2553" t="str">
        <f t="shared" si="58"/>
        <v>TASC - HRA FEES</v>
      </c>
    </row>
    <row r="2554" spans="5:8" x14ac:dyDescent="0.25">
      <c r="E2554" t="str">
        <f>""</f>
        <v/>
      </c>
      <c r="F2554" t="str">
        <f>""</f>
        <v/>
      </c>
      <c r="H2554" t="str">
        <f t="shared" si="58"/>
        <v>TASC - HRA FEES</v>
      </c>
    </row>
    <row r="2555" spans="5:8" x14ac:dyDescent="0.25">
      <c r="E2555" t="str">
        <f>""</f>
        <v/>
      </c>
      <c r="F2555" t="str">
        <f>""</f>
        <v/>
      </c>
      <c r="H2555" t="str">
        <f t="shared" si="58"/>
        <v>TASC - HRA FEES</v>
      </c>
    </row>
    <row r="2556" spans="5:8" x14ac:dyDescent="0.25">
      <c r="E2556" t="str">
        <f>""</f>
        <v/>
      </c>
      <c r="F2556" t="str">
        <f>""</f>
        <v/>
      </c>
      <c r="H2556" t="str">
        <f t="shared" si="58"/>
        <v>TASC - HRA FEES</v>
      </c>
    </row>
    <row r="2557" spans="5:8" x14ac:dyDescent="0.25">
      <c r="E2557" t="str">
        <f>""</f>
        <v/>
      </c>
      <c r="F2557" t="str">
        <f>""</f>
        <v/>
      </c>
      <c r="H2557" t="str">
        <f t="shared" si="58"/>
        <v>TASC - HRA FEES</v>
      </c>
    </row>
    <row r="2558" spans="5:8" x14ac:dyDescent="0.25">
      <c r="E2558" t="str">
        <f>""</f>
        <v/>
      </c>
      <c r="F2558" t="str">
        <f>""</f>
        <v/>
      </c>
      <c r="H2558" t="str">
        <f t="shared" si="58"/>
        <v>TASC - HRA FEES</v>
      </c>
    </row>
    <row r="2559" spans="5:8" x14ac:dyDescent="0.25">
      <c r="E2559" t="str">
        <f>""</f>
        <v/>
      </c>
      <c r="F2559" t="str">
        <f>""</f>
        <v/>
      </c>
      <c r="H2559" t="str">
        <f t="shared" si="58"/>
        <v>TASC - HRA FEES</v>
      </c>
    </row>
    <row r="2560" spans="5:8" x14ac:dyDescent="0.25">
      <c r="E2560" t="str">
        <f>""</f>
        <v/>
      </c>
      <c r="F2560" t="str">
        <f>""</f>
        <v/>
      </c>
      <c r="H2560" t="str">
        <f t="shared" si="58"/>
        <v>TASC - HRA FEES</v>
      </c>
    </row>
    <row r="2561" spans="5:8" x14ac:dyDescent="0.25">
      <c r="E2561" t="str">
        <f>""</f>
        <v/>
      </c>
      <c r="F2561" t="str">
        <f>""</f>
        <v/>
      </c>
      <c r="H2561" t="str">
        <f t="shared" si="58"/>
        <v>TASC - HRA FEES</v>
      </c>
    </row>
    <row r="2562" spans="5:8" x14ac:dyDescent="0.25">
      <c r="E2562" t="str">
        <f>""</f>
        <v/>
      </c>
      <c r="F2562" t="str">
        <f>""</f>
        <v/>
      </c>
      <c r="H2562" t="str">
        <f t="shared" si="58"/>
        <v>TASC - HRA FEES</v>
      </c>
    </row>
    <row r="2563" spans="5:8" x14ac:dyDescent="0.25">
      <c r="E2563" t="str">
        <f>""</f>
        <v/>
      </c>
      <c r="F2563" t="str">
        <f>""</f>
        <v/>
      </c>
      <c r="H2563" t="str">
        <f t="shared" si="58"/>
        <v>TASC - HRA FEES</v>
      </c>
    </row>
    <row r="2564" spans="5:8" x14ac:dyDescent="0.25">
      <c r="E2564" t="str">
        <f>""</f>
        <v/>
      </c>
      <c r="F2564" t="str">
        <f>""</f>
        <v/>
      </c>
      <c r="H2564" t="str">
        <f t="shared" si="58"/>
        <v>TASC - HRA FEES</v>
      </c>
    </row>
    <row r="2565" spans="5:8" x14ac:dyDescent="0.25">
      <c r="E2565" t="str">
        <f>""</f>
        <v/>
      </c>
      <c r="F2565" t="str">
        <f>""</f>
        <v/>
      </c>
      <c r="H2565" t="str">
        <f t="shared" si="58"/>
        <v>TASC - HRA FEES</v>
      </c>
    </row>
    <row r="2566" spans="5:8" x14ac:dyDescent="0.25">
      <c r="E2566" t="str">
        <f>""</f>
        <v/>
      </c>
      <c r="F2566" t="str">
        <f>""</f>
        <v/>
      </c>
      <c r="H2566" t="str">
        <f t="shared" si="58"/>
        <v>TASC - HRA FEES</v>
      </c>
    </row>
    <row r="2567" spans="5:8" x14ac:dyDescent="0.25">
      <c r="E2567" t="str">
        <f>""</f>
        <v/>
      </c>
      <c r="F2567" t="str">
        <f>""</f>
        <v/>
      </c>
      <c r="H2567" t="str">
        <f t="shared" si="58"/>
        <v>TASC - HRA FEES</v>
      </c>
    </row>
    <row r="2568" spans="5:8" x14ac:dyDescent="0.25">
      <c r="E2568" t="str">
        <f>""</f>
        <v/>
      </c>
      <c r="F2568" t="str">
        <f>""</f>
        <v/>
      </c>
      <c r="H2568" t="str">
        <f t="shared" si="58"/>
        <v>TASC - HRA FEES</v>
      </c>
    </row>
    <row r="2569" spans="5:8" x14ac:dyDescent="0.25">
      <c r="E2569" t="str">
        <f>""</f>
        <v/>
      </c>
      <c r="F2569" t="str">
        <f>""</f>
        <v/>
      </c>
      <c r="H2569" t="str">
        <f t="shared" si="58"/>
        <v>TASC - HRA FEES</v>
      </c>
    </row>
    <row r="2570" spans="5:8" x14ac:dyDescent="0.25">
      <c r="E2570" t="str">
        <f>""</f>
        <v/>
      </c>
      <c r="F2570" t="str">
        <f>""</f>
        <v/>
      </c>
      <c r="H2570" t="str">
        <f t="shared" si="58"/>
        <v>TASC - HRA FEES</v>
      </c>
    </row>
    <row r="2571" spans="5:8" x14ac:dyDescent="0.25">
      <c r="E2571" t="str">
        <f>""</f>
        <v/>
      </c>
      <c r="F2571" t="str">
        <f>""</f>
        <v/>
      </c>
      <c r="H2571" t="str">
        <f t="shared" si="58"/>
        <v>TASC - HRA FEES</v>
      </c>
    </row>
    <row r="2572" spans="5:8" x14ac:dyDescent="0.25">
      <c r="E2572" t="str">
        <f>""</f>
        <v/>
      </c>
      <c r="F2572" t="str">
        <f>""</f>
        <v/>
      </c>
      <c r="H2572" t="str">
        <f t="shared" si="58"/>
        <v>TASC - HRA FEES</v>
      </c>
    </row>
    <row r="2573" spans="5:8" x14ac:dyDescent="0.25">
      <c r="E2573" t="str">
        <f>""</f>
        <v/>
      </c>
      <c r="F2573" t="str">
        <f>""</f>
        <v/>
      </c>
      <c r="H2573" t="str">
        <f t="shared" si="58"/>
        <v>TASC - HRA FEES</v>
      </c>
    </row>
    <row r="2574" spans="5:8" x14ac:dyDescent="0.25">
      <c r="E2574" t="str">
        <f>""</f>
        <v/>
      </c>
      <c r="F2574" t="str">
        <f>""</f>
        <v/>
      </c>
      <c r="H2574" t="str">
        <f t="shared" si="58"/>
        <v>TASC - HRA FEES</v>
      </c>
    </row>
    <row r="2575" spans="5:8" x14ac:dyDescent="0.25">
      <c r="E2575" t="str">
        <f>""</f>
        <v/>
      </c>
      <c r="F2575" t="str">
        <f>""</f>
        <v/>
      </c>
      <c r="H2575" t="str">
        <f t="shared" si="58"/>
        <v>TASC - HRA FEES</v>
      </c>
    </row>
    <row r="2576" spans="5:8" x14ac:dyDescent="0.25">
      <c r="E2576" t="str">
        <f>""</f>
        <v/>
      </c>
      <c r="F2576" t="str">
        <f>""</f>
        <v/>
      </c>
      <c r="H2576" t="str">
        <f t="shared" si="58"/>
        <v>TASC - HRA FEES</v>
      </c>
    </row>
    <row r="2577" spans="5:8" x14ac:dyDescent="0.25">
      <c r="E2577" t="str">
        <f>""</f>
        <v/>
      </c>
      <c r="F2577" t="str">
        <f>""</f>
        <v/>
      </c>
      <c r="H2577" t="str">
        <f t="shared" si="58"/>
        <v>TASC - HRA FEES</v>
      </c>
    </row>
    <row r="2578" spans="5:8" x14ac:dyDescent="0.25">
      <c r="E2578" t="str">
        <f>""</f>
        <v/>
      </c>
      <c r="F2578" t="str">
        <f>""</f>
        <v/>
      </c>
      <c r="H2578" t="str">
        <f t="shared" si="58"/>
        <v>TASC - HRA FEES</v>
      </c>
    </row>
    <row r="2579" spans="5:8" x14ac:dyDescent="0.25">
      <c r="E2579" t="str">
        <f>""</f>
        <v/>
      </c>
      <c r="F2579" t="str">
        <f>""</f>
        <v/>
      </c>
      <c r="H2579" t="str">
        <f t="shared" si="58"/>
        <v>TASC - HRA FEES</v>
      </c>
    </row>
    <row r="2580" spans="5:8" x14ac:dyDescent="0.25">
      <c r="E2580" t="str">
        <f>""</f>
        <v/>
      </c>
      <c r="F2580" t="str">
        <f>""</f>
        <v/>
      </c>
      <c r="H2580" t="str">
        <f t="shared" si="58"/>
        <v>TASC - HRA FEES</v>
      </c>
    </row>
    <row r="2581" spans="5:8" x14ac:dyDescent="0.25">
      <c r="E2581" t="str">
        <f>""</f>
        <v/>
      </c>
      <c r="F2581" t="str">
        <f>""</f>
        <v/>
      </c>
      <c r="H2581" t="str">
        <f t="shared" si="58"/>
        <v>TASC - HRA FEES</v>
      </c>
    </row>
    <row r="2582" spans="5:8" x14ac:dyDescent="0.25">
      <c r="E2582" t="str">
        <f>""</f>
        <v/>
      </c>
      <c r="F2582" t="str">
        <f>""</f>
        <v/>
      </c>
      <c r="H2582" t="str">
        <f t="shared" ref="H2582:H2601" si="59">"TASC - HRA FEES"</f>
        <v>TASC - HRA FEES</v>
      </c>
    </row>
    <row r="2583" spans="5:8" x14ac:dyDescent="0.25">
      <c r="E2583" t="str">
        <f>""</f>
        <v/>
      </c>
      <c r="F2583" t="str">
        <f>""</f>
        <v/>
      </c>
      <c r="H2583" t="str">
        <f t="shared" si="59"/>
        <v>TASC - HRA FEES</v>
      </c>
    </row>
    <row r="2584" spans="5:8" x14ac:dyDescent="0.25">
      <c r="E2584" t="str">
        <f>""</f>
        <v/>
      </c>
      <c r="F2584" t="str">
        <f>""</f>
        <v/>
      </c>
      <c r="H2584" t="str">
        <f t="shared" si="59"/>
        <v>TASC - HRA FEES</v>
      </c>
    </row>
    <row r="2585" spans="5:8" x14ac:dyDescent="0.25">
      <c r="E2585" t="str">
        <f>""</f>
        <v/>
      </c>
      <c r="F2585" t="str">
        <f>""</f>
        <v/>
      </c>
      <c r="H2585" t="str">
        <f t="shared" si="59"/>
        <v>TASC - HRA FEES</v>
      </c>
    </row>
    <row r="2586" spans="5:8" x14ac:dyDescent="0.25">
      <c r="E2586" t="str">
        <f>""</f>
        <v/>
      </c>
      <c r="F2586" t="str">
        <f>""</f>
        <v/>
      </c>
      <c r="H2586" t="str">
        <f t="shared" si="59"/>
        <v>TASC - HRA FEES</v>
      </c>
    </row>
    <row r="2587" spans="5:8" x14ac:dyDescent="0.25">
      <c r="E2587" t="str">
        <f>""</f>
        <v/>
      </c>
      <c r="F2587" t="str">
        <f>""</f>
        <v/>
      </c>
      <c r="H2587" t="str">
        <f t="shared" si="59"/>
        <v>TASC - HRA FEES</v>
      </c>
    </row>
    <row r="2588" spans="5:8" x14ac:dyDescent="0.25">
      <c r="E2588" t="str">
        <f>""</f>
        <v/>
      </c>
      <c r="F2588" t="str">
        <f>""</f>
        <v/>
      </c>
      <c r="H2588" t="str">
        <f t="shared" si="59"/>
        <v>TASC - HRA FEES</v>
      </c>
    </row>
    <row r="2589" spans="5:8" x14ac:dyDescent="0.25">
      <c r="E2589" t="str">
        <f>""</f>
        <v/>
      </c>
      <c r="F2589" t="str">
        <f>""</f>
        <v/>
      </c>
      <c r="H2589" t="str">
        <f t="shared" si="59"/>
        <v>TASC - HRA FEES</v>
      </c>
    </row>
    <row r="2590" spans="5:8" x14ac:dyDescent="0.25">
      <c r="E2590" t="str">
        <f>""</f>
        <v/>
      </c>
      <c r="F2590" t="str">
        <f>""</f>
        <v/>
      </c>
      <c r="H2590" t="str">
        <f t="shared" si="59"/>
        <v>TASC - HRA FEES</v>
      </c>
    </row>
    <row r="2591" spans="5:8" x14ac:dyDescent="0.25">
      <c r="E2591" t="str">
        <f>""</f>
        <v/>
      </c>
      <c r="F2591" t="str">
        <f>""</f>
        <v/>
      </c>
      <c r="H2591" t="str">
        <f t="shared" si="59"/>
        <v>TASC - HRA FEES</v>
      </c>
    </row>
    <row r="2592" spans="5:8" x14ac:dyDescent="0.25">
      <c r="E2592" t="str">
        <f>""</f>
        <v/>
      </c>
      <c r="F2592" t="str">
        <f>""</f>
        <v/>
      </c>
      <c r="H2592" t="str">
        <f t="shared" si="59"/>
        <v>TASC - HRA FEES</v>
      </c>
    </row>
    <row r="2593" spans="1:8" x14ac:dyDescent="0.25">
      <c r="E2593" t="str">
        <f>""</f>
        <v/>
      </c>
      <c r="F2593" t="str">
        <f>""</f>
        <v/>
      </c>
      <c r="H2593" t="str">
        <f t="shared" si="59"/>
        <v>TASC - HRA FEES</v>
      </c>
    </row>
    <row r="2594" spans="1:8" x14ac:dyDescent="0.25">
      <c r="E2594" t="str">
        <f>""</f>
        <v/>
      </c>
      <c r="F2594" t="str">
        <f>""</f>
        <v/>
      </c>
      <c r="H2594" t="str">
        <f t="shared" si="59"/>
        <v>TASC - HRA FEES</v>
      </c>
    </row>
    <row r="2595" spans="1:8" x14ac:dyDescent="0.25">
      <c r="E2595" t="str">
        <f>""</f>
        <v/>
      </c>
      <c r="F2595" t="str">
        <f>""</f>
        <v/>
      </c>
      <c r="H2595" t="str">
        <f t="shared" si="59"/>
        <v>TASC - HRA FEES</v>
      </c>
    </row>
    <row r="2596" spans="1:8" x14ac:dyDescent="0.25">
      <c r="E2596" t="str">
        <f>""</f>
        <v/>
      </c>
      <c r="F2596" t="str">
        <f>""</f>
        <v/>
      </c>
      <c r="H2596" t="str">
        <f t="shared" si="59"/>
        <v>TASC - HRA FEES</v>
      </c>
    </row>
    <row r="2597" spans="1:8" x14ac:dyDescent="0.25">
      <c r="E2597" t="str">
        <f>""</f>
        <v/>
      </c>
      <c r="F2597" t="str">
        <f>""</f>
        <v/>
      </c>
      <c r="H2597" t="str">
        <f t="shared" si="59"/>
        <v>TASC - HRA FEES</v>
      </c>
    </row>
    <row r="2598" spans="1:8" x14ac:dyDescent="0.25">
      <c r="E2598" t="str">
        <f>""</f>
        <v/>
      </c>
      <c r="F2598" t="str">
        <f>""</f>
        <v/>
      </c>
      <c r="H2598" t="str">
        <f t="shared" si="59"/>
        <v>TASC - HRA FEES</v>
      </c>
    </row>
    <row r="2599" spans="1:8" x14ac:dyDescent="0.25">
      <c r="E2599" t="str">
        <f>""</f>
        <v/>
      </c>
      <c r="F2599" t="str">
        <f>""</f>
        <v/>
      </c>
      <c r="H2599" t="str">
        <f t="shared" si="59"/>
        <v>TASC - HRA FEES</v>
      </c>
    </row>
    <row r="2600" spans="1:8" x14ac:dyDescent="0.25">
      <c r="E2600" t="str">
        <f>""</f>
        <v/>
      </c>
      <c r="F2600" t="str">
        <f>""</f>
        <v/>
      </c>
      <c r="H2600" t="str">
        <f t="shared" si="59"/>
        <v>TASC - HRA FEES</v>
      </c>
    </row>
    <row r="2601" spans="1:8" x14ac:dyDescent="0.25">
      <c r="E2601" t="str">
        <f>"HRF202003186057"</f>
        <v>HRF202003186057</v>
      </c>
      <c r="F2601" t="str">
        <f>"TASC - HRA FEES"</f>
        <v>TASC - HRA FEES</v>
      </c>
      <c r="G2601" s="5">
        <v>30.6</v>
      </c>
      <c r="H2601" t="str">
        <f t="shared" si="59"/>
        <v>TASC - HRA FEES</v>
      </c>
    </row>
    <row r="2602" spans="1:8" x14ac:dyDescent="0.25">
      <c r="A2602" t="s">
        <v>451</v>
      </c>
      <c r="B2602">
        <v>438</v>
      </c>
      <c r="C2602" s="5">
        <v>5208.32</v>
      </c>
      <c r="D2602" s="1">
        <v>43896</v>
      </c>
      <c r="E2602" t="str">
        <f>"C18202003045735"</f>
        <v>C18202003045735</v>
      </c>
      <c r="F2602" t="str">
        <f>"CAUSE# 0011635329"</f>
        <v>CAUSE# 0011635329</v>
      </c>
      <c r="G2602" s="5">
        <v>603.23</v>
      </c>
      <c r="H2602" t="str">
        <f>"CAUSE# 0011635329"</f>
        <v>CAUSE# 0011635329</v>
      </c>
    </row>
    <row r="2603" spans="1:8" x14ac:dyDescent="0.25">
      <c r="E2603" t="str">
        <f>"C2 202003045735"</f>
        <v>C2 202003045735</v>
      </c>
      <c r="F2603" t="str">
        <f>"0012982132CCL7445"</f>
        <v>0012982132CCL7445</v>
      </c>
      <c r="G2603" s="5">
        <v>692.31</v>
      </c>
      <c r="H2603" t="str">
        <f>"0012982132CCL7445"</f>
        <v>0012982132CCL7445</v>
      </c>
    </row>
    <row r="2604" spans="1:8" x14ac:dyDescent="0.25">
      <c r="E2604" t="str">
        <f>"C20202003035702"</f>
        <v>C20202003035702</v>
      </c>
      <c r="F2604" t="str">
        <f>"001003981107-12252"</f>
        <v>001003981107-12252</v>
      </c>
      <c r="G2604" s="5">
        <v>115.39</v>
      </c>
      <c r="H2604" t="str">
        <f>"001003981107-12252"</f>
        <v>001003981107-12252</v>
      </c>
    </row>
    <row r="2605" spans="1:8" x14ac:dyDescent="0.25">
      <c r="E2605" t="str">
        <f>"C42202003035702"</f>
        <v>C42202003035702</v>
      </c>
      <c r="F2605" t="str">
        <f>"001236769211-14410"</f>
        <v>001236769211-14410</v>
      </c>
      <c r="G2605" s="5">
        <v>230.31</v>
      </c>
      <c r="H2605" t="str">
        <f>"001236769211-14410"</f>
        <v>001236769211-14410</v>
      </c>
    </row>
    <row r="2606" spans="1:8" x14ac:dyDescent="0.25">
      <c r="E2606" t="str">
        <f>"C46202003035702"</f>
        <v>C46202003035702</v>
      </c>
      <c r="F2606" t="str">
        <f>"CAUSE# 11-14911"</f>
        <v>CAUSE# 11-14911</v>
      </c>
      <c r="G2606" s="5">
        <v>238.62</v>
      </c>
      <c r="H2606" t="str">
        <f>"CAUSE# 11-14911"</f>
        <v>CAUSE# 11-14911</v>
      </c>
    </row>
    <row r="2607" spans="1:8" x14ac:dyDescent="0.25">
      <c r="E2607" t="str">
        <f>"C53202003035702"</f>
        <v>C53202003035702</v>
      </c>
      <c r="F2607" t="str">
        <f>"0012453366"</f>
        <v>0012453366</v>
      </c>
      <c r="G2607" s="5">
        <v>138.46</v>
      </c>
      <c r="H2607" t="str">
        <f>"0012453366"</f>
        <v>0012453366</v>
      </c>
    </row>
    <row r="2608" spans="1:8" x14ac:dyDescent="0.25">
      <c r="E2608" t="str">
        <f>"C60202003035702"</f>
        <v>C60202003035702</v>
      </c>
      <c r="F2608" t="str">
        <f>"00130730762012V300"</f>
        <v>00130730762012V300</v>
      </c>
      <c r="G2608" s="5">
        <v>399.32</v>
      </c>
      <c r="H2608" t="str">
        <f>"00130730762012V300"</f>
        <v>00130730762012V300</v>
      </c>
    </row>
    <row r="2609" spans="1:8" x14ac:dyDescent="0.25">
      <c r="E2609" t="str">
        <f>"C62202003035702"</f>
        <v>C62202003035702</v>
      </c>
      <c r="F2609" t="str">
        <f>"# 0012128865"</f>
        <v># 0012128865</v>
      </c>
      <c r="G2609" s="5">
        <v>243.23</v>
      </c>
      <c r="H2609" t="str">
        <f>"# 0012128865"</f>
        <v># 0012128865</v>
      </c>
    </row>
    <row r="2610" spans="1:8" x14ac:dyDescent="0.25">
      <c r="E2610" t="str">
        <f>"C66202003035702"</f>
        <v>C66202003035702</v>
      </c>
      <c r="F2610" t="str">
        <f>"# 0012871801"</f>
        <v># 0012871801</v>
      </c>
      <c r="G2610" s="5">
        <v>90</v>
      </c>
      <c r="H2610" t="str">
        <f>"# 0012871801"</f>
        <v># 0012871801</v>
      </c>
    </row>
    <row r="2611" spans="1:8" x14ac:dyDescent="0.25">
      <c r="E2611" t="str">
        <f>"C67202003035702"</f>
        <v>C67202003035702</v>
      </c>
      <c r="F2611" t="str">
        <f>"13154657"</f>
        <v>13154657</v>
      </c>
      <c r="G2611" s="5">
        <v>101.99</v>
      </c>
      <c r="H2611" t="str">
        <f>"13154657"</f>
        <v>13154657</v>
      </c>
    </row>
    <row r="2612" spans="1:8" x14ac:dyDescent="0.25">
      <c r="E2612" t="str">
        <f>"C69202003035702"</f>
        <v>C69202003035702</v>
      </c>
      <c r="F2612" t="str">
        <f>"0012046911423672"</f>
        <v>0012046911423672</v>
      </c>
      <c r="G2612" s="5">
        <v>187.38</v>
      </c>
      <c r="H2612" t="str">
        <f>"0012046911423672"</f>
        <v>0012046911423672</v>
      </c>
    </row>
    <row r="2613" spans="1:8" x14ac:dyDescent="0.25">
      <c r="E2613" t="str">
        <f>"C70202003035702"</f>
        <v>C70202003035702</v>
      </c>
      <c r="F2613" t="str">
        <f>"00136881334235026"</f>
        <v>00136881334235026</v>
      </c>
      <c r="G2613" s="5">
        <v>195.15</v>
      </c>
      <c r="H2613" t="str">
        <f>"00136881334235026"</f>
        <v>00136881334235026</v>
      </c>
    </row>
    <row r="2614" spans="1:8" x14ac:dyDescent="0.25">
      <c r="E2614" t="str">
        <f>"C71202003035702"</f>
        <v>C71202003035702</v>
      </c>
      <c r="F2614" t="str">
        <f>"00137390532018V215"</f>
        <v>00137390532018V215</v>
      </c>
      <c r="G2614" s="5">
        <v>264</v>
      </c>
      <c r="H2614" t="str">
        <f>"00137390532018V215"</f>
        <v>00137390532018V215</v>
      </c>
    </row>
    <row r="2615" spans="1:8" x14ac:dyDescent="0.25">
      <c r="E2615" t="str">
        <f>"C72202003035702"</f>
        <v>C72202003035702</v>
      </c>
      <c r="F2615" t="str">
        <f>"0012797601C20130529B"</f>
        <v>0012797601C20130529B</v>
      </c>
      <c r="G2615" s="5">
        <v>241.85</v>
      </c>
      <c r="H2615" t="str">
        <f>"0012797601C20130529B"</f>
        <v>0012797601C20130529B</v>
      </c>
    </row>
    <row r="2616" spans="1:8" x14ac:dyDescent="0.25">
      <c r="E2616" t="str">
        <f>"C78202003035702"</f>
        <v>C78202003035702</v>
      </c>
      <c r="F2616" t="str">
        <f>"00105115972005106221"</f>
        <v>00105115972005106221</v>
      </c>
      <c r="G2616" s="5">
        <v>144.68</v>
      </c>
      <c r="H2616" t="str">
        <f>"00105115972005106221"</f>
        <v>00105115972005106221</v>
      </c>
    </row>
    <row r="2617" spans="1:8" x14ac:dyDescent="0.25">
      <c r="E2617" t="str">
        <f>"C81202003035702"</f>
        <v>C81202003035702</v>
      </c>
      <c r="F2617" t="str">
        <f>"00123916889200232472"</f>
        <v>00123916889200232472</v>
      </c>
      <c r="G2617" s="5">
        <v>109.85</v>
      </c>
      <c r="H2617" t="str">
        <f>"00123916889200232472"</f>
        <v>00123916889200232472</v>
      </c>
    </row>
    <row r="2618" spans="1:8" x14ac:dyDescent="0.25">
      <c r="E2618" t="str">
        <f>"C82202003035702"</f>
        <v>C82202003035702</v>
      </c>
      <c r="F2618" t="str">
        <f>"0009476377203172B"</f>
        <v>0009476377203172B</v>
      </c>
      <c r="G2618" s="5">
        <v>46.15</v>
      </c>
      <c r="H2618" t="str">
        <f>"0009476377203172B"</f>
        <v>0009476377203172B</v>
      </c>
    </row>
    <row r="2619" spans="1:8" x14ac:dyDescent="0.25">
      <c r="E2619" t="str">
        <f>"C83202003035702"</f>
        <v>C83202003035702</v>
      </c>
      <c r="F2619" t="str">
        <f>"0013096953150533"</f>
        <v>0013096953150533</v>
      </c>
      <c r="G2619" s="5">
        <v>346.15</v>
      </c>
      <c r="H2619" t="str">
        <f>"0013096953150533"</f>
        <v>0013096953150533</v>
      </c>
    </row>
    <row r="2620" spans="1:8" x14ac:dyDescent="0.25">
      <c r="E2620" t="str">
        <f>"C84202003035702"</f>
        <v>C84202003035702</v>
      </c>
      <c r="F2620" t="str">
        <f>"00128499834232566"</f>
        <v>00128499834232566</v>
      </c>
      <c r="G2620" s="5">
        <v>439.94</v>
      </c>
      <c r="H2620" t="str">
        <f>"00128499834232566"</f>
        <v>00128499834232566</v>
      </c>
    </row>
    <row r="2621" spans="1:8" x14ac:dyDescent="0.25">
      <c r="E2621" t="str">
        <f>"C85202003035702"</f>
        <v>C85202003035702</v>
      </c>
      <c r="F2621" t="str">
        <f>"0012469425201770874"</f>
        <v>0012469425201770874</v>
      </c>
      <c r="G2621" s="5">
        <v>138.46</v>
      </c>
      <c r="H2621" t="str">
        <f>"0012469425201770874"</f>
        <v>0012469425201770874</v>
      </c>
    </row>
    <row r="2622" spans="1:8" x14ac:dyDescent="0.25">
      <c r="E2622" t="str">
        <f>"C86202003035702"</f>
        <v>C86202003035702</v>
      </c>
      <c r="F2622" t="str">
        <f>"0013854015101285F"</f>
        <v>0013854015101285F</v>
      </c>
      <c r="G2622" s="5">
        <v>241.85</v>
      </c>
      <c r="H2622" t="str">
        <f>"0013854015101285F"</f>
        <v>0013854015101285F</v>
      </c>
    </row>
    <row r="2623" spans="1:8" x14ac:dyDescent="0.25">
      <c r="A2623" t="s">
        <v>451</v>
      </c>
      <c r="B2623">
        <v>455</v>
      </c>
      <c r="C2623" s="5">
        <v>5098.47</v>
      </c>
      <c r="D2623" s="1">
        <v>43910</v>
      </c>
      <c r="E2623" t="str">
        <f>"C18202003186057"</f>
        <v>C18202003186057</v>
      </c>
      <c r="F2623" t="str">
        <f>"CAUSE# 0011635329"</f>
        <v>CAUSE# 0011635329</v>
      </c>
      <c r="G2623" s="5">
        <v>603.23</v>
      </c>
      <c r="H2623" t="str">
        <f>"CAUSE# 0011635329"</f>
        <v>CAUSE# 0011635329</v>
      </c>
    </row>
    <row r="2624" spans="1:8" x14ac:dyDescent="0.25">
      <c r="E2624" t="str">
        <f>"C2 202003186057"</f>
        <v>C2 202003186057</v>
      </c>
      <c r="F2624" t="str">
        <f>"0012982132CCL7445"</f>
        <v>0012982132CCL7445</v>
      </c>
      <c r="G2624" s="5">
        <v>692.31</v>
      </c>
      <c r="H2624" t="str">
        <f>"0012982132CCL7445"</f>
        <v>0012982132CCL7445</v>
      </c>
    </row>
    <row r="2625" spans="5:8" x14ac:dyDescent="0.25">
      <c r="E2625" t="str">
        <f>"C20202003186056"</f>
        <v>C20202003186056</v>
      </c>
      <c r="F2625" t="str">
        <f>"001003981107-12252"</f>
        <v>001003981107-12252</v>
      </c>
      <c r="G2625" s="5">
        <v>115.39</v>
      </c>
      <c r="H2625" t="str">
        <f>"001003981107-12252"</f>
        <v>001003981107-12252</v>
      </c>
    </row>
    <row r="2626" spans="5:8" x14ac:dyDescent="0.25">
      <c r="E2626" t="str">
        <f>"C42202003186056"</f>
        <v>C42202003186056</v>
      </c>
      <c r="F2626" t="str">
        <f>"001236769211-14410"</f>
        <v>001236769211-14410</v>
      </c>
      <c r="G2626" s="5">
        <v>230.31</v>
      </c>
      <c r="H2626" t="str">
        <f>"001236769211-14410"</f>
        <v>001236769211-14410</v>
      </c>
    </row>
    <row r="2627" spans="5:8" x14ac:dyDescent="0.25">
      <c r="E2627" t="str">
        <f>"C46202003186056"</f>
        <v>C46202003186056</v>
      </c>
      <c r="F2627" t="str">
        <f>"CAUSE# 11-14911"</f>
        <v>CAUSE# 11-14911</v>
      </c>
      <c r="G2627" s="5">
        <v>238.62</v>
      </c>
      <c r="H2627" t="str">
        <f>"CAUSE# 11-14911"</f>
        <v>CAUSE# 11-14911</v>
      </c>
    </row>
    <row r="2628" spans="5:8" x14ac:dyDescent="0.25">
      <c r="E2628" t="str">
        <f>"C53202003186056"</f>
        <v>C53202003186056</v>
      </c>
      <c r="F2628" t="str">
        <f>"0012453366"</f>
        <v>0012453366</v>
      </c>
      <c r="G2628" s="5">
        <v>138.46</v>
      </c>
      <c r="H2628" t="str">
        <f>"0012453366"</f>
        <v>0012453366</v>
      </c>
    </row>
    <row r="2629" spans="5:8" x14ac:dyDescent="0.25">
      <c r="E2629" t="str">
        <f>"C60202003186056"</f>
        <v>C60202003186056</v>
      </c>
      <c r="F2629" t="str">
        <f>"00130730762012V300"</f>
        <v>00130730762012V300</v>
      </c>
      <c r="G2629" s="5">
        <v>399.32</v>
      </c>
      <c r="H2629" t="str">
        <f>"00130730762012V300"</f>
        <v>00130730762012V300</v>
      </c>
    </row>
    <row r="2630" spans="5:8" x14ac:dyDescent="0.25">
      <c r="E2630" t="str">
        <f>"C62202003186056"</f>
        <v>C62202003186056</v>
      </c>
      <c r="F2630" t="str">
        <f>"# 0012128865"</f>
        <v># 0012128865</v>
      </c>
      <c r="G2630" s="5">
        <v>243.23</v>
      </c>
      <c r="H2630" t="str">
        <f>"# 0012128865"</f>
        <v># 0012128865</v>
      </c>
    </row>
    <row r="2631" spans="5:8" x14ac:dyDescent="0.25">
      <c r="E2631" t="str">
        <f>"C66202003186056"</f>
        <v>C66202003186056</v>
      </c>
      <c r="F2631" t="str">
        <f>"# 0012871801"</f>
        <v># 0012871801</v>
      </c>
      <c r="G2631" s="5">
        <v>90</v>
      </c>
      <c r="H2631" t="str">
        <f>"# 0012871801"</f>
        <v># 0012871801</v>
      </c>
    </row>
    <row r="2632" spans="5:8" x14ac:dyDescent="0.25">
      <c r="E2632" t="str">
        <f>"C67202003186056"</f>
        <v>C67202003186056</v>
      </c>
      <c r="F2632" t="str">
        <f>"13154657"</f>
        <v>13154657</v>
      </c>
      <c r="G2632" s="5">
        <v>101.99</v>
      </c>
      <c r="H2632" t="str">
        <f>"13154657"</f>
        <v>13154657</v>
      </c>
    </row>
    <row r="2633" spans="5:8" x14ac:dyDescent="0.25">
      <c r="E2633" t="str">
        <f>"C69202003186056"</f>
        <v>C69202003186056</v>
      </c>
      <c r="F2633" t="str">
        <f>"0012046911423672"</f>
        <v>0012046911423672</v>
      </c>
      <c r="G2633" s="5">
        <v>187.38</v>
      </c>
      <c r="H2633" t="str">
        <f>"0012046911423672"</f>
        <v>0012046911423672</v>
      </c>
    </row>
    <row r="2634" spans="5:8" x14ac:dyDescent="0.25">
      <c r="E2634" t="str">
        <f>"C70202003186056"</f>
        <v>C70202003186056</v>
      </c>
      <c r="F2634" t="str">
        <f>"00136881334235026"</f>
        <v>00136881334235026</v>
      </c>
      <c r="G2634" s="5">
        <v>195.15</v>
      </c>
      <c r="H2634" t="str">
        <f>"00136881334235026"</f>
        <v>00136881334235026</v>
      </c>
    </row>
    <row r="2635" spans="5:8" x14ac:dyDescent="0.25">
      <c r="E2635" t="str">
        <f>"C71202003186056"</f>
        <v>C71202003186056</v>
      </c>
      <c r="F2635" t="str">
        <f>"00137390532018V215"</f>
        <v>00137390532018V215</v>
      </c>
      <c r="G2635" s="5">
        <v>264</v>
      </c>
      <c r="H2635" t="str">
        <f>"00137390532018V215"</f>
        <v>00137390532018V215</v>
      </c>
    </row>
    <row r="2636" spans="5:8" x14ac:dyDescent="0.25">
      <c r="E2636" t="str">
        <f>"C72202003186056"</f>
        <v>C72202003186056</v>
      </c>
      <c r="F2636" t="str">
        <f>"0012797601C20130529B"</f>
        <v>0012797601C20130529B</v>
      </c>
      <c r="G2636" s="5">
        <v>241.85</v>
      </c>
      <c r="H2636" t="str">
        <f>"0012797601C20130529B"</f>
        <v>0012797601C20130529B</v>
      </c>
    </row>
    <row r="2637" spans="5:8" x14ac:dyDescent="0.25">
      <c r="E2637" t="str">
        <f>"C78202003186056"</f>
        <v>C78202003186056</v>
      </c>
      <c r="F2637" t="str">
        <f>"00105115972005106221"</f>
        <v>00105115972005106221</v>
      </c>
      <c r="G2637" s="5">
        <v>144.68</v>
      </c>
      <c r="H2637" t="str">
        <f>"00105115972005106221"</f>
        <v>00105115972005106221</v>
      </c>
    </row>
    <row r="2638" spans="5:8" x14ac:dyDescent="0.25">
      <c r="E2638" t="str">
        <f>"C82202003186056"</f>
        <v>C82202003186056</v>
      </c>
      <c r="F2638" t="str">
        <f>"0009476377203172B"</f>
        <v>0009476377203172B</v>
      </c>
      <c r="G2638" s="5">
        <v>46.15</v>
      </c>
      <c r="H2638" t="str">
        <f>"0009476377203172B"</f>
        <v>0009476377203172B</v>
      </c>
    </row>
    <row r="2639" spans="5:8" x14ac:dyDescent="0.25">
      <c r="E2639" t="str">
        <f>"C83202003186056"</f>
        <v>C83202003186056</v>
      </c>
      <c r="F2639" t="str">
        <f>"0013096953150533"</f>
        <v>0013096953150533</v>
      </c>
      <c r="G2639" s="5">
        <v>346.15</v>
      </c>
      <c r="H2639" t="str">
        <f>"0013096953150533"</f>
        <v>0013096953150533</v>
      </c>
    </row>
    <row r="2640" spans="5:8" x14ac:dyDescent="0.25">
      <c r="E2640" t="str">
        <f>"C84202003186056"</f>
        <v>C84202003186056</v>
      </c>
      <c r="F2640" t="str">
        <f>"00128499834232566"</f>
        <v>00128499834232566</v>
      </c>
      <c r="G2640" s="5">
        <v>439.94</v>
      </c>
      <c r="H2640" t="str">
        <f>"00128499834232566"</f>
        <v>00128499834232566</v>
      </c>
    </row>
    <row r="2641" spans="1:8" x14ac:dyDescent="0.25">
      <c r="E2641" t="str">
        <f>"C85202003186056"</f>
        <v>C85202003186056</v>
      </c>
      <c r="F2641" t="str">
        <f>"0012469425201770874"</f>
        <v>0012469425201770874</v>
      </c>
      <c r="G2641" s="5">
        <v>138.46</v>
      </c>
      <c r="H2641" t="str">
        <f>"0012469425201770874"</f>
        <v>0012469425201770874</v>
      </c>
    </row>
    <row r="2642" spans="1:8" x14ac:dyDescent="0.25">
      <c r="E2642" t="str">
        <f>"C86202003186056"</f>
        <v>C86202003186056</v>
      </c>
      <c r="F2642" t="str">
        <f>"0013854015101285F"</f>
        <v>0013854015101285F</v>
      </c>
      <c r="G2642" s="5">
        <v>241.85</v>
      </c>
      <c r="H2642" t="str">
        <f>"0013854015101285F"</f>
        <v>0013854015101285F</v>
      </c>
    </row>
    <row r="2643" spans="1:8" x14ac:dyDescent="0.25">
      <c r="A2643" t="s">
        <v>452</v>
      </c>
      <c r="B2643">
        <v>457</v>
      </c>
      <c r="C2643" s="5">
        <v>382950.15</v>
      </c>
      <c r="D2643" s="1">
        <v>43910</v>
      </c>
      <c r="E2643" t="str">
        <f>"RET202003035702"</f>
        <v>RET202003035702</v>
      </c>
      <c r="F2643" t="str">
        <f>"TEXAS COUNTY &amp; DISTRICT RET"</f>
        <v>TEXAS COUNTY &amp; DISTRICT RET</v>
      </c>
      <c r="G2643" s="5">
        <v>176315.46</v>
      </c>
      <c r="H2643" t="str">
        <f t="shared" ref="H2643:H2674" si="60">"TEXAS COUNTY &amp; DISTRICT RET"</f>
        <v>TEXAS COUNTY &amp; DISTRICT RET</v>
      </c>
    </row>
    <row r="2644" spans="1:8" x14ac:dyDescent="0.25">
      <c r="E2644" t="str">
        <f>""</f>
        <v/>
      </c>
      <c r="F2644" t="str">
        <f>""</f>
        <v/>
      </c>
      <c r="H2644" t="str">
        <f t="shared" si="60"/>
        <v>TEXAS COUNTY &amp; DISTRICT RET</v>
      </c>
    </row>
    <row r="2645" spans="1:8" x14ac:dyDescent="0.25">
      <c r="E2645" t="str">
        <f>""</f>
        <v/>
      </c>
      <c r="F2645" t="str">
        <f>""</f>
        <v/>
      </c>
      <c r="H2645" t="str">
        <f t="shared" si="60"/>
        <v>TEXAS COUNTY &amp; DISTRICT RET</v>
      </c>
    </row>
    <row r="2646" spans="1:8" x14ac:dyDescent="0.25">
      <c r="E2646" t="str">
        <f>""</f>
        <v/>
      </c>
      <c r="F2646" t="str">
        <f>""</f>
        <v/>
      </c>
      <c r="H2646" t="str">
        <f t="shared" si="60"/>
        <v>TEXAS COUNTY &amp; DISTRICT RET</v>
      </c>
    </row>
    <row r="2647" spans="1:8" x14ac:dyDescent="0.25">
      <c r="E2647" t="str">
        <f>""</f>
        <v/>
      </c>
      <c r="F2647" t="str">
        <f>""</f>
        <v/>
      </c>
      <c r="H2647" t="str">
        <f t="shared" si="60"/>
        <v>TEXAS COUNTY &amp; DISTRICT RET</v>
      </c>
    </row>
    <row r="2648" spans="1:8" x14ac:dyDescent="0.25">
      <c r="E2648" t="str">
        <f>""</f>
        <v/>
      </c>
      <c r="F2648" t="str">
        <f>""</f>
        <v/>
      </c>
      <c r="H2648" t="str">
        <f t="shared" si="60"/>
        <v>TEXAS COUNTY &amp; DISTRICT RET</v>
      </c>
    </row>
    <row r="2649" spans="1:8" x14ac:dyDescent="0.25">
      <c r="E2649" t="str">
        <f>""</f>
        <v/>
      </c>
      <c r="F2649" t="str">
        <f>""</f>
        <v/>
      </c>
      <c r="H2649" t="str">
        <f t="shared" si="60"/>
        <v>TEXAS COUNTY &amp; DISTRICT RET</v>
      </c>
    </row>
    <row r="2650" spans="1:8" x14ac:dyDescent="0.25">
      <c r="E2650" t="str">
        <f>""</f>
        <v/>
      </c>
      <c r="F2650" t="str">
        <f>""</f>
        <v/>
      </c>
      <c r="H2650" t="str">
        <f t="shared" si="60"/>
        <v>TEXAS COUNTY &amp; DISTRICT RET</v>
      </c>
    </row>
    <row r="2651" spans="1:8" x14ac:dyDescent="0.25">
      <c r="E2651" t="str">
        <f>""</f>
        <v/>
      </c>
      <c r="F2651" t="str">
        <f>""</f>
        <v/>
      </c>
      <c r="H2651" t="str">
        <f t="shared" si="60"/>
        <v>TEXAS COUNTY &amp; DISTRICT RET</v>
      </c>
    </row>
    <row r="2652" spans="1:8" x14ac:dyDescent="0.25">
      <c r="E2652" t="str">
        <f>""</f>
        <v/>
      </c>
      <c r="F2652" t="str">
        <f>""</f>
        <v/>
      </c>
      <c r="H2652" t="str">
        <f t="shared" si="60"/>
        <v>TEXAS COUNTY &amp; DISTRICT RET</v>
      </c>
    </row>
    <row r="2653" spans="1:8" x14ac:dyDescent="0.25">
      <c r="E2653" t="str">
        <f>""</f>
        <v/>
      </c>
      <c r="F2653" t="str">
        <f>""</f>
        <v/>
      </c>
      <c r="H2653" t="str">
        <f t="shared" si="60"/>
        <v>TEXAS COUNTY &amp; DISTRICT RET</v>
      </c>
    </row>
    <row r="2654" spans="1:8" x14ac:dyDescent="0.25">
      <c r="E2654" t="str">
        <f>""</f>
        <v/>
      </c>
      <c r="F2654" t="str">
        <f>""</f>
        <v/>
      </c>
      <c r="H2654" t="str">
        <f t="shared" si="60"/>
        <v>TEXAS COUNTY &amp; DISTRICT RET</v>
      </c>
    </row>
    <row r="2655" spans="1:8" x14ac:dyDescent="0.25">
      <c r="E2655" t="str">
        <f>""</f>
        <v/>
      </c>
      <c r="F2655" t="str">
        <f>""</f>
        <v/>
      </c>
      <c r="H2655" t="str">
        <f t="shared" si="60"/>
        <v>TEXAS COUNTY &amp; DISTRICT RET</v>
      </c>
    </row>
    <row r="2656" spans="1:8" x14ac:dyDescent="0.25">
      <c r="E2656" t="str">
        <f>""</f>
        <v/>
      </c>
      <c r="F2656" t="str">
        <f>""</f>
        <v/>
      </c>
      <c r="H2656" t="str">
        <f t="shared" si="60"/>
        <v>TEXAS COUNTY &amp; DISTRICT RET</v>
      </c>
    </row>
    <row r="2657" spans="5:8" x14ac:dyDescent="0.25">
      <c r="E2657" t="str">
        <f>""</f>
        <v/>
      </c>
      <c r="F2657" t="str">
        <f>""</f>
        <v/>
      </c>
      <c r="H2657" t="str">
        <f t="shared" si="60"/>
        <v>TEXAS COUNTY &amp; DISTRICT RET</v>
      </c>
    </row>
    <row r="2658" spans="5:8" x14ac:dyDescent="0.25">
      <c r="E2658" t="str">
        <f>""</f>
        <v/>
      </c>
      <c r="F2658" t="str">
        <f>""</f>
        <v/>
      </c>
      <c r="H2658" t="str">
        <f t="shared" si="60"/>
        <v>TEXAS COUNTY &amp; DISTRICT RET</v>
      </c>
    </row>
    <row r="2659" spans="5:8" x14ac:dyDescent="0.25">
      <c r="E2659" t="str">
        <f>""</f>
        <v/>
      </c>
      <c r="F2659" t="str">
        <f>""</f>
        <v/>
      </c>
      <c r="H2659" t="str">
        <f t="shared" si="60"/>
        <v>TEXAS COUNTY &amp; DISTRICT RET</v>
      </c>
    </row>
    <row r="2660" spans="5:8" x14ac:dyDescent="0.25">
      <c r="E2660" t="str">
        <f>""</f>
        <v/>
      </c>
      <c r="F2660" t="str">
        <f>""</f>
        <v/>
      </c>
      <c r="H2660" t="str">
        <f t="shared" si="60"/>
        <v>TEXAS COUNTY &amp; DISTRICT RET</v>
      </c>
    </row>
    <row r="2661" spans="5:8" x14ac:dyDescent="0.25">
      <c r="E2661" t="str">
        <f>""</f>
        <v/>
      </c>
      <c r="F2661" t="str">
        <f>""</f>
        <v/>
      </c>
      <c r="H2661" t="str">
        <f t="shared" si="60"/>
        <v>TEXAS COUNTY &amp; DISTRICT RET</v>
      </c>
    </row>
    <row r="2662" spans="5:8" x14ac:dyDescent="0.25">
      <c r="E2662" t="str">
        <f>""</f>
        <v/>
      </c>
      <c r="F2662" t="str">
        <f>""</f>
        <v/>
      </c>
      <c r="H2662" t="str">
        <f t="shared" si="60"/>
        <v>TEXAS COUNTY &amp; DISTRICT RET</v>
      </c>
    </row>
    <row r="2663" spans="5:8" x14ac:dyDescent="0.25">
      <c r="E2663" t="str">
        <f>""</f>
        <v/>
      </c>
      <c r="F2663" t="str">
        <f>""</f>
        <v/>
      </c>
      <c r="H2663" t="str">
        <f t="shared" si="60"/>
        <v>TEXAS COUNTY &amp; DISTRICT RET</v>
      </c>
    </row>
    <row r="2664" spans="5:8" x14ac:dyDescent="0.25">
      <c r="E2664" t="str">
        <f>""</f>
        <v/>
      </c>
      <c r="F2664" t="str">
        <f>""</f>
        <v/>
      </c>
      <c r="H2664" t="str">
        <f t="shared" si="60"/>
        <v>TEXAS COUNTY &amp; DISTRICT RET</v>
      </c>
    </row>
    <row r="2665" spans="5:8" x14ac:dyDescent="0.25">
      <c r="E2665" t="str">
        <f>""</f>
        <v/>
      </c>
      <c r="F2665" t="str">
        <f>""</f>
        <v/>
      </c>
      <c r="H2665" t="str">
        <f t="shared" si="60"/>
        <v>TEXAS COUNTY &amp; DISTRICT RET</v>
      </c>
    </row>
    <row r="2666" spans="5:8" x14ac:dyDescent="0.25">
      <c r="E2666" t="str">
        <f>""</f>
        <v/>
      </c>
      <c r="F2666" t="str">
        <f>""</f>
        <v/>
      </c>
      <c r="H2666" t="str">
        <f t="shared" si="60"/>
        <v>TEXAS COUNTY &amp; DISTRICT RET</v>
      </c>
    </row>
    <row r="2667" spans="5:8" x14ac:dyDescent="0.25">
      <c r="E2667" t="str">
        <f>""</f>
        <v/>
      </c>
      <c r="F2667" t="str">
        <f>""</f>
        <v/>
      </c>
      <c r="H2667" t="str">
        <f t="shared" si="60"/>
        <v>TEXAS COUNTY &amp; DISTRICT RET</v>
      </c>
    </row>
    <row r="2668" spans="5:8" x14ac:dyDescent="0.25">
      <c r="E2668" t="str">
        <f>""</f>
        <v/>
      </c>
      <c r="F2668" t="str">
        <f>""</f>
        <v/>
      </c>
      <c r="H2668" t="str">
        <f t="shared" si="60"/>
        <v>TEXAS COUNTY &amp; DISTRICT RET</v>
      </c>
    </row>
    <row r="2669" spans="5:8" x14ac:dyDescent="0.25">
      <c r="E2669" t="str">
        <f>""</f>
        <v/>
      </c>
      <c r="F2669" t="str">
        <f>""</f>
        <v/>
      </c>
      <c r="H2669" t="str">
        <f t="shared" si="60"/>
        <v>TEXAS COUNTY &amp; DISTRICT RET</v>
      </c>
    </row>
    <row r="2670" spans="5:8" x14ac:dyDescent="0.25">
      <c r="E2670" t="str">
        <f>""</f>
        <v/>
      </c>
      <c r="F2670" t="str">
        <f>""</f>
        <v/>
      </c>
      <c r="H2670" t="str">
        <f t="shared" si="60"/>
        <v>TEXAS COUNTY &amp; DISTRICT RET</v>
      </c>
    </row>
    <row r="2671" spans="5:8" x14ac:dyDescent="0.25">
      <c r="E2671" t="str">
        <f>""</f>
        <v/>
      </c>
      <c r="F2671" t="str">
        <f>""</f>
        <v/>
      </c>
      <c r="H2671" t="str">
        <f t="shared" si="60"/>
        <v>TEXAS COUNTY &amp; DISTRICT RET</v>
      </c>
    </row>
    <row r="2672" spans="5:8" x14ac:dyDescent="0.25">
      <c r="E2672" t="str">
        <f>""</f>
        <v/>
      </c>
      <c r="F2672" t="str">
        <f>""</f>
        <v/>
      </c>
      <c r="H2672" t="str">
        <f t="shared" si="60"/>
        <v>TEXAS COUNTY &amp; DISTRICT RET</v>
      </c>
    </row>
    <row r="2673" spans="5:8" x14ac:dyDescent="0.25">
      <c r="E2673" t="str">
        <f>""</f>
        <v/>
      </c>
      <c r="F2673" t="str">
        <f>""</f>
        <v/>
      </c>
      <c r="H2673" t="str">
        <f t="shared" si="60"/>
        <v>TEXAS COUNTY &amp; DISTRICT RET</v>
      </c>
    </row>
    <row r="2674" spans="5:8" x14ac:dyDescent="0.25">
      <c r="E2674" t="str">
        <f>""</f>
        <v/>
      </c>
      <c r="F2674" t="str">
        <f>""</f>
        <v/>
      </c>
      <c r="H2674" t="str">
        <f t="shared" si="60"/>
        <v>TEXAS COUNTY &amp; DISTRICT RET</v>
      </c>
    </row>
    <row r="2675" spans="5:8" x14ac:dyDescent="0.25">
      <c r="E2675" t="str">
        <f>""</f>
        <v/>
      </c>
      <c r="F2675" t="str">
        <f>""</f>
        <v/>
      </c>
      <c r="H2675" t="str">
        <f t="shared" ref="H2675:H2694" si="61">"TEXAS COUNTY &amp; DISTRICT RET"</f>
        <v>TEXAS COUNTY &amp; DISTRICT RET</v>
      </c>
    </row>
    <row r="2676" spans="5:8" x14ac:dyDescent="0.25">
      <c r="E2676" t="str">
        <f>""</f>
        <v/>
      </c>
      <c r="F2676" t="str">
        <f>""</f>
        <v/>
      </c>
      <c r="H2676" t="str">
        <f t="shared" si="61"/>
        <v>TEXAS COUNTY &amp; DISTRICT RET</v>
      </c>
    </row>
    <row r="2677" spans="5:8" x14ac:dyDescent="0.25">
      <c r="E2677" t="str">
        <f>""</f>
        <v/>
      </c>
      <c r="F2677" t="str">
        <f>""</f>
        <v/>
      </c>
      <c r="H2677" t="str">
        <f t="shared" si="61"/>
        <v>TEXAS COUNTY &amp; DISTRICT RET</v>
      </c>
    </row>
    <row r="2678" spans="5:8" x14ac:dyDescent="0.25">
      <c r="E2678" t="str">
        <f>""</f>
        <v/>
      </c>
      <c r="F2678" t="str">
        <f>""</f>
        <v/>
      </c>
      <c r="H2678" t="str">
        <f t="shared" si="61"/>
        <v>TEXAS COUNTY &amp; DISTRICT RET</v>
      </c>
    </row>
    <row r="2679" spans="5:8" x14ac:dyDescent="0.25">
      <c r="E2679" t="str">
        <f>""</f>
        <v/>
      </c>
      <c r="F2679" t="str">
        <f>""</f>
        <v/>
      </c>
      <c r="H2679" t="str">
        <f t="shared" si="61"/>
        <v>TEXAS COUNTY &amp; DISTRICT RET</v>
      </c>
    </row>
    <row r="2680" spans="5:8" x14ac:dyDescent="0.25">
      <c r="E2680" t="str">
        <f>""</f>
        <v/>
      </c>
      <c r="F2680" t="str">
        <f>""</f>
        <v/>
      </c>
      <c r="H2680" t="str">
        <f t="shared" si="61"/>
        <v>TEXAS COUNTY &amp; DISTRICT RET</v>
      </c>
    </row>
    <row r="2681" spans="5:8" x14ac:dyDescent="0.25">
      <c r="E2681" t="str">
        <f>""</f>
        <v/>
      </c>
      <c r="F2681" t="str">
        <f>""</f>
        <v/>
      </c>
      <c r="H2681" t="str">
        <f t="shared" si="61"/>
        <v>TEXAS COUNTY &amp; DISTRICT RET</v>
      </c>
    </row>
    <row r="2682" spans="5:8" x14ac:dyDescent="0.25">
      <c r="E2682" t="str">
        <f>""</f>
        <v/>
      </c>
      <c r="F2682" t="str">
        <f>""</f>
        <v/>
      </c>
      <c r="H2682" t="str">
        <f t="shared" si="61"/>
        <v>TEXAS COUNTY &amp; DISTRICT RET</v>
      </c>
    </row>
    <row r="2683" spans="5:8" x14ac:dyDescent="0.25">
      <c r="E2683" t="str">
        <f>""</f>
        <v/>
      </c>
      <c r="F2683" t="str">
        <f>""</f>
        <v/>
      </c>
      <c r="H2683" t="str">
        <f t="shared" si="61"/>
        <v>TEXAS COUNTY &amp; DISTRICT RET</v>
      </c>
    </row>
    <row r="2684" spans="5:8" x14ac:dyDescent="0.25">
      <c r="E2684" t="str">
        <f>""</f>
        <v/>
      </c>
      <c r="F2684" t="str">
        <f>""</f>
        <v/>
      </c>
      <c r="H2684" t="str">
        <f t="shared" si="61"/>
        <v>TEXAS COUNTY &amp; DISTRICT RET</v>
      </c>
    </row>
    <row r="2685" spans="5:8" x14ac:dyDescent="0.25">
      <c r="E2685" t="str">
        <f>""</f>
        <v/>
      </c>
      <c r="F2685" t="str">
        <f>""</f>
        <v/>
      </c>
      <c r="H2685" t="str">
        <f t="shared" si="61"/>
        <v>TEXAS COUNTY &amp; DISTRICT RET</v>
      </c>
    </row>
    <row r="2686" spans="5:8" x14ac:dyDescent="0.25">
      <c r="E2686" t="str">
        <f>""</f>
        <v/>
      </c>
      <c r="F2686" t="str">
        <f>""</f>
        <v/>
      </c>
      <c r="H2686" t="str">
        <f t="shared" si="61"/>
        <v>TEXAS COUNTY &amp; DISTRICT RET</v>
      </c>
    </row>
    <row r="2687" spans="5:8" x14ac:dyDescent="0.25">
      <c r="E2687" t="str">
        <f>""</f>
        <v/>
      </c>
      <c r="F2687" t="str">
        <f>""</f>
        <v/>
      </c>
      <c r="H2687" t="str">
        <f t="shared" si="61"/>
        <v>TEXAS COUNTY &amp; DISTRICT RET</v>
      </c>
    </row>
    <row r="2688" spans="5:8" x14ac:dyDescent="0.25">
      <c r="E2688" t="str">
        <f>""</f>
        <v/>
      </c>
      <c r="F2688" t="str">
        <f>""</f>
        <v/>
      </c>
      <c r="H2688" t="str">
        <f t="shared" si="61"/>
        <v>TEXAS COUNTY &amp; DISTRICT RET</v>
      </c>
    </row>
    <row r="2689" spans="5:8" x14ac:dyDescent="0.25">
      <c r="E2689" t="str">
        <f>""</f>
        <v/>
      </c>
      <c r="F2689" t="str">
        <f>""</f>
        <v/>
      </c>
      <c r="H2689" t="str">
        <f t="shared" si="61"/>
        <v>TEXAS COUNTY &amp; DISTRICT RET</v>
      </c>
    </row>
    <row r="2690" spans="5:8" x14ac:dyDescent="0.25">
      <c r="E2690" t="str">
        <f>""</f>
        <v/>
      </c>
      <c r="F2690" t="str">
        <f>""</f>
        <v/>
      </c>
      <c r="H2690" t="str">
        <f t="shared" si="61"/>
        <v>TEXAS COUNTY &amp; DISTRICT RET</v>
      </c>
    </row>
    <row r="2691" spans="5:8" x14ac:dyDescent="0.25">
      <c r="E2691" t="str">
        <f>""</f>
        <v/>
      </c>
      <c r="F2691" t="str">
        <f>""</f>
        <v/>
      </c>
      <c r="H2691" t="str">
        <f t="shared" si="61"/>
        <v>TEXAS COUNTY &amp; DISTRICT RET</v>
      </c>
    </row>
    <row r="2692" spans="5:8" x14ac:dyDescent="0.25">
      <c r="E2692" t="str">
        <f>""</f>
        <v/>
      </c>
      <c r="F2692" t="str">
        <f>""</f>
        <v/>
      </c>
      <c r="H2692" t="str">
        <f t="shared" si="61"/>
        <v>TEXAS COUNTY &amp; DISTRICT RET</v>
      </c>
    </row>
    <row r="2693" spans="5:8" x14ac:dyDescent="0.25">
      <c r="E2693" t="str">
        <f>""</f>
        <v/>
      </c>
      <c r="F2693" t="str">
        <f>""</f>
        <v/>
      </c>
      <c r="H2693" t="str">
        <f t="shared" si="61"/>
        <v>TEXAS COUNTY &amp; DISTRICT RET</v>
      </c>
    </row>
    <row r="2694" spans="5:8" x14ac:dyDescent="0.25">
      <c r="E2694" t="str">
        <f>""</f>
        <v/>
      </c>
      <c r="F2694" t="str">
        <f>""</f>
        <v/>
      </c>
      <c r="H2694" t="str">
        <f t="shared" si="61"/>
        <v>TEXAS COUNTY &amp; DISTRICT RET</v>
      </c>
    </row>
    <row r="2695" spans="5:8" x14ac:dyDescent="0.25">
      <c r="E2695" t="str">
        <f>"RET202003045735"</f>
        <v>RET202003045735</v>
      </c>
      <c r="F2695" t="str">
        <f>"TEXAS COUNTY  DISTRICT RET"</f>
        <v>TEXAS COUNTY  DISTRICT RET</v>
      </c>
      <c r="G2695" s="5">
        <v>6645.81</v>
      </c>
      <c r="H2695" t="str">
        <f>"TEXAS COUNTY  DISTRICT RET"</f>
        <v>TEXAS COUNTY  DISTRICT RET</v>
      </c>
    </row>
    <row r="2696" spans="5:8" x14ac:dyDescent="0.25">
      <c r="E2696" t="str">
        <f>""</f>
        <v/>
      </c>
      <c r="F2696" t="str">
        <f>""</f>
        <v/>
      </c>
      <c r="H2696" t="str">
        <f>"TEXAS COUNTY  DISTRICT RET"</f>
        <v>TEXAS COUNTY  DISTRICT RET</v>
      </c>
    </row>
    <row r="2697" spans="5:8" x14ac:dyDescent="0.25">
      <c r="E2697" t="str">
        <f>"RET202003045736"</f>
        <v>RET202003045736</v>
      </c>
      <c r="F2697" t="str">
        <f>"TEXAS COUNTY &amp; DISTRICT RET"</f>
        <v>TEXAS COUNTY &amp; DISTRICT RET</v>
      </c>
      <c r="G2697" s="5">
        <v>7910.95</v>
      </c>
      <c r="H2697" t="str">
        <f t="shared" ref="H2697:H2728" si="62">"TEXAS COUNTY &amp; DISTRICT RET"</f>
        <v>TEXAS COUNTY &amp; DISTRICT RET</v>
      </c>
    </row>
    <row r="2698" spans="5:8" x14ac:dyDescent="0.25">
      <c r="E2698" t="str">
        <f>""</f>
        <v/>
      </c>
      <c r="F2698" t="str">
        <f>""</f>
        <v/>
      </c>
      <c r="H2698" t="str">
        <f t="shared" si="62"/>
        <v>TEXAS COUNTY &amp; DISTRICT RET</v>
      </c>
    </row>
    <row r="2699" spans="5:8" x14ac:dyDescent="0.25">
      <c r="E2699" t="str">
        <f>"RET202003186056"</f>
        <v>RET202003186056</v>
      </c>
      <c r="F2699" t="str">
        <f>"TEXAS COUNTY &amp; DISTRICT RET"</f>
        <v>TEXAS COUNTY &amp; DISTRICT RET</v>
      </c>
      <c r="G2699" s="5">
        <v>177859.28</v>
      </c>
      <c r="H2699" t="str">
        <f t="shared" si="62"/>
        <v>TEXAS COUNTY &amp; DISTRICT RET</v>
      </c>
    </row>
    <row r="2700" spans="5:8" x14ac:dyDescent="0.25">
      <c r="E2700" t="str">
        <f>""</f>
        <v/>
      </c>
      <c r="F2700" t="str">
        <f>""</f>
        <v/>
      </c>
      <c r="H2700" t="str">
        <f t="shared" si="62"/>
        <v>TEXAS COUNTY &amp; DISTRICT RET</v>
      </c>
    </row>
    <row r="2701" spans="5:8" x14ac:dyDescent="0.25">
      <c r="E2701" t="str">
        <f>""</f>
        <v/>
      </c>
      <c r="F2701" t="str">
        <f>""</f>
        <v/>
      </c>
      <c r="H2701" t="str">
        <f t="shared" si="62"/>
        <v>TEXAS COUNTY &amp; DISTRICT RET</v>
      </c>
    </row>
    <row r="2702" spans="5:8" x14ac:dyDescent="0.25">
      <c r="E2702" t="str">
        <f>""</f>
        <v/>
      </c>
      <c r="F2702" t="str">
        <f>""</f>
        <v/>
      </c>
      <c r="H2702" t="str">
        <f t="shared" si="62"/>
        <v>TEXAS COUNTY &amp; DISTRICT RET</v>
      </c>
    </row>
    <row r="2703" spans="5:8" x14ac:dyDescent="0.25">
      <c r="E2703" t="str">
        <f>""</f>
        <v/>
      </c>
      <c r="F2703" t="str">
        <f>""</f>
        <v/>
      </c>
      <c r="H2703" t="str">
        <f t="shared" si="62"/>
        <v>TEXAS COUNTY &amp; DISTRICT RET</v>
      </c>
    </row>
    <row r="2704" spans="5:8" x14ac:dyDescent="0.25">
      <c r="E2704" t="str">
        <f>""</f>
        <v/>
      </c>
      <c r="F2704" t="str">
        <f>""</f>
        <v/>
      </c>
      <c r="H2704" t="str">
        <f t="shared" si="62"/>
        <v>TEXAS COUNTY &amp; DISTRICT RET</v>
      </c>
    </row>
    <row r="2705" spans="5:8" x14ac:dyDescent="0.25">
      <c r="E2705" t="str">
        <f>""</f>
        <v/>
      </c>
      <c r="F2705" t="str">
        <f>""</f>
        <v/>
      </c>
      <c r="H2705" t="str">
        <f t="shared" si="62"/>
        <v>TEXAS COUNTY &amp; DISTRICT RET</v>
      </c>
    </row>
    <row r="2706" spans="5:8" x14ac:dyDescent="0.25">
      <c r="E2706" t="str">
        <f>""</f>
        <v/>
      </c>
      <c r="F2706" t="str">
        <f>""</f>
        <v/>
      </c>
      <c r="H2706" t="str">
        <f t="shared" si="62"/>
        <v>TEXAS COUNTY &amp; DISTRICT RET</v>
      </c>
    </row>
    <row r="2707" spans="5:8" x14ac:dyDescent="0.25">
      <c r="E2707" t="str">
        <f>""</f>
        <v/>
      </c>
      <c r="F2707" t="str">
        <f>""</f>
        <v/>
      </c>
      <c r="H2707" t="str">
        <f t="shared" si="62"/>
        <v>TEXAS COUNTY &amp; DISTRICT RET</v>
      </c>
    </row>
    <row r="2708" spans="5:8" x14ac:dyDescent="0.25">
      <c r="E2708" t="str">
        <f>""</f>
        <v/>
      </c>
      <c r="F2708" t="str">
        <f>""</f>
        <v/>
      </c>
      <c r="H2708" t="str">
        <f t="shared" si="62"/>
        <v>TEXAS COUNTY &amp; DISTRICT RET</v>
      </c>
    </row>
    <row r="2709" spans="5:8" x14ac:dyDescent="0.25">
      <c r="E2709" t="str">
        <f>""</f>
        <v/>
      </c>
      <c r="F2709" t="str">
        <f>""</f>
        <v/>
      </c>
      <c r="H2709" t="str">
        <f t="shared" si="62"/>
        <v>TEXAS COUNTY &amp; DISTRICT RET</v>
      </c>
    </row>
    <row r="2710" spans="5:8" x14ac:dyDescent="0.25">
      <c r="E2710" t="str">
        <f>""</f>
        <v/>
      </c>
      <c r="F2710" t="str">
        <f>""</f>
        <v/>
      </c>
      <c r="H2710" t="str">
        <f t="shared" si="62"/>
        <v>TEXAS COUNTY &amp; DISTRICT RET</v>
      </c>
    </row>
    <row r="2711" spans="5:8" x14ac:dyDescent="0.25">
      <c r="E2711" t="str">
        <f>""</f>
        <v/>
      </c>
      <c r="F2711" t="str">
        <f>""</f>
        <v/>
      </c>
      <c r="H2711" t="str">
        <f t="shared" si="62"/>
        <v>TEXAS COUNTY &amp; DISTRICT RET</v>
      </c>
    </row>
    <row r="2712" spans="5:8" x14ac:dyDescent="0.25">
      <c r="E2712" t="str">
        <f>""</f>
        <v/>
      </c>
      <c r="F2712" t="str">
        <f>""</f>
        <v/>
      </c>
      <c r="H2712" t="str">
        <f t="shared" si="62"/>
        <v>TEXAS COUNTY &amp; DISTRICT RET</v>
      </c>
    </row>
    <row r="2713" spans="5:8" x14ac:dyDescent="0.25">
      <c r="E2713" t="str">
        <f>""</f>
        <v/>
      </c>
      <c r="F2713" t="str">
        <f>""</f>
        <v/>
      </c>
      <c r="H2713" t="str">
        <f t="shared" si="62"/>
        <v>TEXAS COUNTY &amp; DISTRICT RET</v>
      </c>
    </row>
    <row r="2714" spans="5:8" x14ac:dyDescent="0.25">
      <c r="E2714" t="str">
        <f>""</f>
        <v/>
      </c>
      <c r="F2714" t="str">
        <f>""</f>
        <v/>
      </c>
      <c r="H2714" t="str">
        <f t="shared" si="62"/>
        <v>TEXAS COUNTY &amp; DISTRICT RET</v>
      </c>
    </row>
    <row r="2715" spans="5:8" x14ac:dyDescent="0.25">
      <c r="E2715" t="str">
        <f>""</f>
        <v/>
      </c>
      <c r="F2715" t="str">
        <f>""</f>
        <v/>
      </c>
      <c r="H2715" t="str">
        <f t="shared" si="62"/>
        <v>TEXAS COUNTY &amp; DISTRICT RET</v>
      </c>
    </row>
    <row r="2716" spans="5:8" x14ac:dyDescent="0.25">
      <c r="E2716" t="str">
        <f>""</f>
        <v/>
      </c>
      <c r="F2716" t="str">
        <f>""</f>
        <v/>
      </c>
      <c r="H2716" t="str">
        <f t="shared" si="62"/>
        <v>TEXAS COUNTY &amp; DISTRICT RET</v>
      </c>
    </row>
    <row r="2717" spans="5:8" x14ac:dyDescent="0.25">
      <c r="E2717" t="str">
        <f>""</f>
        <v/>
      </c>
      <c r="F2717" t="str">
        <f>""</f>
        <v/>
      </c>
      <c r="H2717" t="str">
        <f t="shared" si="62"/>
        <v>TEXAS COUNTY &amp; DISTRICT RET</v>
      </c>
    </row>
    <row r="2718" spans="5:8" x14ac:dyDescent="0.25">
      <c r="E2718" t="str">
        <f>""</f>
        <v/>
      </c>
      <c r="F2718" t="str">
        <f>""</f>
        <v/>
      </c>
      <c r="H2718" t="str">
        <f t="shared" si="62"/>
        <v>TEXAS COUNTY &amp; DISTRICT RET</v>
      </c>
    </row>
    <row r="2719" spans="5:8" x14ac:dyDescent="0.25">
      <c r="E2719" t="str">
        <f>""</f>
        <v/>
      </c>
      <c r="F2719" t="str">
        <f>""</f>
        <v/>
      </c>
      <c r="H2719" t="str">
        <f t="shared" si="62"/>
        <v>TEXAS COUNTY &amp; DISTRICT RET</v>
      </c>
    </row>
    <row r="2720" spans="5:8" x14ac:dyDescent="0.25">
      <c r="E2720" t="str">
        <f>""</f>
        <v/>
      </c>
      <c r="F2720" t="str">
        <f>""</f>
        <v/>
      </c>
      <c r="H2720" t="str">
        <f t="shared" si="62"/>
        <v>TEXAS COUNTY &amp; DISTRICT RET</v>
      </c>
    </row>
    <row r="2721" spans="5:8" x14ac:dyDescent="0.25">
      <c r="E2721" t="str">
        <f>""</f>
        <v/>
      </c>
      <c r="F2721" t="str">
        <f>""</f>
        <v/>
      </c>
      <c r="H2721" t="str">
        <f t="shared" si="62"/>
        <v>TEXAS COUNTY &amp; DISTRICT RET</v>
      </c>
    </row>
    <row r="2722" spans="5:8" x14ac:dyDescent="0.25">
      <c r="E2722" t="str">
        <f>""</f>
        <v/>
      </c>
      <c r="F2722" t="str">
        <f>""</f>
        <v/>
      </c>
      <c r="H2722" t="str">
        <f t="shared" si="62"/>
        <v>TEXAS COUNTY &amp; DISTRICT RET</v>
      </c>
    </row>
    <row r="2723" spans="5:8" x14ac:dyDescent="0.25">
      <c r="E2723" t="str">
        <f>""</f>
        <v/>
      </c>
      <c r="F2723" t="str">
        <f>""</f>
        <v/>
      </c>
      <c r="H2723" t="str">
        <f t="shared" si="62"/>
        <v>TEXAS COUNTY &amp; DISTRICT RET</v>
      </c>
    </row>
    <row r="2724" spans="5:8" x14ac:dyDescent="0.25">
      <c r="E2724" t="str">
        <f>""</f>
        <v/>
      </c>
      <c r="F2724" t="str">
        <f>""</f>
        <v/>
      </c>
      <c r="H2724" t="str">
        <f t="shared" si="62"/>
        <v>TEXAS COUNTY &amp; DISTRICT RET</v>
      </c>
    </row>
    <row r="2725" spans="5:8" x14ac:dyDescent="0.25">
      <c r="E2725" t="str">
        <f>""</f>
        <v/>
      </c>
      <c r="F2725" t="str">
        <f>""</f>
        <v/>
      </c>
      <c r="H2725" t="str">
        <f t="shared" si="62"/>
        <v>TEXAS COUNTY &amp; DISTRICT RET</v>
      </c>
    </row>
    <row r="2726" spans="5:8" x14ac:dyDescent="0.25">
      <c r="E2726" t="str">
        <f>""</f>
        <v/>
      </c>
      <c r="F2726" t="str">
        <f>""</f>
        <v/>
      </c>
      <c r="H2726" t="str">
        <f t="shared" si="62"/>
        <v>TEXAS COUNTY &amp; DISTRICT RET</v>
      </c>
    </row>
    <row r="2727" spans="5:8" x14ac:dyDescent="0.25">
      <c r="E2727" t="str">
        <f>""</f>
        <v/>
      </c>
      <c r="F2727" t="str">
        <f>""</f>
        <v/>
      </c>
      <c r="H2727" t="str">
        <f t="shared" si="62"/>
        <v>TEXAS COUNTY &amp; DISTRICT RET</v>
      </c>
    </row>
    <row r="2728" spans="5:8" x14ac:dyDescent="0.25">
      <c r="E2728" t="str">
        <f>""</f>
        <v/>
      </c>
      <c r="F2728" t="str">
        <f>""</f>
        <v/>
      </c>
      <c r="H2728" t="str">
        <f t="shared" si="62"/>
        <v>TEXAS COUNTY &amp; DISTRICT RET</v>
      </c>
    </row>
    <row r="2729" spans="5:8" x14ac:dyDescent="0.25">
      <c r="E2729" t="str">
        <f>""</f>
        <v/>
      </c>
      <c r="F2729" t="str">
        <f>""</f>
        <v/>
      </c>
      <c r="H2729" t="str">
        <f t="shared" ref="H2729:H2750" si="63">"TEXAS COUNTY &amp; DISTRICT RET"</f>
        <v>TEXAS COUNTY &amp; DISTRICT RET</v>
      </c>
    </row>
    <row r="2730" spans="5:8" x14ac:dyDescent="0.25">
      <c r="E2730" t="str">
        <f>""</f>
        <v/>
      </c>
      <c r="F2730" t="str">
        <f>""</f>
        <v/>
      </c>
      <c r="H2730" t="str">
        <f t="shared" si="63"/>
        <v>TEXAS COUNTY &amp; DISTRICT RET</v>
      </c>
    </row>
    <row r="2731" spans="5:8" x14ac:dyDescent="0.25">
      <c r="E2731" t="str">
        <f>""</f>
        <v/>
      </c>
      <c r="F2731" t="str">
        <f>""</f>
        <v/>
      </c>
      <c r="H2731" t="str">
        <f t="shared" si="63"/>
        <v>TEXAS COUNTY &amp; DISTRICT RET</v>
      </c>
    </row>
    <row r="2732" spans="5:8" x14ac:dyDescent="0.25">
      <c r="E2732" t="str">
        <f>""</f>
        <v/>
      </c>
      <c r="F2732" t="str">
        <f>""</f>
        <v/>
      </c>
      <c r="H2732" t="str">
        <f t="shared" si="63"/>
        <v>TEXAS COUNTY &amp; DISTRICT RET</v>
      </c>
    </row>
    <row r="2733" spans="5:8" x14ac:dyDescent="0.25">
      <c r="E2733" t="str">
        <f>""</f>
        <v/>
      </c>
      <c r="F2733" t="str">
        <f>""</f>
        <v/>
      </c>
      <c r="H2733" t="str">
        <f t="shared" si="63"/>
        <v>TEXAS COUNTY &amp; DISTRICT RET</v>
      </c>
    </row>
    <row r="2734" spans="5:8" x14ac:dyDescent="0.25">
      <c r="E2734" t="str">
        <f>""</f>
        <v/>
      </c>
      <c r="F2734" t="str">
        <f>""</f>
        <v/>
      </c>
      <c r="H2734" t="str">
        <f t="shared" si="63"/>
        <v>TEXAS COUNTY &amp; DISTRICT RET</v>
      </c>
    </row>
    <row r="2735" spans="5:8" x14ac:dyDescent="0.25">
      <c r="E2735" t="str">
        <f>""</f>
        <v/>
      </c>
      <c r="F2735" t="str">
        <f>""</f>
        <v/>
      </c>
      <c r="H2735" t="str">
        <f t="shared" si="63"/>
        <v>TEXAS COUNTY &amp; DISTRICT RET</v>
      </c>
    </row>
    <row r="2736" spans="5:8" x14ac:dyDescent="0.25">
      <c r="E2736" t="str">
        <f>""</f>
        <v/>
      </c>
      <c r="F2736" t="str">
        <f>""</f>
        <v/>
      </c>
      <c r="H2736" t="str">
        <f t="shared" si="63"/>
        <v>TEXAS COUNTY &amp; DISTRICT RET</v>
      </c>
    </row>
    <row r="2737" spans="5:8" x14ac:dyDescent="0.25">
      <c r="E2737" t="str">
        <f>""</f>
        <v/>
      </c>
      <c r="F2737" t="str">
        <f>""</f>
        <v/>
      </c>
      <c r="H2737" t="str">
        <f t="shared" si="63"/>
        <v>TEXAS COUNTY &amp; DISTRICT RET</v>
      </c>
    </row>
    <row r="2738" spans="5:8" x14ac:dyDescent="0.25">
      <c r="E2738" t="str">
        <f>""</f>
        <v/>
      </c>
      <c r="F2738" t="str">
        <f>""</f>
        <v/>
      </c>
      <c r="H2738" t="str">
        <f t="shared" si="63"/>
        <v>TEXAS COUNTY &amp; DISTRICT RET</v>
      </c>
    </row>
    <row r="2739" spans="5:8" x14ac:dyDescent="0.25">
      <c r="E2739" t="str">
        <f>""</f>
        <v/>
      </c>
      <c r="F2739" t="str">
        <f>""</f>
        <v/>
      </c>
      <c r="H2739" t="str">
        <f t="shared" si="63"/>
        <v>TEXAS COUNTY &amp; DISTRICT RET</v>
      </c>
    </row>
    <row r="2740" spans="5:8" x14ac:dyDescent="0.25">
      <c r="E2740" t="str">
        <f>""</f>
        <v/>
      </c>
      <c r="F2740" t="str">
        <f>""</f>
        <v/>
      </c>
      <c r="H2740" t="str">
        <f t="shared" si="63"/>
        <v>TEXAS COUNTY &amp; DISTRICT RET</v>
      </c>
    </row>
    <row r="2741" spans="5:8" x14ac:dyDescent="0.25">
      <c r="E2741" t="str">
        <f>""</f>
        <v/>
      </c>
      <c r="F2741" t="str">
        <f>""</f>
        <v/>
      </c>
      <c r="H2741" t="str">
        <f t="shared" si="63"/>
        <v>TEXAS COUNTY &amp; DISTRICT RET</v>
      </c>
    </row>
    <row r="2742" spans="5:8" x14ac:dyDescent="0.25">
      <c r="E2742" t="str">
        <f>""</f>
        <v/>
      </c>
      <c r="F2742" t="str">
        <f>""</f>
        <v/>
      </c>
      <c r="H2742" t="str">
        <f t="shared" si="63"/>
        <v>TEXAS COUNTY &amp; DISTRICT RET</v>
      </c>
    </row>
    <row r="2743" spans="5:8" x14ac:dyDescent="0.25">
      <c r="E2743" t="str">
        <f>""</f>
        <v/>
      </c>
      <c r="F2743" t="str">
        <f>""</f>
        <v/>
      </c>
      <c r="H2743" t="str">
        <f t="shared" si="63"/>
        <v>TEXAS COUNTY &amp; DISTRICT RET</v>
      </c>
    </row>
    <row r="2744" spans="5:8" x14ac:dyDescent="0.25">
      <c r="E2744" t="str">
        <f>""</f>
        <v/>
      </c>
      <c r="F2744" t="str">
        <f>""</f>
        <v/>
      </c>
      <c r="H2744" t="str">
        <f t="shared" si="63"/>
        <v>TEXAS COUNTY &amp; DISTRICT RET</v>
      </c>
    </row>
    <row r="2745" spans="5:8" x14ac:dyDescent="0.25">
      <c r="E2745" t="str">
        <f>""</f>
        <v/>
      </c>
      <c r="F2745" t="str">
        <f>""</f>
        <v/>
      </c>
      <c r="H2745" t="str">
        <f t="shared" si="63"/>
        <v>TEXAS COUNTY &amp; DISTRICT RET</v>
      </c>
    </row>
    <row r="2746" spans="5:8" x14ac:dyDescent="0.25">
      <c r="E2746" t="str">
        <f>""</f>
        <v/>
      </c>
      <c r="F2746" t="str">
        <f>""</f>
        <v/>
      </c>
      <c r="H2746" t="str">
        <f t="shared" si="63"/>
        <v>TEXAS COUNTY &amp; DISTRICT RET</v>
      </c>
    </row>
    <row r="2747" spans="5:8" x14ac:dyDescent="0.25">
      <c r="E2747" t="str">
        <f>""</f>
        <v/>
      </c>
      <c r="F2747" t="str">
        <f>""</f>
        <v/>
      </c>
      <c r="H2747" t="str">
        <f t="shared" si="63"/>
        <v>TEXAS COUNTY &amp; DISTRICT RET</v>
      </c>
    </row>
    <row r="2748" spans="5:8" x14ac:dyDescent="0.25">
      <c r="E2748" t="str">
        <f>""</f>
        <v/>
      </c>
      <c r="F2748" t="str">
        <f>""</f>
        <v/>
      </c>
      <c r="H2748" t="str">
        <f t="shared" si="63"/>
        <v>TEXAS COUNTY &amp; DISTRICT RET</v>
      </c>
    </row>
    <row r="2749" spans="5:8" x14ac:dyDescent="0.25">
      <c r="E2749" t="str">
        <f>""</f>
        <v/>
      </c>
      <c r="F2749" t="str">
        <f>""</f>
        <v/>
      </c>
      <c r="H2749" t="str">
        <f t="shared" si="63"/>
        <v>TEXAS COUNTY &amp; DISTRICT RET</v>
      </c>
    </row>
    <row r="2750" spans="5:8" x14ac:dyDescent="0.25">
      <c r="E2750" t="str">
        <f>""</f>
        <v/>
      </c>
      <c r="F2750" t="str">
        <f>""</f>
        <v/>
      </c>
      <c r="H2750" t="str">
        <f t="shared" si="63"/>
        <v>TEXAS COUNTY &amp; DISTRICT RET</v>
      </c>
    </row>
    <row r="2751" spans="5:8" x14ac:dyDescent="0.25">
      <c r="E2751" t="str">
        <f>"RET202003186057"</f>
        <v>RET202003186057</v>
      </c>
      <c r="F2751" t="str">
        <f>"TEXAS COUNTY  DISTRICT RET"</f>
        <v>TEXAS COUNTY  DISTRICT RET</v>
      </c>
      <c r="G2751" s="5">
        <v>6637.75</v>
      </c>
      <c r="H2751" t="str">
        <f>"TEXAS COUNTY  DISTRICT RET"</f>
        <v>TEXAS COUNTY  DISTRICT RET</v>
      </c>
    </row>
    <row r="2752" spans="5:8" x14ac:dyDescent="0.25">
      <c r="E2752" t="str">
        <f>""</f>
        <v/>
      </c>
      <c r="F2752" t="str">
        <f>""</f>
        <v/>
      </c>
      <c r="H2752" t="str">
        <f>"TEXAS COUNTY  DISTRICT RET"</f>
        <v>TEXAS COUNTY  DISTRICT RET</v>
      </c>
    </row>
    <row r="2753" spans="1:8" x14ac:dyDescent="0.25">
      <c r="E2753" t="str">
        <f>"RET202003186058"</f>
        <v>RET202003186058</v>
      </c>
      <c r="F2753" t="str">
        <f>"TEXAS COUNTY &amp; DISTRICT RET"</f>
        <v>TEXAS COUNTY &amp; DISTRICT RET</v>
      </c>
      <c r="G2753" s="5">
        <v>7580.9</v>
      </c>
      <c r="H2753" t="str">
        <f>"TEXAS COUNTY &amp; DISTRICT RET"</f>
        <v>TEXAS COUNTY &amp; DISTRICT RET</v>
      </c>
    </row>
    <row r="2754" spans="1:8" x14ac:dyDescent="0.25">
      <c r="E2754" t="str">
        <f>""</f>
        <v/>
      </c>
      <c r="F2754" t="str">
        <f>""</f>
        <v/>
      </c>
      <c r="H2754" t="str">
        <f>"TEXAS COUNTY &amp; DISTRICT RET"</f>
        <v>TEXAS COUNTY &amp; DISTRICT RET</v>
      </c>
    </row>
    <row r="2755" spans="1:8" x14ac:dyDescent="0.25">
      <c r="A2755" t="s">
        <v>453</v>
      </c>
      <c r="B2755">
        <v>47875</v>
      </c>
      <c r="C2755" s="5">
        <v>1448</v>
      </c>
      <c r="D2755" s="1">
        <v>43917</v>
      </c>
      <c r="E2755" t="str">
        <f>"LEG202003035702"</f>
        <v>LEG202003035702</v>
      </c>
      <c r="F2755" t="str">
        <f>"TEXAS LEGAL PROTECTION PLAN"</f>
        <v>TEXAS LEGAL PROTECTION PLAN</v>
      </c>
      <c r="G2755" s="5">
        <v>252</v>
      </c>
      <c r="H2755" t="str">
        <f>"TEXAS LEGAL PROTECTION PLAN"</f>
        <v>TEXAS LEGAL PROTECTION PLAN</v>
      </c>
    </row>
    <row r="2756" spans="1:8" x14ac:dyDescent="0.25">
      <c r="E2756" t="str">
        <f>"LEG202003186056"</f>
        <v>LEG202003186056</v>
      </c>
      <c r="F2756" t="str">
        <f>"TEXAS LEGAL PROTECTION PLAN"</f>
        <v>TEXAS LEGAL PROTECTION PLAN</v>
      </c>
      <c r="G2756" s="5">
        <v>252</v>
      </c>
      <c r="H2756" t="str">
        <f>"TEXAS LEGAL PROTECTION PLAN"</f>
        <v>TEXAS LEGAL PROTECTION PLAN</v>
      </c>
    </row>
    <row r="2757" spans="1:8" x14ac:dyDescent="0.25">
      <c r="E2757" t="str">
        <f>"LGF202003035702"</f>
        <v>LGF202003035702</v>
      </c>
      <c r="F2757" t="str">
        <f>"TEXAS LEGAL PROTECTION PLAN"</f>
        <v>TEXAS LEGAL PROTECTION PLAN</v>
      </c>
      <c r="G2757" s="5">
        <v>472</v>
      </c>
      <c r="H2757" t="str">
        <f>"TEXAS LEGAL PROTECTION PLAN"</f>
        <v>TEXAS LEGAL PROTECTION PLAN</v>
      </c>
    </row>
    <row r="2758" spans="1:8" x14ac:dyDescent="0.25">
      <c r="E2758" t="str">
        <f>"LGF202003186056"</f>
        <v>LGF202003186056</v>
      </c>
      <c r="F2758" t="str">
        <f>"TEXAS LEGAL PROTECTION PLAN"</f>
        <v>TEXAS LEGAL PROTECTION PLAN</v>
      </c>
      <c r="G2758" s="5">
        <v>472</v>
      </c>
      <c r="H2758" t="str">
        <f>"TEXAS LEGAL PROTECTION PLAN"</f>
        <v>TEXAS LEGAL PROTECTION PLAN</v>
      </c>
    </row>
    <row r="2759" spans="1:8" x14ac:dyDescent="0.25">
      <c r="A2759" t="s">
        <v>454</v>
      </c>
      <c r="B2759">
        <v>47835</v>
      </c>
      <c r="C2759" s="5">
        <v>219.67</v>
      </c>
      <c r="D2759" s="1">
        <v>43896</v>
      </c>
      <c r="E2759" t="str">
        <f>"S12202003035702"</f>
        <v>S12202003035702</v>
      </c>
      <c r="F2759" t="str">
        <f>"STUDENT LOAN"</f>
        <v>STUDENT LOAN</v>
      </c>
      <c r="G2759" s="5">
        <v>219.67</v>
      </c>
      <c r="H2759" t="str">
        <f>"STUDENT LOAN"</f>
        <v>STUDENT LOAN</v>
      </c>
    </row>
    <row r="2760" spans="1:8" x14ac:dyDescent="0.25">
      <c r="A2760" t="s">
        <v>455</v>
      </c>
      <c r="B2760">
        <v>47837</v>
      </c>
      <c r="C2760" s="5">
        <v>212.65</v>
      </c>
      <c r="D2760" s="1">
        <v>43896</v>
      </c>
      <c r="E2760" t="str">
        <f>"SL9202003035702"</f>
        <v>SL9202003035702</v>
      </c>
      <c r="F2760" t="str">
        <f>"STUDENT LOAN"</f>
        <v>STUDENT LOAN</v>
      </c>
      <c r="G2760" s="5">
        <v>212.65</v>
      </c>
      <c r="H2760" t="str">
        <f>"STUDENT LOAN"</f>
        <v>STUDENT LOAN</v>
      </c>
    </row>
    <row r="2761" spans="1:8" x14ac:dyDescent="0.25">
      <c r="A2761" t="s">
        <v>454</v>
      </c>
      <c r="B2761">
        <v>47872</v>
      </c>
      <c r="C2761" s="5">
        <v>219.67</v>
      </c>
      <c r="D2761" s="1">
        <v>43910</v>
      </c>
      <c r="E2761" t="str">
        <f>"S12202003186056"</f>
        <v>S12202003186056</v>
      </c>
      <c r="F2761" t="str">
        <f>"STUDENT LOAN"</f>
        <v>STUDENT LOAN</v>
      </c>
      <c r="G2761" s="5">
        <v>219.67</v>
      </c>
      <c r="H2761" t="str">
        <f>"STUDENT LOAN"</f>
        <v>STUDENT LOAN</v>
      </c>
    </row>
    <row r="2762" spans="1:8" x14ac:dyDescent="0.25">
      <c r="A2762" t="s">
        <v>455</v>
      </c>
      <c r="B2762">
        <v>47874</v>
      </c>
      <c r="C2762" s="5">
        <v>212.65</v>
      </c>
      <c r="D2762" s="1">
        <v>43910</v>
      </c>
      <c r="E2762" t="str">
        <f>"SL9202003186056"</f>
        <v>SL9202003186056</v>
      </c>
      <c r="F2762" t="str">
        <f>"STUDENT LOAN"</f>
        <v>STUDENT LOAN</v>
      </c>
      <c r="G2762" s="5">
        <v>212.65</v>
      </c>
      <c r="H2762" t="str">
        <f>"STUDENT LOAN"</f>
        <v>STUDENT LOAN</v>
      </c>
    </row>
    <row r="2763" spans="1:8" x14ac:dyDescent="0.25">
      <c r="A2763" t="s">
        <v>456</v>
      </c>
      <c r="B2763">
        <v>448</v>
      </c>
      <c r="C2763" s="5">
        <v>173.57</v>
      </c>
      <c r="D2763" s="1">
        <v>43899</v>
      </c>
      <c r="E2763" t="str">
        <f>"202003095817"</f>
        <v>202003095817</v>
      </c>
      <c r="F2763" t="str">
        <f>"ACCT #72-5613 / 03032020"</f>
        <v>ACCT #72-5613 / 03032020</v>
      </c>
      <c r="G2763" s="5">
        <v>173.57</v>
      </c>
      <c r="H2763" t="str">
        <f t="shared" ref="H2763:H2774" si="64">"ACCT #72-5613 / 03032020"</f>
        <v>ACCT #72-5613 / 03032020</v>
      </c>
    </row>
    <row r="2764" spans="1:8" x14ac:dyDescent="0.25">
      <c r="E2764" t="str">
        <f>""</f>
        <v/>
      </c>
      <c r="F2764" t="str">
        <f>""</f>
        <v/>
      </c>
      <c r="H2764" t="str">
        <f t="shared" si="64"/>
        <v>ACCT #72-5613 / 03032020</v>
      </c>
    </row>
    <row r="2765" spans="1:8" x14ac:dyDescent="0.25">
      <c r="A2765" t="s">
        <v>457</v>
      </c>
      <c r="B2765">
        <v>446</v>
      </c>
      <c r="C2765" s="5">
        <v>3.74</v>
      </c>
      <c r="D2765" s="1">
        <v>43899</v>
      </c>
      <c r="E2765" t="str">
        <f>"202003095816"</f>
        <v>202003095816</v>
      </c>
      <c r="F2765" t="str">
        <f>"ACCT #72-5613 / 03032020"</f>
        <v>ACCT #72-5613 / 03032020</v>
      </c>
      <c r="G2765" s="5">
        <v>3.74</v>
      </c>
      <c r="H2765" t="str">
        <f t="shared" si="64"/>
        <v>ACCT #72-5613 / 03032020</v>
      </c>
    </row>
    <row r="2766" spans="1:8" x14ac:dyDescent="0.25">
      <c r="A2766" t="s">
        <v>458</v>
      </c>
      <c r="B2766">
        <v>449</v>
      </c>
      <c r="C2766" s="5">
        <v>138</v>
      </c>
      <c r="D2766" s="1">
        <v>43899</v>
      </c>
      <c r="E2766" t="str">
        <f>"202003095818"</f>
        <v>202003095818</v>
      </c>
      <c r="F2766" t="str">
        <f>"ACCT #72-5613 / 03032020"</f>
        <v>ACCT #72-5613 / 03032020</v>
      </c>
      <c r="G2766" s="5">
        <v>138</v>
      </c>
      <c r="H2766" t="str">
        <f t="shared" si="64"/>
        <v>ACCT #72-5613 / 03032020</v>
      </c>
    </row>
    <row r="2767" spans="1:8" x14ac:dyDescent="0.25">
      <c r="A2767" t="s">
        <v>134</v>
      </c>
      <c r="B2767">
        <v>444</v>
      </c>
      <c r="C2767" s="5">
        <v>16.5</v>
      </c>
      <c r="D2767" s="1">
        <v>43899</v>
      </c>
      <c r="E2767" t="str">
        <f>"202003095814"</f>
        <v>202003095814</v>
      </c>
      <c r="F2767" t="str">
        <f>"ACCT #72-5613 / 03032020"</f>
        <v>ACCT #72-5613 / 03032020</v>
      </c>
      <c r="G2767" s="5">
        <v>16.5</v>
      </c>
      <c r="H2767" t="str">
        <f t="shared" si="64"/>
        <v>ACCT #72-5613 / 03032020</v>
      </c>
    </row>
    <row r="2768" spans="1:8" x14ac:dyDescent="0.25">
      <c r="A2768" t="s">
        <v>166</v>
      </c>
      <c r="B2768">
        <v>445</v>
      </c>
      <c r="C2768" s="5">
        <v>892.68</v>
      </c>
      <c r="D2768" s="1">
        <v>43899</v>
      </c>
      <c r="E2768" t="str">
        <f>"202003095815"</f>
        <v>202003095815</v>
      </c>
      <c r="F2768" t="str">
        <f>"ACCT #72-5613 / 03032020"</f>
        <v>ACCT #72-5613 / 03032020</v>
      </c>
      <c r="G2768" s="5">
        <v>892.68</v>
      </c>
      <c r="H2768" t="str">
        <f t="shared" si="64"/>
        <v>ACCT #72-5613 / 03032020</v>
      </c>
    </row>
    <row r="2769" spans="1:8" x14ac:dyDescent="0.25">
      <c r="E2769" t="str">
        <f>""</f>
        <v/>
      </c>
      <c r="F2769" t="str">
        <f>""</f>
        <v/>
      </c>
      <c r="H2769" t="str">
        <f t="shared" si="64"/>
        <v>ACCT #72-5613 / 03032020</v>
      </c>
    </row>
    <row r="2770" spans="1:8" x14ac:dyDescent="0.25">
      <c r="A2770" t="s">
        <v>218</v>
      </c>
      <c r="B2770">
        <v>443</v>
      </c>
      <c r="C2770" s="5">
        <v>184.93</v>
      </c>
      <c r="D2770" s="1">
        <v>43899</v>
      </c>
      <c r="E2770" t="str">
        <f>"202003095813"</f>
        <v>202003095813</v>
      </c>
      <c r="F2770" t="str">
        <f>"ACCT #72-5613 / 03032020"</f>
        <v>ACCT #72-5613 / 03032020</v>
      </c>
      <c r="G2770" s="5">
        <v>184.93</v>
      </c>
      <c r="H2770" t="str">
        <f t="shared" si="64"/>
        <v>ACCT #72-5613 / 03032020</v>
      </c>
    </row>
    <row r="2771" spans="1:8" x14ac:dyDescent="0.25">
      <c r="A2771" t="s">
        <v>306</v>
      </c>
      <c r="B2771">
        <v>450</v>
      </c>
      <c r="C2771" s="5">
        <v>32.96</v>
      </c>
      <c r="D2771" s="1">
        <v>43899</v>
      </c>
      <c r="E2771" t="str">
        <f>"202003095819"</f>
        <v>202003095819</v>
      </c>
      <c r="F2771" t="str">
        <f>"ACCT #72-5613 / 03032020"</f>
        <v>ACCT #72-5613 / 03032020</v>
      </c>
      <c r="G2771" s="5">
        <v>32.96</v>
      </c>
      <c r="H2771" t="str">
        <f t="shared" si="64"/>
        <v>ACCT #72-5613 / 03032020</v>
      </c>
    </row>
    <row r="2772" spans="1:8" x14ac:dyDescent="0.25">
      <c r="A2772" t="s">
        <v>459</v>
      </c>
      <c r="B2772">
        <v>442</v>
      </c>
      <c r="C2772" s="5">
        <v>42.57</v>
      </c>
      <c r="D2772" s="1">
        <v>43899</v>
      </c>
      <c r="E2772" t="str">
        <f>"202003095812"</f>
        <v>202003095812</v>
      </c>
      <c r="F2772" t="str">
        <f>"ACCT #72-5613 / 03032020"</f>
        <v>ACCT #72-5613 / 03032020</v>
      </c>
      <c r="G2772" s="5">
        <v>42.57</v>
      </c>
      <c r="H2772" t="str">
        <f t="shared" si="64"/>
        <v>ACCT #72-5613 / 03032020</v>
      </c>
    </row>
    <row r="2773" spans="1:8" x14ac:dyDescent="0.25">
      <c r="A2773" t="s">
        <v>460</v>
      </c>
      <c r="B2773">
        <v>447</v>
      </c>
      <c r="C2773" s="5">
        <v>0.01</v>
      </c>
      <c r="D2773" s="1">
        <v>43899</v>
      </c>
      <c r="E2773" t="str">
        <f>"202003105821"</f>
        <v>202003105821</v>
      </c>
      <c r="F2773" t="str">
        <f>"ACCT #72-5613 / 03032020"</f>
        <v>ACCT #72-5613 / 03032020</v>
      </c>
      <c r="G2773" s="5">
        <v>0.01</v>
      </c>
      <c r="H2773" t="str">
        <f t="shared" si="64"/>
        <v>ACCT #72-5613 / 03032020</v>
      </c>
    </row>
    <row r="2774" spans="1:8" x14ac:dyDescent="0.25">
      <c r="A2774" t="s">
        <v>461</v>
      </c>
      <c r="B2774">
        <v>451</v>
      </c>
      <c r="C2774" s="5">
        <v>10.73</v>
      </c>
      <c r="D2774" s="1">
        <v>43899</v>
      </c>
      <c r="E2774" t="str">
        <f>"202003095820"</f>
        <v>202003095820</v>
      </c>
      <c r="F2774" t="str">
        <f>"ACCT #72-5613 / 03032020"</f>
        <v>ACCT #72-5613 / 03032020</v>
      </c>
      <c r="G2774" s="5">
        <v>10.73</v>
      </c>
      <c r="H2774" t="str">
        <f t="shared" si="64"/>
        <v>ACCT #72-5613 / 03032020</v>
      </c>
    </row>
    <row r="2775" spans="1:8" ht="15.75" thickBot="1" x14ac:dyDescent="0.3">
      <c r="C2775" s="6">
        <f>SUM(C2:C2774)</f>
        <v>3633962.6799999997</v>
      </c>
      <c r="D2775" s="2" t="s">
        <v>462</v>
      </c>
    </row>
    <row r="2776" spans="1:8" ht="15.75" thickTop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March 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Dawn Bomar</dc:creator>
  <cp:lastModifiedBy>Jo Dawn Bomar</cp:lastModifiedBy>
  <dcterms:created xsi:type="dcterms:W3CDTF">2020-07-15T14:29:24Z</dcterms:created>
  <dcterms:modified xsi:type="dcterms:W3CDTF">2020-07-15T14:29:50Z</dcterms:modified>
</cp:coreProperties>
</file>