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 from drive C\Laurie Files\"/>
    </mc:Choice>
  </mc:AlternateContent>
  <bookViews>
    <workbookView xWindow="0" yWindow="0" windowWidth="28800" windowHeight="12435"/>
  </bookViews>
  <sheets>
    <sheet name="AP-CHK-RPT-20200508" sheetId="1" r:id="rId1"/>
  </sheets>
  <calcPr calcId="0"/>
</workbook>
</file>

<file path=xl/calcChain.xml><?xml version="1.0" encoding="utf-8"?>
<calcChain xmlns="http://schemas.openxmlformats.org/spreadsheetml/2006/main">
  <c r="C2828" i="1" l="1"/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G250" i="1"/>
  <c r="H250" i="1"/>
  <c r="I250" i="1"/>
  <c r="G251" i="1"/>
  <c r="H251" i="1"/>
  <c r="I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E391" i="1"/>
  <c r="F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G567" i="1"/>
  <c r="H567" i="1"/>
  <c r="I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G680" i="1"/>
  <c r="H680" i="1"/>
  <c r="I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G723" i="1"/>
  <c r="H723" i="1"/>
  <c r="I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E778" i="1"/>
  <c r="F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G844" i="1"/>
  <c r="H844" i="1"/>
  <c r="I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G1137" i="1"/>
  <c r="H1137" i="1"/>
  <c r="I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G1296" i="1"/>
  <c r="H1296" i="1"/>
  <c r="I1296" i="1"/>
  <c r="G1297" i="1"/>
  <c r="H1297" i="1"/>
  <c r="I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G1349" i="1"/>
  <c r="H1349" i="1"/>
  <c r="I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  <c r="E2814" i="1"/>
  <c r="F2814" i="1"/>
  <c r="H2814" i="1"/>
  <c r="E2815" i="1"/>
  <c r="F2815" i="1"/>
  <c r="H2815" i="1"/>
  <c r="E2816" i="1"/>
  <c r="F2816" i="1"/>
  <c r="H2816" i="1"/>
  <c r="E2817" i="1"/>
  <c r="F2817" i="1"/>
  <c r="H2817" i="1"/>
  <c r="E2818" i="1"/>
  <c r="F2818" i="1"/>
  <c r="H2818" i="1"/>
  <c r="E2819" i="1"/>
  <c r="F2819" i="1"/>
  <c r="H2819" i="1"/>
  <c r="E2820" i="1"/>
  <c r="F2820" i="1"/>
  <c r="H2820" i="1"/>
  <c r="E2821" i="1"/>
  <c r="F2821" i="1"/>
  <c r="H2821" i="1"/>
  <c r="E2822" i="1"/>
  <c r="F2822" i="1"/>
  <c r="H2822" i="1"/>
  <c r="E2823" i="1"/>
  <c r="F2823" i="1"/>
  <c r="H2823" i="1"/>
  <c r="E2824" i="1"/>
  <c r="F2824" i="1"/>
  <c r="H2824" i="1"/>
  <c r="E2825" i="1"/>
  <c r="F2825" i="1"/>
  <c r="H2825" i="1"/>
  <c r="E2826" i="1"/>
  <c r="F2826" i="1"/>
  <c r="H2826" i="1"/>
  <c r="E2827" i="1"/>
  <c r="F2827" i="1"/>
  <c r="H2827" i="1"/>
</calcChain>
</file>

<file path=xl/sharedStrings.xml><?xml version="1.0" encoding="utf-8"?>
<sst xmlns="http://schemas.openxmlformats.org/spreadsheetml/2006/main" count="618" uniqueCount="488">
  <si>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</si>
  <si>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</si>
  <si>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</si>
  <si>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</si>
  <si>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</si>
  <si>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</si>
  <si>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</si>
  <si>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</si>
  <si>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304 CONSTRUCTION LLC</t>
  </si>
  <si>
    <t>WILLIAM E. SUMNER</t>
  </si>
  <si>
    <t>973 MATERIALS  LLC</t>
  </si>
  <si>
    <t>A RIFKIN CO</t>
  </si>
  <si>
    <t>ARNOLD OIL COMPANY OF AUSTIN LP</t>
  </si>
  <si>
    <t>ABELARDO CASTELAN RODRIQUEZ</t>
  </si>
  <si>
    <t>ABRAHAM CONNALLY</t>
  </si>
  <si>
    <t>ACADIAN AMBULANCE SERVICE INC</t>
  </si>
  <si>
    <t>HAVERDA ENTERPRISES INC</t>
  </si>
  <si>
    <t>ADAM DAKOTA ROWINS</t>
  </si>
  <si>
    <t>ADENA LEWIS</t>
  </si>
  <si>
    <t>ADVANCED GRAPHIX INC</t>
  </si>
  <si>
    <t>AHERN RENTALS  INC.</t>
  </si>
  <si>
    <t>ALBERT NEAL PFEIFFER</t>
  </si>
  <si>
    <t>ALEJANDRO RODRIGUEZ</t>
  </si>
  <si>
    <t>HERMINIA ALFARO</t>
  </si>
  <si>
    <t>TIMOTHY HALL</t>
  </si>
  <si>
    <t>ALTEX COMPUTERS &amp; ELECTRONICS</t>
  </si>
  <si>
    <t>AMANDA MICKELSON</t>
  </si>
  <si>
    <t>AMAZON CAPITAL SERVICES INC</t>
  </si>
  <si>
    <t>AMERICAN ALUMINUM ACCESSORIES  INC.</t>
  </si>
  <si>
    <t>AMERICAN TIRE DISTRIBUTORS INC</t>
  </si>
  <si>
    <t>ANDERSON &amp; ANDERSON LAW FIRM PC</t>
  </si>
  <si>
    <t>ANDRE SIMMONS</t>
  </si>
  <si>
    <t>ANTONIO R VILLAFRANCA</t>
  </si>
  <si>
    <t>C APPLEMAN ENT INC</t>
  </si>
  <si>
    <t>AQUA BEVERAGE COMPANY/OZARKA</t>
  </si>
  <si>
    <t>AQUA WATER SUPPLY CORPORATION</t>
  </si>
  <si>
    <t>ARSENAL ADVERTISING LLC</t>
  </si>
  <si>
    <t>AT&amp;T</t>
  </si>
  <si>
    <t>AT&amp;T MOBILITY</t>
  </si>
  <si>
    <t>ATLAS PHARMACEUTICALS  LLC</t>
  </si>
  <si>
    <t>GATEHOUSE MEDIA TEXAS HOLDINGS II  INC.</t>
  </si>
  <si>
    <t>AUSTIN GASTROENTERLOGY</t>
  </si>
  <si>
    <t>AUSTIN LLOYD</t>
  </si>
  <si>
    <t>AUSTIN RADIOLOGICAL ASSOC</t>
  </si>
  <si>
    <t>AXON ENTERPRISE  INC.</t>
  </si>
  <si>
    <t>B-GREENER INDUSTRIAL CLEANERS  LLC</t>
  </si>
  <si>
    <t>MICHAEL OLDHAM TIRE INC</t>
  </si>
  <si>
    <t>EDUARDO BARRIENTOS</t>
  </si>
  <si>
    <t>BASTROP AIR CONDITIONING &amp; HEATING</t>
  </si>
  <si>
    <t>BASTROP COUNTY SHERIFF'S DEPT</t>
  </si>
  <si>
    <t>="11</t>
  </si>
  <si>
    <t>332"</t>
  </si>
  <si>
    <t>="12</t>
  </si>
  <si>
    <t>069"</t>
  </si>
  <si>
    <t>DANIEL L HEPKER</t>
  </si>
  <si>
    <t>BASTROP COUNTY CARES</t>
  </si>
  <si>
    <t>BASTROP PROVIDENCE  LLC</t>
  </si>
  <si>
    <t>BASTROP SIGNS &amp; BANNERS</t>
  </si>
  <si>
    <t>BASTROP VETERINARY HOSPITAL  INC.</t>
  </si>
  <si>
    <t>BAYER CORPORATION</t>
  </si>
  <si>
    <t>BEN E KEITH CO.</t>
  </si>
  <si>
    <t>BERAN'S GIN MILL &amp; FEED CO  LP</t>
  </si>
  <si>
    <t>MULTI SERVICE TECHNOLOGY SOLUTIONS  INC.</t>
  </si>
  <si>
    <t>B C FOOD GROUP  LLC</t>
  </si>
  <si>
    <t>MAURINE MC LEAN</t>
  </si>
  <si>
    <t>BIMBO FOODS INC</t>
  </si>
  <si>
    <t>BLACK TREE ENTERPRISES LLC</t>
  </si>
  <si>
    <t>BLAIN NURSE</t>
  </si>
  <si>
    <t>BLAS J. COY  JR.</t>
  </si>
  <si>
    <t>BLUE 360 MEDIA  LLC</t>
  </si>
  <si>
    <t>BLUEBONNET AREA CRIME STOPPERS PROGRAM</t>
  </si>
  <si>
    <t>BLUEBONNET ELECTRIC COOPERATIVE  INC.</t>
  </si>
  <si>
    <t>BLUEBONNET TRAILS MHMR</t>
  </si>
  <si>
    <t>BOB BARKER COMPANY  INC.</t>
  </si>
  <si>
    <t>BRAUNTEX MATERIALS INC</t>
  </si>
  <si>
    <t>LAW OFFICE OF BRYAN W. MCDANIEL  P.C.</t>
  </si>
  <si>
    <t>BUREAU OF VITAL STATISTICS</t>
  </si>
  <si>
    <t>BURLESON COUNTY SHERIFFS</t>
  </si>
  <si>
    <t>BURNET COUNTY SHERIFF</t>
  </si>
  <si>
    <t>CAHABA DISASTER RECOVERY  LLC</t>
  </si>
  <si>
    <t>CALHOUN COUNTY SHERIFF</t>
  </si>
  <si>
    <t>MARION G &amp; LINDA K RAINS</t>
  </si>
  <si>
    <t>TIB-THE INDEPENDENT BANKERS BANK</t>
  </si>
  <si>
    <t>CDW GOVERNMENT INC</t>
  </si>
  <si>
    <t>CECIL R REYNOLDS PHD</t>
  </si>
  <si>
    <t>CENTERLINE SUPPLY  INC.</t>
  </si>
  <si>
    <t>CENTERPOINT ENERGY</t>
  </si>
  <si>
    <t>CENTRAL TEXAS BARRICADES INC</t>
  </si>
  <si>
    <t>CENTRAL TEXAS COMMUNITY HEALTH CENTERS</t>
  </si>
  <si>
    <t>CG COMMUNICATIONS  INC.</t>
  </si>
  <si>
    <t>CHARLES W CARVER</t>
  </si>
  <si>
    <t>CHECK PLUS STORAGE  LLC</t>
  </si>
  <si>
    <t>CHRIS MATT DILLON</t>
  </si>
  <si>
    <t>CINTAS</t>
  </si>
  <si>
    <t>CINTAS CORPORATION</t>
  </si>
  <si>
    <t>CINTAS CORPORATION #86</t>
  </si>
  <si>
    <t>CITIBANK</t>
  </si>
  <si>
    <t>CITY OF BASTROP</t>
  </si>
  <si>
    <t>CITY OF SMITHVILLE</t>
  </si>
  <si>
    <t>CLAUDIA PALMA RUBIN DE CELIS</t>
  </si>
  <si>
    <t>CLAY ROBERTS</t>
  </si>
  <si>
    <t>CLIFFORD POWER SYSTEMS INC</t>
  </si>
  <si>
    <t>CLINICAL PATHOLOGY LABORATORIES INC</t>
  </si>
  <si>
    <t>CNA SURETY</t>
  </si>
  <si>
    <t>COMBINED COMMUNITY ACTION INC</t>
  </si>
  <si>
    <t>CONTECH ENGINEERED SOLUTIONS INC</t>
  </si>
  <si>
    <t>COOPER EQUIPMENT CO.</t>
  </si>
  <si>
    <t>COUNTY OF BEXAR - SHERIFF</t>
  </si>
  <si>
    <t>BUTLER ANIMAL HEALTH HOLDING COMPANY  LLC</t>
  </si>
  <si>
    <t>CRESSIDA EVELYN KWOLEK  Ph.D.</t>
  </si>
  <si>
    <t>CRISTINA HELMERICHS</t>
  </si>
  <si>
    <t>CROSSHAIRS TEXAS LLC</t>
  </si>
  <si>
    <t>CUMMINS SOUTHERN PLAINS  LLC</t>
  </si>
  <si>
    <t>CPI QUALIFIED PLAN CONSULTANTS  INC.</t>
  </si>
  <si>
    <t>CUSTOM PRODUCTS CORPORATION</t>
  </si>
  <si>
    <t>CYDNEY CRIDER</t>
  </si>
  <si>
    <t>DALLAS COUNTY CONSTABLE PCT 1</t>
  </si>
  <si>
    <t>DASH MEDICAL GLOVES INC.</t>
  </si>
  <si>
    <t>DATASPEC INC</t>
  </si>
  <si>
    <t>DAVID B BROOKS</t>
  </si>
  <si>
    <t>DAVID CONTI</t>
  </si>
  <si>
    <t>JOHN DAVID LEWIS</t>
  </si>
  <si>
    <t>DAVID M COLLINS</t>
  </si>
  <si>
    <t>DEBORAH RUIZ</t>
  </si>
  <si>
    <t>DELL</t>
  </si>
  <si>
    <t>DELL FINANCIAL SERVICES LLC</t>
  </si>
  <si>
    <t>DENTRUST DENTAL TX PC</t>
  </si>
  <si>
    <t>DICKENS LOCKSMITH INC</t>
  </si>
  <si>
    <t>DIGITAL DOLPHIN SUPPLIES LLC</t>
  </si>
  <si>
    <t>DEPARTMENT OF INFORMATION RESOURCES</t>
  </si>
  <si>
    <t>DISCOUNT FEEDS &amp; SUPPLIES</t>
  </si>
  <si>
    <t>DONNIE STARK</t>
  </si>
  <si>
    <t>DOUBLE D INTERNATIONAL FOOD CO.  INC.</t>
  </si>
  <si>
    <t>DUNNE &amp; JUAREZ L.L.C.</t>
  </si>
  <si>
    <t>DAVID MCMULLEN</t>
  </si>
  <si>
    <t>ECOLAB INC</t>
  </si>
  <si>
    <t>EDUARDO GUERRERO</t>
  </si>
  <si>
    <t>EDWARD ABBOTT</t>
  </si>
  <si>
    <t>BLACKLANDS PUBLICATIONS INC</t>
  </si>
  <si>
    <t>ENVIRONMENTAL SYSTEMS RESEARCH INSTITUTE  INC</t>
  </si>
  <si>
    <t>ERIN NICKEL</t>
  </si>
  <si>
    <t>BASTROP COUNTY WOMEN'S SHELTER</t>
  </si>
  <si>
    <t>FAMILY HEALTH CENTER OF BASTROP PLLC</t>
  </si>
  <si>
    <t>FEDERAL EXPRESS</t>
  </si>
  <si>
    <t>FLEETPRIDE</t>
  </si>
  <si>
    <t>FOREMOST COUNTY MUTUAL INS CO</t>
  </si>
  <si>
    <t>="15</t>
  </si>
  <si>
    <t>347  12/31/19"</t>
  </si>
  <si>
    <t>FORREST L. SANDERSON</t>
  </si>
  <si>
    <t>FORT BEND COUNTY CONSTABLE PCT 3</t>
  </si>
  <si>
    <t>FRANCES HUNTER</t>
  </si>
  <si>
    <t>FRANK G. AUBUCHON</t>
  </si>
  <si>
    <t>AUSTIN TRUCK AND EQUIPMENT  LTD</t>
  </si>
  <si>
    <t>FTS FOREST TECHNOLOGY SYSTEMS LTD</t>
  </si>
  <si>
    <t>FUN4SENIORS</t>
  </si>
  <si>
    <t>EUGENE W BRIGGS JR</t>
  </si>
  <si>
    <t>GABRIELA ARMENDARIZ</t>
  </si>
  <si>
    <t>GALLS PARENT HOLDINGS LLC</t>
  </si>
  <si>
    <t>GARLAND T MURLEY</t>
  </si>
  <si>
    <t>GIPSON PENDERGRASS PEOPLE'S MORTUARY LLC</t>
  </si>
  <si>
    <t>GOVERNMENT FORMS AND SUPPLIES LLC</t>
  </si>
  <si>
    <t>AVELEX</t>
  </si>
  <si>
    <t>GRAINGER INC</t>
  </si>
  <si>
    <t>GRAPEVINE DODGE CHRYSLER JEEP  LLC</t>
  </si>
  <si>
    <t>GREATER ELGIN CHAMBER OF COMMERCE</t>
  </si>
  <si>
    <t>GRETCHEN SIMS SWEEN</t>
  </si>
  <si>
    <t>GT DISTRIBUTORS  INC.</t>
  </si>
  <si>
    <t>GTS TECHNOLOGY SOLUTIONS  INC.</t>
  </si>
  <si>
    <t>GULF COAST PAPER CO. INC.</t>
  </si>
  <si>
    <t>VERTEX ENERGY  INC.</t>
  </si>
  <si>
    <t>HALFF ASSOCIATES</t>
  </si>
  <si>
    <t>HAMILTON ELECTRIC WORKS  INC.</t>
  </si>
  <si>
    <t>BLTI SERVICES</t>
  </si>
  <si>
    <t>KIMBERLY SUE HARRISON</t>
  </si>
  <si>
    <t>HAYS COUNTY CONSTABLE PCT 1</t>
  </si>
  <si>
    <t>HEATHER FAVOCCIA</t>
  </si>
  <si>
    <t>ITR AMERICA LLC</t>
  </si>
  <si>
    <t>HENGST PRINTING &amp; SUPPLIES</t>
  </si>
  <si>
    <t>HERITAGE FOOD SERVICES GROUP</t>
  </si>
  <si>
    <t>HERSHCAP BACKHOE &amp; DITCHING  INC.</t>
  </si>
  <si>
    <t>="10</t>
  </si>
  <si>
    <t>658  12/10/19"</t>
  </si>
  <si>
    <t>HI-LINE</t>
  </si>
  <si>
    <t>BASCOM L HODGES JR</t>
  </si>
  <si>
    <t>HODGSON G ECKEL</t>
  </si>
  <si>
    <t>BD HOLT CO</t>
  </si>
  <si>
    <t>CITIBANK (SOUTH DAKOTA)N.A./THE HOME DEPOT</t>
  </si>
  <si>
    <t>NORTHWEST CASCADE INC</t>
  </si>
  <si>
    <t>GREGORY LUCAS</t>
  </si>
  <si>
    <t>HYDRAULIC HOUSE INC</t>
  </si>
  <si>
    <t>INDIGENT HEALTHCARE SOLUTIONS</t>
  </si>
  <si>
    <t>INTERNATIONAL ECONOMIC DEVELOPMENT COUNCIL</t>
  </si>
  <si>
    <t>IRON MOUNTAIN RECORDS MGMT INC</t>
  </si>
  <si>
    <t>JACQUELYN &amp; RICHARD EASON</t>
  </si>
  <si>
    <t>JAMES MOORE</t>
  </si>
  <si>
    <t>JAMES O. BURKE</t>
  </si>
  <si>
    <t>JANET L. LYNN</t>
  </si>
  <si>
    <t>JEFFERY TODD KINNISON</t>
  </si>
  <si>
    <t>JENKINS &amp; JENKINS LLP</t>
  </si>
  <si>
    <t>JERRY VINKLAREK</t>
  </si>
  <si>
    <t>JAMES MORGAN</t>
  </si>
  <si>
    <t>JOHN DEERE FINANCIAL f.s.b.</t>
  </si>
  <si>
    <t>JORDAN BATTERSBY  MCDONALD</t>
  </si>
  <si>
    <t>JOYCE WALTON</t>
  </si>
  <si>
    <t>JPPI INVESTIGATIONS LLC</t>
  </si>
  <si>
    <t>JULIE SOMMERFELD</t>
  </si>
  <si>
    <t>JUSTIN MATTHEW FOHN</t>
  </si>
  <si>
    <t>KAYCI SCHULTZ WATSON</t>
  </si>
  <si>
    <t>KELLIE BAILEY</t>
  </si>
  <si>
    <t>KENT BROUSSARD TOWER RENTAL INC</t>
  </si>
  <si>
    <t>KING'S PORTABLE THRONES</t>
  </si>
  <si>
    <t>KNIGHT SECURITY SYSTEMS LLC</t>
  </si>
  <si>
    <t>KOETTER FIRE PROTECTION OF AUSTIN  LLC</t>
  </si>
  <si>
    <t>LONGHORN INTERNATIONAL TRUCKS LTD</t>
  </si>
  <si>
    <t>THE LA GRANGE PARTS HOUSE INC</t>
  </si>
  <si>
    <t>LABATT INSTITUTIONAL SUPPLY CO</t>
  </si>
  <si>
    <t>LAURA ROBERTSON</t>
  </si>
  <si>
    <t>LEADSONLINE  LLC</t>
  </si>
  <si>
    <t>LUCIO LEAL</t>
  </si>
  <si>
    <t>LEDWELL &amp; SON ENTERPRISES  INC</t>
  </si>
  <si>
    <t>LEE COUNTY WATER SUPPLY CORP</t>
  </si>
  <si>
    <t>LENNOX INDUSTRIES INC</t>
  </si>
  <si>
    <t>LEXISNEXIS RISK DATA MGMT INC</t>
  </si>
  <si>
    <t>LIBERTY FLAGS INC</t>
  </si>
  <si>
    <t>LIBERTY TIRE RECYCLING</t>
  </si>
  <si>
    <t>LINDA HARMON-TAX ASSESSOR</t>
  </si>
  <si>
    <t>LOGAN SCHROEDER</t>
  </si>
  <si>
    <t>LONE STAR CIRCLE OF CARE</t>
  </si>
  <si>
    <t>UNITED KWB COLLABORATIONS LLC</t>
  </si>
  <si>
    <t>LONNIE LAWRENCE DAVIS JR</t>
  </si>
  <si>
    <t>LORI STIFFLEMIRE</t>
  </si>
  <si>
    <t>LOWE'S</t>
  </si>
  <si>
    <t>MAGIC TOUCH CLEANING SYSTEMS LLC</t>
  </si>
  <si>
    <t>MANAC TRAILERS USA  INC</t>
  </si>
  <si>
    <t>MARGARET A RAIFORD</t>
  </si>
  <si>
    <t>MARY BETH SCOTT</t>
  </si>
  <si>
    <t>MATHESON TRI-GAS INC</t>
  </si>
  <si>
    <t>MCBROOM CLINIC P.A.</t>
  </si>
  <si>
    <t>McCREARY  VESELKA  BRAGG &amp; ALLEN P</t>
  </si>
  <si>
    <t>McKESSON MEDICAL-SURGIVAL GOVERNMENT SOLUTIONS LLC</t>
  </si>
  <si>
    <t>MEDIMPACT HEALTHCARE SYSTEMS INC</t>
  </si>
  <si>
    <t>MEGAN FAITH ANDERSON</t>
  </si>
  <si>
    <t>MELLANIE MICKELSON</t>
  </si>
  <si>
    <t>MIDTEX MATERIALS</t>
  </si>
  <si>
    <t>MIKE WALLACE</t>
  </si>
  <si>
    <t>STEVEN JAY SCHARPIRO</t>
  </si>
  <si>
    <t>JOHN MILLER SHERMAN</t>
  </si>
  <si>
    <t>LILLIAN TRACY RUPP</t>
  </si>
  <si>
    <t>MEGAN JOANEE AVERY</t>
  </si>
  <si>
    <t>SARAH MAE MARTIN</t>
  </si>
  <si>
    <t>EMMANUEL BRAVO CAMPOS</t>
  </si>
  <si>
    <t>REBECCA JEAN ARDIFF</t>
  </si>
  <si>
    <t>ADRIAN CAVAZOS JR</t>
  </si>
  <si>
    <t>MARCELO G TURRUBIARTES</t>
  </si>
  <si>
    <t>DAVID DEAN STILLSON</t>
  </si>
  <si>
    <t>RONALD HENRY REYNOLDS JR</t>
  </si>
  <si>
    <t>KELLEY ELIZABETH PRICE</t>
  </si>
  <si>
    <t>DONNA RUTH NELSON</t>
  </si>
  <si>
    <t>ROBERT THOMAS MCCARTY</t>
  </si>
  <si>
    <t>ISMAEL TERCERO VASQUEZ</t>
  </si>
  <si>
    <t>MARINA SYLVIE ROBERTS</t>
  </si>
  <si>
    <t>BRIAN DOUGLAS TURNER</t>
  </si>
  <si>
    <t>JENNIFER CASAS-HERNANDEZ</t>
  </si>
  <si>
    <t>STACIA LANETTE CORONADO</t>
  </si>
  <si>
    <t>JOSHUA MICHAEL RAYMOND</t>
  </si>
  <si>
    <t>CANDICE LYNN TRENCH</t>
  </si>
  <si>
    <t>JASON NATHANIEL HAMMONS</t>
  </si>
  <si>
    <t>LESLIE L ANDERSON</t>
  </si>
  <si>
    <t>JUAN GONZALEZ DELEON</t>
  </si>
  <si>
    <t>NATHAN HENRY WELLS</t>
  </si>
  <si>
    <t>ROBERT JOE GOUGH</t>
  </si>
  <si>
    <t>ENEDINA ESPINOSA ORTIZ</t>
  </si>
  <si>
    <t>CHRISTINE LEIGH MCKAY REED</t>
  </si>
  <si>
    <t>DONALD C BELCHER JR</t>
  </si>
  <si>
    <t>SALLIE SKELLEY BLALOCK</t>
  </si>
  <si>
    <t>ROBERTA ALDRICH RUIZ</t>
  </si>
  <si>
    <t>TUCKER WITHINGTON BRISCOE</t>
  </si>
  <si>
    <t>VIRGINIA ROSS BERDOLL</t>
  </si>
  <si>
    <t>SANDRA JEAN GOERTZ</t>
  </si>
  <si>
    <t>SHANA NICOLE CUNNINGHAM</t>
  </si>
  <si>
    <t>BLAKE ROBERT CLAMPFFER</t>
  </si>
  <si>
    <t>JONATHAN XAVIER CHAVEZ SANCHEZ</t>
  </si>
  <si>
    <t>KAREN ESQUIVEL GUILLEN</t>
  </si>
  <si>
    <t>ANTHONY ALFRED DEDEKE</t>
  </si>
  <si>
    <t>HAYDN MCCALL BRUDER</t>
  </si>
  <si>
    <t>JACKIE VAN EVANS</t>
  </si>
  <si>
    <t>MARISA JANIRA GARCIA</t>
  </si>
  <si>
    <t>MICHAEL FRANCIS MCKENNA</t>
  </si>
  <si>
    <t>MARY DENISE LEE</t>
  </si>
  <si>
    <t>LYNSIE LEIGH LAMBRECHT</t>
  </si>
  <si>
    <t>CRAIG EDWARD COSGROVE</t>
  </si>
  <si>
    <t>KENNETH WAYNE WILLIAMS</t>
  </si>
  <si>
    <t>VICTORIA MAXWELL ALLEN</t>
  </si>
  <si>
    <t>EDWARD ALEXANDER CONSTANCIO</t>
  </si>
  <si>
    <t>MIGUEL ANGEL DELACRUZ</t>
  </si>
  <si>
    <t>JO LYNN COHEN</t>
  </si>
  <si>
    <t>ROSA ELIA PENA</t>
  </si>
  <si>
    <t>JACQUILINE DENISE MEIER</t>
  </si>
  <si>
    <t>MARCUS WILLIAM GAIPO</t>
  </si>
  <si>
    <t>MORRIS &amp; MCCLIMON ATTORNEYS AT LAW  PLLC</t>
  </si>
  <si>
    <t>MOTOROLA SOLUTIONS  IN.C</t>
  </si>
  <si>
    <t>EK&amp;R ENTERPRISES  INC</t>
  </si>
  <si>
    <t>MUSTANG MACHINERY COMPANY LTD</t>
  </si>
  <si>
    <t>NALCO COMPANY LLC</t>
  </si>
  <si>
    <t>NALLEY HVAC MECHANICAL LLC</t>
  </si>
  <si>
    <t>NAN BECK</t>
  </si>
  <si>
    <t>NATIONAL FOOD GROUP INC</t>
  </si>
  <si>
    <t>WILLIAM HAROLD NELSON</t>
  </si>
  <si>
    <t>NEMO-Q INC</t>
  </si>
  <si>
    <t>NICK SHELLY</t>
  </si>
  <si>
    <t>O'REILLY AUTOMOTIVE  INC.</t>
  </si>
  <si>
    <t>DEAN FOODS COMPANY</t>
  </si>
  <si>
    <t>OFFICE DEPOT</t>
  </si>
  <si>
    <t>OMNIBASE SERVICES OF TEXAS LP</t>
  </si>
  <si>
    <t>ROGER C. OSBORN</t>
  </si>
  <si>
    <t>P SQUARED EMULSION PLANTS  LLC</t>
  </si>
  <si>
    <t>PAIGE TRACTORS INC</t>
  </si>
  <si>
    <t>SL PARKER PARTNERSHIP LLC</t>
  </si>
  <si>
    <t>PATRICIA TREVINO</t>
  </si>
  <si>
    <t>PATRICK ELECTRIC SERVICE</t>
  </si>
  <si>
    <t>PATTERSON  VETERINARY SUPPLY INC</t>
  </si>
  <si>
    <t>PEPPERBALL TECHNOLOGIES INC</t>
  </si>
  <si>
    <t>PERDUE  BRANDON  FIELDER  COLLINS &amp; MOTT LLP</t>
  </si>
  <si>
    <t>PFM ASSET MANAGEMENT LLC</t>
  </si>
  <si>
    <t>PHILIP R DUCLOUX</t>
  </si>
  <si>
    <t>PB PROFESSIONAL SERVICES INC</t>
  </si>
  <si>
    <t>PITNEY BOWES GLOBAL FINANCIAL SERVICES</t>
  </si>
  <si>
    <t>POST OAK HARDWARE  INC.</t>
  </si>
  <si>
    <t>PTS OF AMERICA  LLC</t>
  </si>
  <si>
    <t>QUEST DIAGNOSTICS CLINICAL LABORATORIES</t>
  </si>
  <si>
    <t>RANDAL'S TOWER TECH INC</t>
  </si>
  <si>
    <t>MARK E.CLYDEN</t>
  </si>
  <si>
    <t>MADTEX  INC.</t>
  </si>
  <si>
    <t>NESTLE WATERS N AMERICA INC</t>
  </si>
  <si>
    <t>RED WING BUSINESS ADVANTAGE ACCOUNT</t>
  </si>
  <si>
    <t>NRG ENERGY INC</t>
  </si>
  <si>
    <t>REYNOLDS &amp; KEINARTH</t>
  </si>
  <si>
    <t>RICHARD ALLAN DICKMAN JR</t>
  </si>
  <si>
    <t>RICHARD ALLEN &amp; JULIE ANN BELZ</t>
  </si>
  <si>
    <t>RICOH USA INC</t>
  </si>
  <si>
    <t>CIT TECHNOLOGY FINANCE</t>
  </si>
  <si>
    <t>MIKE DAVIS</t>
  </si>
  <si>
    <t>ROADRUNNER RADIOLOGY EQUIP LLC</t>
  </si>
  <si>
    <t>ROBERT MADDEN INDUSTRIES LTD</t>
  </si>
  <si>
    <t>ROBERT C. STEUBING</t>
  </si>
  <si>
    <t>ROCKY ROAD PRINTING</t>
  </si>
  <si>
    <t>ROSE PIETSCH</t>
  </si>
  <si>
    <t>ROSE PIETSCH COUNTY CLERK</t>
  </si>
  <si>
    <t>RUSH CHEVROLET LLC</t>
  </si>
  <si>
    <t>RUSH TRUCK CENTERS OF TEXAS  LP</t>
  </si>
  <si>
    <t>SAMES BASTROP FORD INC</t>
  </si>
  <si>
    <t>SAMMY LERMA III MD</t>
  </si>
  <si>
    <t>SAMMY REESE</t>
  </si>
  <si>
    <t>SCOTT &amp; WHITE CLINIC</t>
  </si>
  <si>
    <t>SCOTT &amp; WHITE HOSPITAL - TAYLOR</t>
  </si>
  <si>
    <t>SECURETECH SYSTEMS  INC.</t>
  </si>
  <si>
    <t>SETON HEALTHCARE SPONSORED PROJECTS</t>
  </si>
  <si>
    <t>SHARON HANCOCK</t>
  </si>
  <si>
    <t>="14</t>
  </si>
  <si>
    <t>962  12/13/19"</t>
  </si>
  <si>
    <t>FERRELLGAS  LP</t>
  </si>
  <si>
    <t>SHI GOVERNMENT SOLUTIONS INC.</t>
  </si>
  <si>
    <t>SHOPPA'S FARM SUPPLY</t>
  </si>
  <si>
    <t>SHRED-IT US HOLDCO  INC</t>
  </si>
  <si>
    <t>RONALD JOHN CALDWELL JR</t>
  </si>
  <si>
    <t>SINGLETON ASSOCIATES  PA</t>
  </si>
  <si>
    <t>SMITH STORES  INC.</t>
  </si>
  <si>
    <t>SMITHVILLE AUTO PARTS  INC</t>
  </si>
  <si>
    <t>SOLARWINDS</t>
  </si>
  <si>
    <t>SOUTHERN TIRE MART LLC</t>
  </si>
  <si>
    <t>DS WATERS OF AMERICA INC</t>
  </si>
  <si>
    <t>SPECIALTY VETERINARY PHARMACY INC</t>
  </si>
  <si>
    <t>ST DAVID'S HEALTHCARE PARTNERSHIP</t>
  </si>
  <si>
    <t>STAPLES  INC.</t>
  </si>
  <si>
    <t>STATE OF TEXAS</t>
  </si>
  <si>
    <t>STEPHEN R BECK</t>
  </si>
  <si>
    <t>STERICYCLE  INC.</t>
  </si>
  <si>
    <t>STEVE GRANADO</t>
  </si>
  <si>
    <t>MATTHEW LEE SULLINS</t>
  </si>
  <si>
    <t>SUN COAST RESOURCES</t>
  </si>
  <si>
    <t>TAVCO SERVICES INC</t>
  </si>
  <si>
    <t>TAYLOR IRON MACHINE WORKS INC.</t>
  </si>
  <si>
    <t>TEXAS COMMISSION ON LAW ENFORCEMENT</t>
  </si>
  <si>
    <t>TEXAS DISTRICT &amp; COUNTY ATTORNEYS ASSOCIATION</t>
  </si>
  <si>
    <t>TEJAS ELEVATOR COMPANY</t>
  </si>
  <si>
    <t>TERRILL L FLENNIKEN</t>
  </si>
  <si>
    <t>TEX-CON OIL CO</t>
  </si>
  <si>
    <t>TEXAS A&amp;M AGRILIFE EXTENSION SERVICE</t>
  </si>
  <si>
    <t>TEXAS AGGREGATES  LLC</t>
  </si>
  <si>
    <t>TEXAS ASSOCIATES INSURORS AGENCY</t>
  </si>
  <si>
    <t>TEXAS ASSOCIATION OF COUNTIES</t>
  </si>
  <si>
    <t>TEXAS CORRUGATORS INC</t>
  </si>
  <si>
    <t>TEXAS DECON LLC</t>
  </si>
  <si>
    <t>TEXAS DEPARTMENT OF AGRICULTURE</t>
  </si>
  <si>
    <t>TEXAS DEPT OF MOTOR VEHICLES</t>
  </si>
  <si>
    <t>TEXAS DEPT OF PUBLIC SAFETY</t>
  </si>
  <si>
    <t>="16</t>
  </si>
  <si>
    <t>349  12/1 12/31"</t>
  </si>
  <si>
    <t>484"</t>
  </si>
  <si>
    <t>TEXAS DISPOSAL SYSTEMS  INC.</t>
  </si>
  <si>
    <t>TXFACT  LLC</t>
  </si>
  <si>
    <t>TEXAS JUSTICE COURT TRAINING CENTER</t>
  </si>
  <si>
    <t>TEXAS STATE UNIVERSITY</t>
  </si>
  <si>
    <t>TEXAS PARKS &amp; WILDLIFE DEPARTMENT</t>
  </si>
  <si>
    <t>TEXAS COMPTROLLER OF PUBLIC ACCOUNTS</t>
  </si>
  <si>
    <t>TEXAS RETINA INSTITUTE</t>
  </si>
  <si>
    <t>TEXAS VISION CLINIC  PLLC</t>
  </si>
  <si>
    <t>BUG MASTER EXTERMINATING SERVICES  LTD</t>
  </si>
  <si>
    <t>RICHARD NELSON MOORE</t>
  </si>
  <si>
    <t>THE NITSCHE GROUP</t>
  </si>
  <si>
    <t>THERESA STOPPELBERG</t>
  </si>
  <si>
    <t>WEST PUBLISHING CORPORATION</t>
  </si>
  <si>
    <t>TIM MAHONEY  ATTORNEY AT LAW  PC</t>
  </si>
  <si>
    <t>TWE-ADVANCE/NEWHOUSE PARTNERSHIP</t>
  </si>
  <si>
    <t>TOMIKA NOWLIN</t>
  </si>
  <si>
    <t>TRACTOR SUPPLY CREDIT PLAN</t>
  </si>
  <si>
    <t>TRAVIS COUNTY CLERK</t>
  </si>
  <si>
    <t>TRAVIS COUNTY CONSTABLE PCT 5</t>
  </si>
  <si>
    <t>TRAVIS COUNTY EMERGENCY PHYSICIANS PA</t>
  </si>
  <si>
    <t>TRAVIS COUNTY MEDICAL EXAMINER</t>
  </si>
  <si>
    <t>TRAVIS MATERIALS GROUP LTD</t>
  </si>
  <si>
    <t>KAUFFMAN TIRE</t>
  </si>
  <si>
    <t>TYLER TECHNOLOGIES INC</t>
  </si>
  <si>
    <t>ULINE  INC.</t>
  </si>
  <si>
    <t>COUFAL-PRATER EQUIPMENT  LLC</t>
  </si>
  <si>
    <t>SETON FAMILY OF HOSPITALS</t>
  </si>
  <si>
    <t>TEXAS DEPARTMENT OF STATE HEALTH SERVICES</t>
  </si>
  <si>
    <t>US BANK NA</t>
  </si>
  <si>
    <t>WAGEWORKS INC  FSA/HSA</t>
  </si>
  <si>
    <t>WALLER COUNTY ASPHALT INC</t>
  </si>
  <si>
    <t>WASHING EQUIPMENT OF TEXAS</t>
  </si>
  <si>
    <t>WASTE CONNECTIONS LONE STAR. INC.</t>
  </si>
  <si>
    <t>WASTE MANAGEMENT OF TEXAS  INC</t>
  </si>
  <si>
    <t>WIND KNOT INCORPORATED</t>
  </si>
  <si>
    <t>MAO PHARMACY INC</t>
  </si>
  <si>
    <t>WILLIAM L BACA</t>
  </si>
  <si>
    <t>WILLIAM WAGNER</t>
  </si>
  <si>
    <t>WILSON CULVERTS  INC.</t>
  </si>
  <si>
    <t>WJC CONSTRUCTORS SERVICES  LLC</t>
  </si>
  <si>
    <t>YOLANDA WHEATON</t>
  </si>
  <si>
    <t>ZBATTERY.COM INC</t>
  </si>
  <si>
    <t>ZOETIS US LLC</t>
  </si>
  <si>
    <t>ZORO TOOLS INC</t>
  </si>
  <si>
    <t>AMERICAN CONSTRUCTION INVESTIGATION LTD</t>
  </si>
  <si>
    <t>CALDWELL AUTOMOTIVE PARTNERS LTD</t>
  </si>
  <si>
    <t>CARRIE H BROWN</t>
  </si>
  <si>
    <t>FIRST NATIONAL BANK</t>
  </si>
  <si>
    <t>LANGFORD COMMUNITY MGMT INC</t>
  </si>
  <si>
    <t>PTP TRANSPORTATION LLC</t>
  </si>
  <si>
    <t>EDWARD G HALL II</t>
  </si>
  <si>
    <t>TEXAS AMERICAN TITLE COMPANY - INDEPENDENCE TITLE</t>
  </si>
  <si>
    <t>TODAYS CLASSROOM LLC</t>
  </si>
  <si>
    <t>ALLSTATE-AMERICAN HERITAGE LIFE INS CO</t>
  </si>
  <si>
    <t>BASTROP COUNTY ADULT PROBATION</t>
  </si>
  <si>
    <t>COLONIAL LIFE &amp; ACCIDENT INS. CO.</t>
  </si>
  <si>
    <t>DEBORAH B LANGEHENNIG</t>
  </si>
  <si>
    <t>GUARDIAN</t>
  </si>
  <si>
    <t>IRS-PAYROLL TAXES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</si>
  <si>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</si>
  <si>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</si>
  <si>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</si>
  <si>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</si>
  <si>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</si>
  <si>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</si>
  <si>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U.S. DEPT OF EDUCATION AWG</t>
  </si>
  <si>
    <t>U.S. DEPT OF EDUCATION - FINANCIAL  ASST</t>
  </si>
  <si>
    <t>JIM ATTRA INC</t>
  </si>
  <si>
    <t>CONNECTOR CONCEPTS  INC.</t>
  </si>
  <si>
    <t>MUNICIPAL SERVICES BUREAU/GILA GROUP</t>
  </si>
  <si>
    <t>ELLIOTT ELECTRIC SUPPLY INC</t>
  </si>
  <si>
    <t>EMERGENCY MGMT ASSOC OF TX</t>
  </si>
  <si>
    <t>ECO CLEAN SOLUTIONS INC</t>
  </si>
  <si>
    <t>GARMENTS TO GO  INC</t>
  </si>
  <si>
    <t>HAMPTON INN</t>
  </si>
  <si>
    <t>HARBOR FREIGHT TOOLS USA  INC</t>
  </si>
  <si>
    <t>HULL SUPPLY COMPANY INC</t>
  </si>
  <si>
    <t>KELLY-MOORE PAINT COMPANY  INC</t>
  </si>
  <si>
    <t>BERTETTO QUALITY TRAILERS AND PARTS</t>
  </si>
  <si>
    <t>RUNKLE ENTERPRISES</t>
  </si>
  <si>
    <t>DONALD CLOOTEN</t>
  </si>
  <si>
    <t>TRANE</t>
  </si>
  <si>
    <t>TEXAS DEPARTMENT OF TRANSPORTATION</t>
  </si>
  <si>
    <t>UNITED STATES POSTAL SERVICE</t>
  </si>
  <si>
    <t>VALUE CONTROLS  INC.</t>
  </si>
  <si>
    <t>WALMART COMMUNITY BRC</t>
  </si>
  <si>
    <t>WARREN TRUCK &amp; TRAILER  LLC</t>
  </si>
  <si>
    <t>ZACHRY PUBLICATION LP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</si>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</sst>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8"/>
  <sheetViews>
    <sheetView tabSelected="1" workbookViewId="0"/>
  </sheetViews>
  <sheetFormatPr defaultRowHeight="15" x14ac:dyDescent="0.25"/>
  <cols>
    <col min="1" max="1" width="56.710937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19.42578125" bestFit="1" customWidth="1"/>
    <col min="6" max="6" width="36.42578125" bestFit="1" customWidth="1"/>
    <col min="7" max="7" width="30.28515625" style="2" bestFit="1" customWidth="1"/>
    <col min="8" max="8" width="36.42578125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130338</v>
      </c>
      <c r="C2" s="2">
        <v>173093.8</v>
      </c>
      <c r="D2" s="1">
        <v>43843</v>
      </c>
      <c r="E2" t="str">
        <f>"202001074521"</f>
        <v>202001074521</v>
      </c>
      <c r="F2" t="str">
        <f>"inv# 1"</f>
        <v>inv# 1</v>
      </c>
      <c r="G2" s="2">
        <v>173093.8</v>
      </c>
      <c r="H2" t="str">
        <f>"payment amount"</f>
        <v>payment amount</v>
      </c>
    </row>
    <row r="3" spans="1:8" x14ac:dyDescent="0.25">
      <c r="A3" t="s">
        <v>9</v>
      </c>
      <c r="B3">
        <v>1996</v>
      </c>
      <c r="C3" s="2">
        <v>8964.09</v>
      </c>
      <c r="D3" s="1">
        <v>43844</v>
      </c>
      <c r="E3" t="str">
        <f>"201912304346"</f>
        <v>201912304346</v>
      </c>
      <c r="F3" t="str">
        <f>"HAULING EXPENSES/PCT#2"</f>
        <v>HAULING EXPENSES/PCT#2</v>
      </c>
      <c r="G3" s="2">
        <v>8964.09</v>
      </c>
      <c r="H3" t="str">
        <f>"HAULING EXPENSES/PCT#2"</f>
        <v>HAULING EXPENSES/PCT#2</v>
      </c>
    </row>
    <row r="4" spans="1:8" x14ac:dyDescent="0.25">
      <c r="A4" t="s">
        <v>10</v>
      </c>
      <c r="B4">
        <v>1973</v>
      </c>
      <c r="C4" s="2">
        <v>28797.35</v>
      </c>
      <c r="D4" s="1">
        <v>43844</v>
      </c>
      <c r="E4" t="str">
        <f>"9725-001-113073"</f>
        <v>9725-001-113073</v>
      </c>
      <c r="F4" t="str">
        <f>"ACCT#9725-001/REC BASE/PCT#2"</f>
        <v>ACCT#9725-001/REC BASE/PCT#2</v>
      </c>
      <c r="G4" s="2">
        <v>5621.88</v>
      </c>
      <c r="H4" t="str">
        <f>"ACCT#9725-001/REC BASE/PCT#2"</f>
        <v>ACCT#9725-001/REC BASE/PCT#2</v>
      </c>
    </row>
    <row r="5" spans="1:8" x14ac:dyDescent="0.25">
      <c r="E5" t="str">
        <f>"9725-001-113105"</f>
        <v>9725-001-113105</v>
      </c>
      <c r="F5" t="str">
        <f>"ACCT#9725-001/REC BASE/PCT#2"</f>
        <v>ACCT#9725-001/REC BASE/PCT#2</v>
      </c>
      <c r="G5" s="2">
        <v>4790.83</v>
      </c>
      <c r="H5" t="str">
        <f>"ACCT#9725-001/REC BASE/PCT#2"</f>
        <v>ACCT#9725-001/REC BASE/PCT#2</v>
      </c>
    </row>
    <row r="6" spans="1:8" x14ac:dyDescent="0.25">
      <c r="E6" t="str">
        <f>"9725-001-113135"</f>
        <v>9725-001-113135</v>
      </c>
      <c r="F6" t="str">
        <f>"ACCT#9725-001/REC BASE/PCT#2"</f>
        <v>ACCT#9725-001/REC BASE/PCT#2</v>
      </c>
      <c r="G6" s="2">
        <v>4109.6400000000003</v>
      </c>
      <c r="H6" t="str">
        <f>"ACCT#9725-001/REC BASE/PCT#2"</f>
        <v>ACCT#9725-001/REC BASE/PCT#2</v>
      </c>
    </row>
    <row r="7" spans="1:8" x14ac:dyDescent="0.25">
      <c r="E7" t="str">
        <f>"9725-001-113187"</f>
        <v>9725-001-113187</v>
      </c>
      <c r="F7" t="str">
        <f>"ACCT#9725-001/REC BASE/PCT#2"</f>
        <v>ACCT#9725-001/REC BASE/PCT#2</v>
      </c>
      <c r="G7" s="2">
        <v>1280.31</v>
      </c>
      <c r="H7" t="str">
        <f>"ACCT#9725-001/REC BASE/PCT#2"</f>
        <v>ACCT#9725-001/REC BASE/PCT#2</v>
      </c>
    </row>
    <row r="8" spans="1:8" x14ac:dyDescent="0.25">
      <c r="E8" t="str">
        <f>"9725-001-113218"</f>
        <v>9725-001-113218</v>
      </c>
      <c r="F8" t="str">
        <f>"ACCT#9725-001/REC BASE/PCT#2"</f>
        <v>ACCT#9725-001/REC BASE/PCT#2</v>
      </c>
      <c r="G8" s="2">
        <v>1661.99</v>
      </c>
      <c r="H8" t="str">
        <f>"ACCT#9725-001/REC BASE/PCT#2"</f>
        <v>ACCT#9725-001/REC BASE/PCT#2</v>
      </c>
    </row>
    <row r="9" spans="1:8" x14ac:dyDescent="0.25">
      <c r="E9" t="str">
        <f>"9725-007-112994"</f>
        <v>9725-007-112994</v>
      </c>
      <c r="F9" t="str">
        <f t="shared" ref="F9:F14" si="0">"ACCT#9725-007/REC BASE/PCT#4"</f>
        <v>ACCT#9725-007/REC BASE/PCT#4</v>
      </c>
      <c r="G9" s="2">
        <v>2383.44</v>
      </c>
      <c r="H9" t="str">
        <f t="shared" ref="H9:H14" si="1">"ACCT#9725-007/REC BASE/PCT#4"</f>
        <v>ACCT#9725-007/REC BASE/PCT#4</v>
      </c>
    </row>
    <row r="10" spans="1:8" x14ac:dyDescent="0.25">
      <c r="E10" t="str">
        <f>"9725-007-113089"</f>
        <v>9725-007-113089</v>
      </c>
      <c r="F10" t="str">
        <f t="shared" si="0"/>
        <v>ACCT#9725-007/REC BASE/PCT#4</v>
      </c>
      <c r="G10" s="2">
        <v>1577.89</v>
      </c>
      <c r="H10" t="str">
        <f t="shared" si="1"/>
        <v>ACCT#9725-007/REC BASE/PCT#4</v>
      </c>
    </row>
    <row r="11" spans="1:8" x14ac:dyDescent="0.25">
      <c r="E11" t="str">
        <f>"9725-007-113118"</f>
        <v>9725-007-113118</v>
      </c>
      <c r="F11" t="str">
        <f t="shared" si="0"/>
        <v>ACCT#9725-007/REC BASE/PCT#4</v>
      </c>
      <c r="G11" s="2">
        <v>1114.4100000000001</v>
      </c>
      <c r="H11" t="str">
        <f t="shared" si="1"/>
        <v>ACCT#9725-007/REC BASE/PCT#4</v>
      </c>
    </row>
    <row r="12" spans="1:8" x14ac:dyDescent="0.25">
      <c r="E12" t="str">
        <f>"9725-007-113148"</f>
        <v>9725-007-113148</v>
      </c>
      <c r="F12" t="str">
        <f t="shared" si="0"/>
        <v>ACCT#9725-007/REC BASE/PCT#4</v>
      </c>
      <c r="G12" s="2">
        <v>970.11</v>
      </c>
      <c r="H12" t="str">
        <f t="shared" si="1"/>
        <v>ACCT#9725-007/REC BASE/PCT#4</v>
      </c>
    </row>
    <row r="13" spans="1:8" x14ac:dyDescent="0.25">
      <c r="E13" t="str">
        <f>"9725-007-113175"</f>
        <v>9725-007-113175</v>
      </c>
      <c r="F13" t="str">
        <f t="shared" si="0"/>
        <v>ACCT#9725-007/REC BASE/PCT#4</v>
      </c>
      <c r="G13" s="2">
        <v>2947.52</v>
      </c>
      <c r="H13" t="str">
        <f t="shared" si="1"/>
        <v>ACCT#9725-007/REC BASE/PCT#4</v>
      </c>
    </row>
    <row r="14" spans="1:8" x14ac:dyDescent="0.25">
      <c r="E14" t="str">
        <f>"9725-007-113202"</f>
        <v>9725-007-113202</v>
      </c>
      <c r="F14" t="str">
        <f t="shared" si="0"/>
        <v>ACCT#9725-007/REC BASE/PCT#4</v>
      </c>
      <c r="G14" s="2">
        <v>2339.33</v>
      </c>
      <c r="H14" t="str">
        <f t="shared" si="1"/>
        <v>ACCT#9725-007/REC BASE/PCT#4</v>
      </c>
    </row>
    <row r="15" spans="1:8" x14ac:dyDescent="0.25">
      <c r="A15" t="s">
        <v>10</v>
      </c>
      <c r="B15">
        <v>2040</v>
      </c>
      <c r="C15" s="2">
        <v>30850.91</v>
      </c>
      <c r="D15" s="1">
        <v>43858</v>
      </c>
      <c r="E15" t="str">
        <f>"9725-001-113330"</f>
        <v>9725-001-113330</v>
      </c>
      <c r="F15" t="str">
        <f t="shared" ref="F15:F22" si="2">"RECYCLED BASE / PCT#2"</f>
        <v>RECYCLED BASE / PCT#2</v>
      </c>
      <c r="G15" s="2">
        <v>195.04</v>
      </c>
      <c r="H15" t="str">
        <f t="shared" ref="H15:H22" si="3">"RECYCLED BASE / PCT#2"</f>
        <v>RECYCLED BASE / PCT#2</v>
      </c>
    </row>
    <row r="16" spans="1:8" x14ac:dyDescent="0.25">
      <c r="E16" t="str">
        <f>"9725-001-113388"</f>
        <v>9725-001-113388</v>
      </c>
      <c r="F16" t="str">
        <f t="shared" si="2"/>
        <v>RECYCLED BASE / PCT#2</v>
      </c>
      <c r="G16" s="2">
        <v>818.22</v>
      </c>
      <c r="H16" t="str">
        <f t="shared" si="3"/>
        <v>RECYCLED BASE / PCT#2</v>
      </c>
    </row>
    <row r="17" spans="5:8" x14ac:dyDescent="0.25">
      <c r="E17" t="str">
        <f>"9725-001-113418"</f>
        <v>9725-001-113418</v>
      </c>
      <c r="F17" t="str">
        <f t="shared" si="2"/>
        <v>RECYCLED BASE / PCT#2</v>
      </c>
      <c r="G17" s="2">
        <v>217.09</v>
      </c>
      <c r="H17" t="str">
        <f t="shared" si="3"/>
        <v>RECYCLED BASE / PCT#2</v>
      </c>
    </row>
    <row r="18" spans="5:8" x14ac:dyDescent="0.25">
      <c r="E18" t="str">
        <f>"9725-001-113543"</f>
        <v>9725-001-113543</v>
      </c>
      <c r="F18" t="str">
        <f t="shared" si="2"/>
        <v>RECYCLED BASE / PCT#2</v>
      </c>
      <c r="G18" s="2">
        <v>398.39</v>
      </c>
      <c r="H18" t="str">
        <f t="shared" si="3"/>
        <v>RECYCLED BASE / PCT#2</v>
      </c>
    </row>
    <row r="19" spans="5:8" x14ac:dyDescent="0.25">
      <c r="E19" t="str">
        <f>"9725-001-113600"</f>
        <v>9725-001-113600</v>
      </c>
      <c r="F19" t="str">
        <f t="shared" si="2"/>
        <v>RECYCLED BASE / PCT#2</v>
      </c>
      <c r="G19" s="2">
        <v>204.84</v>
      </c>
      <c r="H19" t="str">
        <f t="shared" si="3"/>
        <v>RECYCLED BASE / PCT#2</v>
      </c>
    </row>
    <row r="20" spans="5:8" x14ac:dyDescent="0.25">
      <c r="E20" t="str">
        <f>"9725-001-113637"</f>
        <v>9725-001-113637</v>
      </c>
      <c r="F20" t="str">
        <f t="shared" si="2"/>
        <v>RECYCLED BASE / PCT#2</v>
      </c>
      <c r="G20" s="2">
        <v>1502.22</v>
      </c>
      <c r="H20" t="str">
        <f t="shared" si="3"/>
        <v>RECYCLED BASE / PCT#2</v>
      </c>
    </row>
    <row r="21" spans="5:8" x14ac:dyDescent="0.25">
      <c r="E21" t="str">
        <f>"9725-001-113669"</f>
        <v>9725-001-113669</v>
      </c>
      <c r="F21" t="str">
        <f t="shared" si="2"/>
        <v>RECYCLED BASE / PCT#2</v>
      </c>
      <c r="G21" s="2">
        <v>5212.66</v>
      </c>
      <c r="H21" t="str">
        <f t="shared" si="3"/>
        <v>RECYCLED BASE / PCT#2</v>
      </c>
    </row>
    <row r="22" spans="5:8" x14ac:dyDescent="0.25">
      <c r="E22" t="str">
        <f>"9725-001-113709"</f>
        <v>9725-001-113709</v>
      </c>
      <c r="F22" t="str">
        <f t="shared" si="2"/>
        <v>RECYCLED BASE / PCT#2</v>
      </c>
      <c r="G22" s="2">
        <v>4781.47</v>
      </c>
      <c r="H22" t="str">
        <f t="shared" si="3"/>
        <v>RECYCLED BASE / PCT#2</v>
      </c>
    </row>
    <row r="23" spans="5:8" x14ac:dyDescent="0.25">
      <c r="E23" t="str">
        <f>"9725-004-113429"</f>
        <v>9725-004-113429</v>
      </c>
      <c r="F23" t="str">
        <f>"ACCT#9725/REC BASE/PCT#1"</f>
        <v>ACCT#9725/REC BASE/PCT#1</v>
      </c>
      <c r="G23" s="2">
        <v>173.95</v>
      </c>
      <c r="H23" t="str">
        <f>"ACCT#9725/REC BASE/PCT#1"</f>
        <v>ACCT#9725/REC BASE/PCT#1</v>
      </c>
    </row>
    <row r="24" spans="5:8" x14ac:dyDescent="0.25">
      <c r="E24" t="str">
        <f>"9725-004-113463"</f>
        <v>9725-004-113463</v>
      </c>
      <c r="F24" t="str">
        <f>"ACCT#9725-004/REC BASE/PCT#1"</f>
        <v>ACCT#9725-004/REC BASE/PCT#1</v>
      </c>
      <c r="G24" s="2">
        <v>755.91</v>
      </c>
      <c r="H24" t="str">
        <f>"ACCT#9725-004/REC BASE/PCT#1"</f>
        <v>ACCT#9725-004/REC BASE/PCT#1</v>
      </c>
    </row>
    <row r="25" spans="5:8" x14ac:dyDescent="0.25">
      <c r="E25" t="str">
        <f>"9725-004-113494"</f>
        <v>9725-004-113494</v>
      </c>
      <c r="F25" t="str">
        <f>"ACCT#9725-004/REC BASE/PCT#1"</f>
        <v>ACCT#9725-004/REC BASE/PCT#1</v>
      </c>
      <c r="G25" s="2">
        <v>1136.3699999999999</v>
      </c>
      <c r="H25" t="str">
        <f>"ACCT#9725-004/REC BASE/PCT#1"</f>
        <v>ACCT#9725-004/REC BASE/PCT#1</v>
      </c>
    </row>
    <row r="26" spans="5:8" x14ac:dyDescent="0.25">
      <c r="E26" t="str">
        <f>"9725-004-113649"</f>
        <v>9725-004-113649</v>
      </c>
      <c r="F26" t="str">
        <f>"RECYCLED BASE / P1"</f>
        <v>RECYCLED BASE / P1</v>
      </c>
      <c r="G26" s="2">
        <v>350.79</v>
      </c>
      <c r="H26" t="str">
        <f>"RECYCLED BASE / P1"</f>
        <v>RECYCLED BASE / P1</v>
      </c>
    </row>
    <row r="27" spans="5:8" x14ac:dyDescent="0.25">
      <c r="E27" t="str">
        <f>"9725-007-113399"</f>
        <v>9725-007-113399</v>
      </c>
      <c r="F27" t="str">
        <f t="shared" ref="F27:F37" si="4">"ACCT#9725-007/REC BASE/PCT#4"</f>
        <v>ACCT#9725-007/REC BASE/PCT#4</v>
      </c>
      <c r="G27" s="2">
        <v>1215.47</v>
      </c>
      <c r="H27" t="str">
        <f t="shared" ref="H27:H37" si="5">"ACCT#9725-007/REC BASE/PCT#4"</f>
        <v>ACCT#9725-007/REC BASE/PCT#4</v>
      </c>
    </row>
    <row r="28" spans="5:8" x14ac:dyDescent="0.25">
      <c r="E28" t="str">
        <f>"9725-007-113430"</f>
        <v>9725-007-113430</v>
      </c>
      <c r="F28" t="str">
        <f t="shared" si="4"/>
        <v>ACCT#9725-007/REC BASE/PCT#4</v>
      </c>
      <c r="G28" s="2">
        <v>1030.6600000000001</v>
      </c>
      <c r="H28" t="str">
        <f t="shared" si="5"/>
        <v>ACCT#9725-007/REC BASE/PCT#4</v>
      </c>
    </row>
    <row r="29" spans="5:8" x14ac:dyDescent="0.25">
      <c r="E29" t="str">
        <f>"9725-007-113464"</f>
        <v>9725-007-113464</v>
      </c>
      <c r="F29" t="str">
        <f t="shared" si="4"/>
        <v>ACCT#9725-007/REC BASE/PCT#4</v>
      </c>
      <c r="G29" s="2">
        <v>835.46</v>
      </c>
      <c r="H29" t="str">
        <f t="shared" si="5"/>
        <v>ACCT#9725-007/REC BASE/PCT#4</v>
      </c>
    </row>
    <row r="30" spans="5:8" x14ac:dyDescent="0.25">
      <c r="E30" t="str">
        <f>"9725-007-113495"</f>
        <v>9725-007-113495</v>
      </c>
      <c r="F30" t="str">
        <f t="shared" si="4"/>
        <v>ACCT#9725-007/REC BASE/PCT#4</v>
      </c>
      <c r="G30" s="2">
        <v>822.07</v>
      </c>
      <c r="H30" t="str">
        <f t="shared" si="5"/>
        <v>ACCT#9725-007/REC BASE/PCT#4</v>
      </c>
    </row>
    <row r="31" spans="5:8" x14ac:dyDescent="0.25">
      <c r="E31" t="str">
        <f>"9725-007-113524"</f>
        <v>9725-007-113524</v>
      </c>
      <c r="F31" t="str">
        <f t="shared" si="4"/>
        <v>ACCT#9725-007/REC BASE/PCT#4</v>
      </c>
      <c r="G31" s="2">
        <v>1626.89</v>
      </c>
      <c r="H31" t="str">
        <f t="shared" si="5"/>
        <v>ACCT#9725-007/REC BASE/PCT#4</v>
      </c>
    </row>
    <row r="32" spans="5:8" x14ac:dyDescent="0.25">
      <c r="E32" t="str">
        <f>"9725-007-113554"</f>
        <v>9725-007-113554</v>
      </c>
      <c r="F32" t="str">
        <f t="shared" si="4"/>
        <v>ACCT#9725-007/REC BASE/PCT#4</v>
      </c>
      <c r="G32" s="2">
        <v>1610.61</v>
      </c>
      <c r="H32" t="str">
        <f t="shared" si="5"/>
        <v>ACCT#9725-007/REC BASE/PCT#4</v>
      </c>
    </row>
    <row r="33" spans="1:8" x14ac:dyDescent="0.25">
      <c r="E33" t="str">
        <f>"9725-007-113587"</f>
        <v>9725-007-113587</v>
      </c>
      <c r="F33" t="str">
        <f t="shared" si="4"/>
        <v>ACCT#9725-007/REC BASE/PCT#4</v>
      </c>
      <c r="G33" s="2">
        <v>820.49</v>
      </c>
      <c r="H33" t="str">
        <f t="shared" si="5"/>
        <v>ACCT#9725-007/REC BASE/PCT#4</v>
      </c>
    </row>
    <row r="34" spans="1:8" x14ac:dyDescent="0.25">
      <c r="E34" t="str">
        <f>"9725-007-113614"</f>
        <v>9725-007-113614</v>
      </c>
      <c r="F34" t="str">
        <f t="shared" si="4"/>
        <v>ACCT#9725-007/REC BASE/PCT#4</v>
      </c>
      <c r="G34" s="2">
        <v>1231.49</v>
      </c>
      <c r="H34" t="str">
        <f t="shared" si="5"/>
        <v>ACCT#9725-007/REC BASE/PCT#4</v>
      </c>
    </row>
    <row r="35" spans="1:8" x14ac:dyDescent="0.25">
      <c r="E35" t="str">
        <f>"9725-007-113650"</f>
        <v>9725-007-113650</v>
      </c>
      <c r="F35" t="str">
        <f t="shared" si="4"/>
        <v>ACCT#9725-007/REC BASE/PCT#4</v>
      </c>
      <c r="G35" s="2">
        <v>2034.64</v>
      </c>
      <c r="H35" t="str">
        <f t="shared" si="5"/>
        <v>ACCT#9725-007/REC BASE/PCT#4</v>
      </c>
    </row>
    <row r="36" spans="1:8" x14ac:dyDescent="0.25">
      <c r="E36" t="str">
        <f>"9725-007-113680"</f>
        <v>9725-007-113680</v>
      </c>
      <c r="F36" t="str">
        <f t="shared" si="4"/>
        <v>ACCT#9725-007/REC BASE/PCT#4</v>
      </c>
      <c r="G36" s="2">
        <v>1831.12</v>
      </c>
      <c r="H36" t="str">
        <f t="shared" si="5"/>
        <v>ACCT#9725-007/REC BASE/PCT#4</v>
      </c>
    </row>
    <row r="37" spans="1:8" x14ac:dyDescent="0.25">
      <c r="E37" t="str">
        <f>"9725-007-113720"</f>
        <v>9725-007-113720</v>
      </c>
      <c r="F37" t="str">
        <f t="shared" si="4"/>
        <v>ACCT#9725-007/REC BASE/PCT#4</v>
      </c>
      <c r="G37" s="2">
        <v>2045.06</v>
      </c>
      <c r="H37" t="str">
        <f t="shared" si="5"/>
        <v>ACCT#9725-007/REC BASE/PCT#4</v>
      </c>
    </row>
    <row r="38" spans="1:8" x14ac:dyDescent="0.25">
      <c r="A38" t="s">
        <v>11</v>
      </c>
      <c r="B38">
        <v>130339</v>
      </c>
      <c r="C38" s="2">
        <v>954.52</v>
      </c>
      <c r="D38" s="1">
        <v>43843</v>
      </c>
      <c r="E38" t="str">
        <f>"4199473"</f>
        <v>4199473</v>
      </c>
      <c r="F38" t="str">
        <f>"CUST#M22786/ELECTIONS"</f>
        <v>CUST#M22786/ELECTIONS</v>
      </c>
      <c r="G38" s="2">
        <v>954.52</v>
      </c>
      <c r="H38" t="str">
        <f>"CUST#M22786/ELECTIONS"</f>
        <v>CUST#M22786/ELECTIONS</v>
      </c>
    </row>
    <row r="39" spans="1:8" x14ac:dyDescent="0.25">
      <c r="A39" t="s">
        <v>12</v>
      </c>
      <c r="B39">
        <v>130340</v>
      </c>
      <c r="C39" s="2">
        <v>848.76</v>
      </c>
      <c r="D39" s="1">
        <v>43843</v>
      </c>
      <c r="E39" t="str">
        <f>"374305"</f>
        <v>374305</v>
      </c>
      <c r="F39" t="str">
        <f>"CUST ID:16500/STATEMENT#374305"</f>
        <v>CUST ID:16500/STATEMENT#374305</v>
      </c>
      <c r="G39" s="2">
        <v>848.76</v>
      </c>
      <c r="H39" t="str">
        <f>"CUST ID:16500/STATEMENT#374305"</f>
        <v>CUST ID:16500/STATEMENT#374305</v>
      </c>
    </row>
    <row r="40" spans="1:8" x14ac:dyDescent="0.25">
      <c r="A40" t="s">
        <v>13</v>
      </c>
      <c r="B40">
        <v>130523</v>
      </c>
      <c r="C40" s="2">
        <v>50</v>
      </c>
      <c r="D40" s="1">
        <v>43857</v>
      </c>
      <c r="E40" t="str">
        <f>"202001214704"</f>
        <v>202001214704</v>
      </c>
      <c r="F40" t="str">
        <f>"REFUND CRIME STOPPER FEE"</f>
        <v>REFUND CRIME STOPPER FEE</v>
      </c>
      <c r="G40" s="2">
        <v>50</v>
      </c>
      <c r="H40" t="str">
        <f>"REFUND CRIME STOPPER FEE"</f>
        <v>REFUND CRIME STOPPER FEE</v>
      </c>
    </row>
    <row r="41" spans="1:8" x14ac:dyDescent="0.25">
      <c r="A41" t="s">
        <v>14</v>
      </c>
      <c r="B41">
        <v>130341</v>
      </c>
      <c r="C41" s="2">
        <v>10</v>
      </c>
      <c r="D41" s="1">
        <v>43843</v>
      </c>
      <c r="E41" t="str">
        <f>"202001024375"</f>
        <v>202001024375</v>
      </c>
      <c r="F41" t="str">
        <f>"FERAL HOGS"</f>
        <v>FERAL HOGS</v>
      </c>
      <c r="G41" s="2">
        <v>10</v>
      </c>
      <c r="H41" t="str">
        <f>"FERAL HOGS"</f>
        <v>FERAL HOGS</v>
      </c>
    </row>
    <row r="42" spans="1:8" x14ac:dyDescent="0.25">
      <c r="A42" t="s">
        <v>15</v>
      </c>
      <c r="B42">
        <v>130342</v>
      </c>
      <c r="C42" s="2">
        <v>487.36</v>
      </c>
      <c r="D42" s="1">
        <v>43843</v>
      </c>
      <c r="E42" t="str">
        <f>"202001084572"</f>
        <v>202001084572</v>
      </c>
      <c r="F42" t="str">
        <f>"JAIL MEDICAL"</f>
        <v>JAIL MEDICAL</v>
      </c>
      <c r="G42" s="2">
        <v>487.36</v>
      </c>
      <c r="H42" t="str">
        <f>"JAIL MEDICAL"</f>
        <v>JAIL MEDICAL</v>
      </c>
    </row>
    <row r="43" spans="1:8" x14ac:dyDescent="0.25">
      <c r="A43" t="s">
        <v>16</v>
      </c>
      <c r="B43">
        <v>130524</v>
      </c>
      <c r="C43" s="2">
        <v>876.24</v>
      </c>
      <c r="D43" s="1">
        <v>43857</v>
      </c>
      <c r="E43" t="str">
        <f>"110593"</f>
        <v>110593</v>
      </c>
      <c r="F43" t="str">
        <f>"NET EXCELSIOR / PCT #2"</f>
        <v>NET EXCELSIOR / PCT #2</v>
      </c>
      <c r="G43" s="2">
        <v>876.24</v>
      </c>
      <c r="H43" t="str">
        <f>"NET EXCELSIOR / PCT #2"</f>
        <v>NET EXCELSIOR / PCT #2</v>
      </c>
    </row>
    <row r="44" spans="1:8" x14ac:dyDescent="0.25">
      <c r="A44" t="s">
        <v>17</v>
      </c>
      <c r="B44">
        <v>130343</v>
      </c>
      <c r="C44" s="2">
        <v>1157.5</v>
      </c>
      <c r="D44" s="1">
        <v>43843</v>
      </c>
      <c r="E44" t="str">
        <f>"202001084565"</f>
        <v>202001084565</v>
      </c>
      <c r="F44" t="str">
        <f>"19-19963"</f>
        <v>19-19963</v>
      </c>
      <c r="G44" s="2">
        <v>230</v>
      </c>
      <c r="H44" t="str">
        <f>"19-19963"</f>
        <v>19-19963</v>
      </c>
    </row>
    <row r="45" spans="1:8" x14ac:dyDescent="0.25">
      <c r="E45" t="str">
        <f>"202001084566"</f>
        <v>202001084566</v>
      </c>
      <c r="F45" t="str">
        <f>"19-19713"</f>
        <v>19-19713</v>
      </c>
      <c r="G45" s="2">
        <v>310</v>
      </c>
      <c r="H45" t="str">
        <f>"19-19713"</f>
        <v>19-19713</v>
      </c>
    </row>
    <row r="46" spans="1:8" x14ac:dyDescent="0.25">
      <c r="E46" t="str">
        <f>"202001084567"</f>
        <v>202001084567</v>
      </c>
      <c r="F46" t="str">
        <f>"19-20002"</f>
        <v>19-20002</v>
      </c>
      <c r="G46" s="2">
        <v>617.5</v>
      </c>
      <c r="H46" t="str">
        <f>"19-20002"</f>
        <v>19-20002</v>
      </c>
    </row>
    <row r="47" spans="1:8" x14ac:dyDescent="0.25">
      <c r="A47" t="s">
        <v>18</v>
      </c>
      <c r="B47">
        <v>1983</v>
      </c>
      <c r="C47" s="2">
        <v>80</v>
      </c>
      <c r="D47" s="1">
        <v>43844</v>
      </c>
      <c r="E47" t="str">
        <f>"201912274323"</f>
        <v>201912274323</v>
      </c>
      <c r="F47" t="str">
        <f>"TRAVEL ADVANCE-PER DIEM"</f>
        <v>TRAVEL ADVANCE-PER DIEM</v>
      </c>
      <c r="G47" s="2">
        <v>80</v>
      </c>
      <c r="H47" t="str">
        <f>"TRAVEL ADVANCE-PER DIEM"</f>
        <v>TRAVEL ADVANCE-PER DIEM</v>
      </c>
    </row>
    <row r="48" spans="1:8" x14ac:dyDescent="0.25">
      <c r="A48" t="s">
        <v>18</v>
      </c>
      <c r="B48">
        <v>2050</v>
      </c>
      <c r="C48" s="2">
        <v>1134.8499999999999</v>
      </c>
      <c r="D48" s="1">
        <v>43858</v>
      </c>
      <c r="E48" t="str">
        <f>"202001214706"</f>
        <v>202001214706</v>
      </c>
      <c r="F48" t="str">
        <f>"TRAVEL ADVANCE - PER DIEM"</f>
        <v>TRAVEL ADVANCE - PER DIEM</v>
      </c>
      <c r="G48" s="2">
        <v>70</v>
      </c>
      <c r="H48" t="str">
        <f>"TRAVEL ADVANCE - PER DIEM"</f>
        <v>TRAVEL ADVANCE - PER DIEM</v>
      </c>
    </row>
    <row r="49" spans="1:8" x14ac:dyDescent="0.25">
      <c r="E49" t="str">
        <f>"202001214710"</f>
        <v>202001214710</v>
      </c>
      <c r="F49" t="str">
        <f>"REIMBURSE AUSTIN BOOTH/MAIL"</f>
        <v>REIMBURSE AUSTIN BOOTH/MAIL</v>
      </c>
      <c r="G49" s="2">
        <v>214.85</v>
      </c>
      <c r="H49" t="str">
        <f>"REIMBURSE AUSTIN BOOTH/MAIL"</f>
        <v>REIMBURSE AUSTIN BOOTH/MAIL</v>
      </c>
    </row>
    <row r="50" spans="1:8" x14ac:dyDescent="0.25">
      <c r="E50" t="str">
        <f>"202001214725"</f>
        <v>202001214725</v>
      </c>
      <c r="F50" t="str">
        <f>"IEDC WEBINAR SERVICES"</f>
        <v>IEDC WEBINAR SERVICES</v>
      </c>
      <c r="G50" s="2">
        <v>850</v>
      </c>
      <c r="H50" t="str">
        <f>"IEDC WEBINAR SERVICES"</f>
        <v>IEDC WEBINAR SERVICES</v>
      </c>
    </row>
    <row r="51" spans="1:8" x14ac:dyDescent="0.25">
      <c r="A51" t="s">
        <v>19</v>
      </c>
      <c r="B51">
        <v>130525</v>
      </c>
      <c r="C51" s="2">
        <v>145</v>
      </c>
      <c r="D51" s="1">
        <v>43857</v>
      </c>
      <c r="E51" t="str">
        <f>"203409"</f>
        <v>203409</v>
      </c>
      <c r="F51" t="str">
        <f>"INV 203409 / UNIT TRAILER"</f>
        <v>INV 203409 / UNIT TRAILER</v>
      </c>
      <c r="G51" s="2">
        <v>145</v>
      </c>
      <c r="H51" t="str">
        <f>"INV 203409 / UNIT TRAILER"</f>
        <v>INV 203409 / UNIT TRAILER</v>
      </c>
    </row>
    <row r="52" spans="1:8" x14ac:dyDescent="0.25">
      <c r="A52" t="s">
        <v>20</v>
      </c>
      <c r="B52">
        <v>130344</v>
      </c>
      <c r="C52" s="2">
        <v>1128.4100000000001</v>
      </c>
      <c r="D52" s="1">
        <v>43843</v>
      </c>
      <c r="E52" t="str">
        <f>"21246754"</f>
        <v>21246754</v>
      </c>
      <c r="F52" t="str">
        <f>"Customer# 322316"</f>
        <v>Customer# 322316</v>
      </c>
      <c r="G52" s="2">
        <v>1128.4100000000001</v>
      </c>
      <c r="H52" t="str">
        <f>"inv# 21246754-001"</f>
        <v>inv# 21246754-001</v>
      </c>
    </row>
    <row r="53" spans="1:8" x14ac:dyDescent="0.25">
      <c r="E53" t="str">
        <f>""</f>
        <v/>
      </c>
      <c r="F53" t="str">
        <f>""</f>
        <v/>
      </c>
      <c r="H53" t="str">
        <f>"inv# 21246754-003"</f>
        <v>inv# 21246754-003</v>
      </c>
    </row>
    <row r="54" spans="1:8" x14ac:dyDescent="0.25">
      <c r="E54" t="str">
        <f>""</f>
        <v/>
      </c>
      <c r="F54" t="str">
        <f>""</f>
        <v/>
      </c>
      <c r="H54" t="str">
        <f>"inv# 21246754-002"</f>
        <v>inv# 21246754-002</v>
      </c>
    </row>
    <row r="55" spans="1:8" x14ac:dyDescent="0.25">
      <c r="A55" t="s">
        <v>21</v>
      </c>
      <c r="B55">
        <v>2017</v>
      </c>
      <c r="C55" s="2">
        <v>800</v>
      </c>
      <c r="D55" s="1">
        <v>43844</v>
      </c>
      <c r="E55" t="str">
        <f>"201912274300"</f>
        <v>201912274300</v>
      </c>
      <c r="F55" t="str">
        <f>"16776"</f>
        <v>16776</v>
      </c>
      <c r="G55" s="2">
        <v>400</v>
      </c>
      <c r="H55" t="str">
        <f>"16776"</f>
        <v>16776</v>
      </c>
    </row>
    <row r="56" spans="1:8" x14ac:dyDescent="0.25">
      <c r="E56" t="str">
        <f>"201912274308"</f>
        <v>201912274308</v>
      </c>
      <c r="F56" t="str">
        <f>"16787"</f>
        <v>16787</v>
      </c>
      <c r="G56" s="2">
        <v>400</v>
      </c>
      <c r="H56" t="str">
        <f>"16787"</f>
        <v>16787</v>
      </c>
    </row>
    <row r="57" spans="1:8" x14ac:dyDescent="0.25">
      <c r="A57" t="s">
        <v>21</v>
      </c>
      <c r="B57">
        <v>2088</v>
      </c>
      <c r="C57" s="2">
        <v>400</v>
      </c>
      <c r="D57" s="1">
        <v>43858</v>
      </c>
      <c r="E57" t="str">
        <f>"202001214731"</f>
        <v>202001214731</v>
      </c>
      <c r="F57" t="str">
        <f>"16933"</f>
        <v>16933</v>
      </c>
      <c r="G57" s="2">
        <v>400</v>
      </c>
      <c r="H57" t="str">
        <f>"16933"</f>
        <v>16933</v>
      </c>
    </row>
    <row r="58" spans="1:8" x14ac:dyDescent="0.25">
      <c r="A58" t="s">
        <v>22</v>
      </c>
      <c r="B58">
        <v>1988</v>
      </c>
      <c r="C58" s="2">
        <v>927.6</v>
      </c>
      <c r="D58" s="1">
        <v>43844</v>
      </c>
      <c r="E58" t="str">
        <f>"201912274301"</f>
        <v>201912274301</v>
      </c>
      <c r="F58" t="str">
        <f>"DCPC-19-039"</f>
        <v>DCPC-19-039</v>
      </c>
      <c r="G58" s="2">
        <v>338.28</v>
      </c>
      <c r="H58" t="str">
        <f>"DCPC-19-039"</f>
        <v>DCPC-19-039</v>
      </c>
    </row>
    <row r="59" spans="1:8" x14ac:dyDescent="0.25">
      <c r="E59" t="str">
        <f>"201912274302"</f>
        <v>201912274302</v>
      </c>
      <c r="F59" t="str">
        <f>"16 348"</f>
        <v>16 348</v>
      </c>
      <c r="G59" s="2">
        <v>251.04</v>
      </c>
      <c r="H59" t="str">
        <f>"16 348"</f>
        <v>16 348</v>
      </c>
    </row>
    <row r="60" spans="1:8" x14ac:dyDescent="0.25">
      <c r="E60" t="str">
        <f>"202001074413"</f>
        <v>202001074413</v>
      </c>
      <c r="F60" t="str">
        <f>"423 5976"</f>
        <v>423 5976</v>
      </c>
      <c r="G60" s="2">
        <v>338.28</v>
      </c>
      <c r="H60" t="str">
        <f>"423 5976"</f>
        <v>423 5976</v>
      </c>
    </row>
    <row r="61" spans="1:8" x14ac:dyDescent="0.25">
      <c r="A61" t="s">
        <v>22</v>
      </c>
      <c r="B61">
        <v>2055</v>
      </c>
      <c r="C61" s="2">
        <v>1314.84</v>
      </c>
      <c r="D61" s="1">
        <v>43858</v>
      </c>
      <c r="E61" t="str">
        <f>"202001174688"</f>
        <v>202001174688</v>
      </c>
      <c r="F61" t="str">
        <f>"14 478"</f>
        <v>14 478</v>
      </c>
      <c r="G61" s="2">
        <v>319.14</v>
      </c>
      <c r="H61" t="str">
        <f>"14 478"</f>
        <v>14 478</v>
      </c>
    </row>
    <row r="62" spans="1:8" x14ac:dyDescent="0.25">
      <c r="E62" t="str">
        <f>"202001174689"</f>
        <v>202001174689</v>
      </c>
      <c r="F62" t="str">
        <f>"16 373"</f>
        <v>16 373</v>
      </c>
      <c r="G62" s="2">
        <v>319.14</v>
      </c>
      <c r="H62" t="str">
        <f>"16 373"</f>
        <v>16 373</v>
      </c>
    </row>
    <row r="63" spans="1:8" x14ac:dyDescent="0.25">
      <c r="E63" t="str">
        <f>"202001174690"</f>
        <v>202001174690</v>
      </c>
      <c r="F63" t="str">
        <f>"423.5378"</f>
        <v>423.5378</v>
      </c>
      <c r="G63" s="2">
        <v>338.28</v>
      </c>
      <c r="H63" t="str">
        <f>"423.5378"</f>
        <v>423.5378</v>
      </c>
    </row>
    <row r="64" spans="1:8" x14ac:dyDescent="0.25">
      <c r="E64" t="str">
        <f>"202001224763"</f>
        <v>202001224763</v>
      </c>
      <c r="F64" t="str">
        <f>"57 181  57 035"</f>
        <v>57 181  57 035</v>
      </c>
      <c r="G64" s="2">
        <v>338.28</v>
      </c>
      <c r="H64" t="str">
        <f>"57 181  57 035"</f>
        <v>57 181  57 035</v>
      </c>
    </row>
    <row r="65" spans="1:8" x14ac:dyDescent="0.25">
      <c r="A65" t="s">
        <v>23</v>
      </c>
      <c r="B65">
        <v>130345</v>
      </c>
      <c r="C65" s="2">
        <v>2880</v>
      </c>
      <c r="D65" s="1">
        <v>43843</v>
      </c>
      <c r="E65" t="str">
        <f>"5245"</f>
        <v>5245</v>
      </c>
      <c r="F65" t="str">
        <f>"Chair Upholstery"</f>
        <v>Chair Upholstery</v>
      </c>
      <c r="G65" s="2">
        <v>2880</v>
      </c>
      <c r="H65" t="str">
        <f>"Chair"</f>
        <v>Chair</v>
      </c>
    </row>
    <row r="66" spans="1:8" x14ac:dyDescent="0.25">
      <c r="E66" t="str">
        <f>""</f>
        <v/>
      </c>
      <c r="F66" t="str">
        <f>""</f>
        <v/>
      </c>
      <c r="H66" t="str">
        <f>"Decorative Tack"</f>
        <v>Decorative Tack</v>
      </c>
    </row>
    <row r="67" spans="1:8" x14ac:dyDescent="0.25">
      <c r="A67" t="s">
        <v>23</v>
      </c>
      <c r="B67">
        <v>130526</v>
      </c>
      <c r="C67" s="2">
        <v>192</v>
      </c>
      <c r="D67" s="1">
        <v>43857</v>
      </c>
      <c r="E67" t="str">
        <f>"5246"</f>
        <v>5246</v>
      </c>
      <c r="F67" t="str">
        <f>"Chair Upholstery"</f>
        <v>Chair Upholstery</v>
      </c>
      <c r="G67" s="2">
        <v>192</v>
      </c>
      <c r="H67" t="str">
        <f>"Chair"</f>
        <v>Chair</v>
      </c>
    </row>
    <row r="68" spans="1:8" x14ac:dyDescent="0.25">
      <c r="E68" t="str">
        <f>""</f>
        <v/>
      </c>
      <c r="F68" t="str">
        <f>""</f>
        <v/>
      </c>
      <c r="H68" t="str">
        <f>"Decorative Tack"</f>
        <v>Decorative Tack</v>
      </c>
    </row>
    <row r="69" spans="1:8" x14ac:dyDescent="0.25">
      <c r="A69" t="s">
        <v>24</v>
      </c>
      <c r="B69">
        <v>1977</v>
      </c>
      <c r="C69" s="2">
        <v>3711.82</v>
      </c>
      <c r="D69" s="1">
        <v>43844</v>
      </c>
      <c r="E69" t="str">
        <f>"202001074439"</f>
        <v>202001074439</v>
      </c>
      <c r="F69" t="str">
        <f>"HAULING EXPS 12/16/19-12/26/19"</f>
        <v>HAULING EXPS 12/16/19-12/26/19</v>
      </c>
      <c r="G69" s="2">
        <v>2364.38</v>
      </c>
      <c r="H69" t="str">
        <f>"HAULING EXPS 12/16/19-12/26/19"</f>
        <v>HAULING EXPS 12/16/19-12/26/19</v>
      </c>
    </row>
    <row r="70" spans="1:8" x14ac:dyDescent="0.25">
      <c r="E70" t="str">
        <f>"202001074440"</f>
        <v>202001074440</v>
      </c>
      <c r="F70" t="str">
        <f>"HAULING EXPS 12/16/19-12/19/19"</f>
        <v>HAULING EXPS 12/16/19-12/19/19</v>
      </c>
      <c r="G70" s="2">
        <v>1347.44</v>
      </c>
      <c r="H70" t="str">
        <f>"HAULING EXPS 12/16/19-12/19/19"</f>
        <v>HAULING EXPS 12/16/19-12/19/19</v>
      </c>
    </row>
    <row r="71" spans="1:8" x14ac:dyDescent="0.25">
      <c r="A71" t="s">
        <v>24</v>
      </c>
      <c r="B71">
        <v>2045</v>
      </c>
      <c r="C71" s="2">
        <v>20621.080000000002</v>
      </c>
      <c r="D71" s="1">
        <v>43858</v>
      </c>
      <c r="E71" t="str">
        <f>"202001214726"</f>
        <v>202001214726</v>
      </c>
      <c r="F71" t="str">
        <f>"HAULING EXPS 01/06-01/20/PCT#4"</f>
        <v>HAULING EXPS 01/06-01/20/PCT#4</v>
      </c>
      <c r="G71" s="2">
        <v>10874.82</v>
      </c>
      <c r="H71" t="str">
        <f>"HAULING EXPS 01/06-01/20/PCT#4"</f>
        <v>HAULING EXPS 01/06-01/20/PCT#4</v>
      </c>
    </row>
    <row r="72" spans="1:8" x14ac:dyDescent="0.25">
      <c r="E72" t="str">
        <f>"202001214727"</f>
        <v>202001214727</v>
      </c>
      <c r="F72" t="str">
        <f>"HAULING EXPS 01/06-01/20/PCT#4"</f>
        <v>HAULING EXPS 01/06-01/20/PCT#4</v>
      </c>
      <c r="G72" s="2">
        <v>9746.26</v>
      </c>
      <c r="H72" t="str">
        <f>"HAULING EXPS 01/06-01/20/PCT#4"</f>
        <v>HAULING EXPS 01/06-01/20/PCT#4</v>
      </c>
    </row>
    <row r="73" spans="1:8" x14ac:dyDescent="0.25">
      <c r="A73" t="s">
        <v>25</v>
      </c>
      <c r="B73">
        <v>130527</v>
      </c>
      <c r="C73" s="2">
        <v>9599.2000000000007</v>
      </c>
      <c r="D73" s="1">
        <v>43857</v>
      </c>
      <c r="E73" t="str">
        <f>"202001234813"</f>
        <v>202001234813</v>
      </c>
      <c r="F73" t="str">
        <f>"inv# INVIH35909"</f>
        <v>inv# INVIH35909</v>
      </c>
      <c r="G73" s="2">
        <v>9599.2000000000007</v>
      </c>
      <c r="H73" t="str">
        <f>"inv# INVIH35909"</f>
        <v>inv# INVIH35909</v>
      </c>
    </row>
    <row r="74" spans="1:8" x14ac:dyDescent="0.25">
      <c r="A74" t="s">
        <v>26</v>
      </c>
      <c r="B74">
        <v>130346</v>
      </c>
      <c r="C74" s="2">
        <v>78.88</v>
      </c>
      <c r="D74" s="1">
        <v>43843</v>
      </c>
      <c r="E74" t="str">
        <f>"201912304342"</f>
        <v>201912304342</v>
      </c>
      <c r="F74" t="str">
        <f>"REIMBURSE MILEAGE"</f>
        <v>REIMBURSE MILEAGE</v>
      </c>
      <c r="G74" s="2">
        <v>78.88</v>
      </c>
      <c r="H74" t="str">
        <f>"REIMBURSE MILEAGE"</f>
        <v>REIMBURSE MILEAGE</v>
      </c>
    </row>
    <row r="75" spans="1:8" x14ac:dyDescent="0.25">
      <c r="A75" t="s">
        <v>27</v>
      </c>
      <c r="B75">
        <v>1997</v>
      </c>
      <c r="C75" s="2">
        <v>6958.03</v>
      </c>
      <c r="D75" s="1">
        <v>43844</v>
      </c>
      <c r="E75" t="str">
        <f>"1J9C-P7WX-TMKG"</f>
        <v>1J9C-P7WX-TMKG</v>
      </c>
      <c r="F75" t="str">
        <f>"repair for AC Units"</f>
        <v>repair for AC Units</v>
      </c>
      <c r="G75" s="2">
        <v>109.9</v>
      </c>
      <c r="H75" t="str">
        <f>"MARS - Motors &amp; Arma"</f>
        <v>MARS - Motors &amp; Arma</v>
      </c>
    </row>
    <row r="76" spans="1:8" x14ac:dyDescent="0.25">
      <c r="E76" t="str">
        <f>"1NVQ-PK1R-3YWK"</f>
        <v>1NVQ-PK1R-3YWK</v>
      </c>
      <c r="F76" t="str">
        <f>"AMAZON CAPITAL SERVICES INC"</f>
        <v>AMAZON CAPITAL SERVICES INC</v>
      </c>
      <c r="G76" s="2">
        <v>2639</v>
      </c>
      <c r="H76" t="str">
        <f>"Paper"</f>
        <v>Paper</v>
      </c>
    </row>
    <row r="77" spans="1:8" x14ac:dyDescent="0.25">
      <c r="E77" t="str">
        <f>""</f>
        <v/>
      </c>
      <c r="F77" t="str">
        <f>""</f>
        <v/>
      </c>
      <c r="H77" t="str">
        <f>"Paper"</f>
        <v>Paper</v>
      </c>
    </row>
    <row r="78" spans="1:8" x14ac:dyDescent="0.25">
      <c r="E78" t="str">
        <f>"1YNF-HFKY-3GYQ"</f>
        <v>1YNF-HFKY-3GYQ</v>
      </c>
      <c r="F78" t="str">
        <f>"misc"</f>
        <v>misc</v>
      </c>
      <c r="G78" s="2">
        <v>3985.23</v>
      </c>
      <c r="H78" t="str">
        <f>"2020 Planner"</f>
        <v>2020 Planner</v>
      </c>
    </row>
    <row r="79" spans="1:8" x14ac:dyDescent="0.25">
      <c r="E79" t="str">
        <f>""</f>
        <v/>
      </c>
      <c r="F79" t="str">
        <f>""</f>
        <v/>
      </c>
      <c r="H79" t="str">
        <f>"2021 Planner Refill"</f>
        <v>2021 Planner Refill</v>
      </c>
    </row>
    <row r="80" spans="1:8" x14ac:dyDescent="0.25">
      <c r="E80" t="str">
        <f>""</f>
        <v/>
      </c>
      <c r="F80" t="str">
        <f>""</f>
        <v/>
      </c>
      <c r="H80" t="str">
        <f>"2022 Monthly Planner"</f>
        <v>2022 Monthly Planner</v>
      </c>
    </row>
    <row r="81" spans="1:8" x14ac:dyDescent="0.25">
      <c r="E81" t="str">
        <f>""</f>
        <v/>
      </c>
      <c r="F81" t="str">
        <f>""</f>
        <v/>
      </c>
      <c r="H81" t="str">
        <f>"2023 Monthly Planner"</f>
        <v>2023 Monthly Planner</v>
      </c>
    </row>
    <row r="82" spans="1:8" x14ac:dyDescent="0.25">
      <c r="E82" t="str">
        <f>""</f>
        <v/>
      </c>
      <c r="F82" t="str">
        <f>""</f>
        <v/>
      </c>
      <c r="H82" t="str">
        <f>"2024 Monthly Planner"</f>
        <v>2024 Monthly Planner</v>
      </c>
    </row>
    <row r="83" spans="1:8" x14ac:dyDescent="0.25">
      <c r="E83" t="str">
        <f>""</f>
        <v/>
      </c>
      <c r="F83" t="str">
        <f>""</f>
        <v/>
      </c>
      <c r="H83" t="str">
        <f>" Bottle  Medium"</f>
        <v xml:space="preserve"> Bottle  Medium</v>
      </c>
    </row>
    <row r="84" spans="1:8" x14ac:dyDescent="0.25">
      <c r="E84" t="str">
        <f>""</f>
        <v/>
      </c>
      <c r="F84" t="str">
        <f>""</f>
        <v/>
      </c>
      <c r="H84" t="str">
        <f>"Fake Blood"</f>
        <v>Fake Blood</v>
      </c>
    </row>
    <row r="85" spans="1:8" x14ac:dyDescent="0.25">
      <c r="E85" t="str">
        <f>""</f>
        <v/>
      </c>
      <c r="F85" t="str">
        <f>""</f>
        <v/>
      </c>
      <c r="H85" t="str">
        <f>"8GB"</f>
        <v>8GB</v>
      </c>
    </row>
    <row r="86" spans="1:8" x14ac:dyDescent="0.25">
      <c r="E86" t="str">
        <f>""</f>
        <v/>
      </c>
      <c r="F86" t="str">
        <f>""</f>
        <v/>
      </c>
      <c r="H86" t="str">
        <f>"16GB"</f>
        <v>16GB</v>
      </c>
    </row>
    <row r="87" spans="1:8" x14ac:dyDescent="0.25">
      <c r="E87" t="str">
        <f>""</f>
        <v/>
      </c>
      <c r="F87" t="str">
        <f>""</f>
        <v/>
      </c>
      <c r="H87" t="str">
        <f>"32GB"</f>
        <v>32GB</v>
      </c>
    </row>
    <row r="88" spans="1:8" x14ac:dyDescent="0.25">
      <c r="E88" t="str">
        <f>""</f>
        <v/>
      </c>
      <c r="F88" t="str">
        <f>""</f>
        <v/>
      </c>
      <c r="H88" t="str">
        <f>"64GB"</f>
        <v>64GB</v>
      </c>
    </row>
    <row r="89" spans="1:8" x14ac:dyDescent="0.25">
      <c r="E89" t="str">
        <f>""</f>
        <v/>
      </c>
      <c r="F89" t="str">
        <f>""</f>
        <v/>
      </c>
      <c r="H89" t="str">
        <f>"128GB"</f>
        <v>128GB</v>
      </c>
    </row>
    <row r="90" spans="1:8" x14ac:dyDescent="0.25">
      <c r="E90" t="str">
        <f>""</f>
        <v/>
      </c>
      <c r="F90" t="str">
        <f>""</f>
        <v/>
      </c>
      <c r="H90" t="str">
        <f>"256GB"</f>
        <v>256GB</v>
      </c>
    </row>
    <row r="91" spans="1:8" x14ac:dyDescent="0.25">
      <c r="E91" t="str">
        <f>"1YQ4-K6KT-JFYD"</f>
        <v>1YQ4-K6KT-JFYD</v>
      </c>
      <c r="F91" t="str">
        <f>"Stabilizer Jacks"</f>
        <v>Stabilizer Jacks</v>
      </c>
      <c r="G91" s="2">
        <v>192</v>
      </c>
      <c r="H91" t="str">
        <f>"Stabilizer Jacks"</f>
        <v>Stabilizer Jacks</v>
      </c>
    </row>
    <row r="92" spans="1:8" x14ac:dyDescent="0.25">
      <c r="E92" t="str">
        <f>""</f>
        <v/>
      </c>
      <c r="F92" t="str">
        <f>""</f>
        <v/>
      </c>
      <c r="H92" t="str">
        <f>"Shipping"</f>
        <v>Shipping</v>
      </c>
    </row>
    <row r="93" spans="1:8" x14ac:dyDescent="0.25">
      <c r="E93" t="str">
        <f>"IVNH-CYQP-GLGV"</f>
        <v>IVNH-CYQP-GLGV</v>
      </c>
      <c r="F93" t="str">
        <f>"AdirPro 12 Pack Fluoresce"</f>
        <v>AdirPro 12 Pack Fluoresce</v>
      </c>
      <c r="G93" s="2">
        <v>31.9</v>
      </c>
      <c r="H93" t="str">
        <f>"AdirPro 12 Pack Fluoresce"</f>
        <v>AdirPro 12 Pack Fluoresce</v>
      </c>
    </row>
    <row r="94" spans="1:8" x14ac:dyDescent="0.25">
      <c r="A94" t="s">
        <v>27</v>
      </c>
      <c r="B94">
        <v>2062</v>
      </c>
      <c r="C94" s="2">
        <v>2347.31</v>
      </c>
      <c r="D94" s="1">
        <v>43858</v>
      </c>
      <c r="E94" t="str">
        <f>"13H3-9QCQ-GRPW"</f>
        <v>13H3-9QCQ-GRPW</v>
      </c>
      <c r="F94" t="str">
        <f>"System Storage"</f>
        <v>System Storage</v>
      </c>
      <c r="G94" s="2">
        <v>274</v>
      </c>
      <c r="H94" t="str">
        <f>"Western Digital"</f>
        <v>Western Digital</v>
      </c>
    </row>
    <row r="95" spans="1:8" x14ac:dyDescent="0.25">
      <c r="E95" t="str">
        <f>"19FG-LHX3-KYVM"</f>
        <v>19FG-LHX3-KYVM</v>
      </c>
      <c r="F95" t="str">
        <f>"SD Reader"</f>
        <v>SD Reader</v>
      </c>
      <c r="G95" s="2">
        <v>147.4</v>
      </c>
      <c r="H95" t="str">
        <f>"SD Reader"</f>
        <v>SD Reader</v>
      </c>
    </row>
    <row r="96" spans="1:8" x14ac:dyDescent="0.25">
      <c r="E96" t="str">
        <f>"19QH-37JQ-3709"</f>
        <v>19QH-37JQ-3709</v>
      </c>
      <c r="F96" t="str">
        <f>"Amazon Order"</f>
        <v>Amazon Order</v>
      </c>
      <c r="G96" s="2">
        <v>294.89</v>
      </c>
      <c r="H96" t="str">
        <f>"26SD Memory Card"</f>
        <v>26SD Memory Card</v>
      </c>
    </row>
    <row r="97" spans="5:8" x14ac:dyDescent="0.25">
      <c r="E97" t="str">
        <f>""</f>
        <v/>
      </c>
      <c r="F97" t="str">
        <f>""</f>
        <v/>
      </c>
      <c r="H97" t="str">
        <f>"Lexar USB 3.0"</f>
        <v>Lexar USB 3.0</v>
      </c>
    </row>
    <row r="98" spans="5:8" x14ac:dyDescent="0.25">
      <c r="E98" t="str">
        <f>""</f>
        <v/>
      </c>
      <c r="F98" t="str">
        <f>""</f>
        <v/>
      </c>
      <c r="H98" t="str">
        <f>"Energizer Size D"</f>
        <v>Energizer Size D</v>
      </c>
    </row>
    <row r="99" spans="5:8" x14ac:dyDescent="0.25">
      <c r="E99" t="str">
        <f>""</f>
        <v/>
      </c>
      <c r="F99" t="str">
        <f>""</f>
        <v/>
      </c>
      <c r="H99" t="str">
        <f>"Energizer Size AA"</f>
        <v>Energizer Size AA</v>
      </c>
    </row>
    <row r="100" spans="5:8" x14ac:dyDescent="0.25">
      <c r="E100" t="str">
        <f>""</f>
        <v/>
      </c>
      <c r="F100" t="str">
        <f>""</f>
        <v/>
      </c>
      <c r="H100" t="str">
        <f>"CLC Leathercraft"</f>
        <v>CLC Leathercraft</v>
      </c>
    </row>
    <row r="101" spans="5:8" x14ac:dyDescent="0.25">
      <c r="E101" t="str">
        <f>""</f>
        <v/>
      </c>
      <c r="F101" t="str">
        <f>""</f>
        <v/>
      </c>
      <c r="H101" t="str">
        <f>"Pi Tape Measurer"</f>
        <v>Pi Tape Measurer</v>
      </c>
    </row>
    <row r="102" spans="5:8" x14ac:dyDescent="0.25">
      <c r="E102" t="str">
        <f>""</f>
        <v/>
      </c>
      <c r="F102" t="str">
        <f>""</f>
        <v/>
      </c>
      <c r="H102" t="str">
        <f>"Bungee Cord 24"</f>
        <v>Bungee Cord 24</v>
      </c>
    </row>
    <row r="103" spans="5:8" x14ac:dyDescent="0.25">
      <c r="E103" t="str">
        <f>""</f>
        <v/>
      </c>
      <c r="F103" t="str">
        <f>""</f>
        <v/>
      </c>
      <c r="H103" t="str">
        <f>"Ironclad Work Gloves"</f>
        <v>Ironclad Work Gloves</v>
      </c>
    </row>
    <row r="104" spans="5:8" x14ac:dyDescent="0.25">
      <c r="E104" t="str">
        <f>""</f>
        <v/>
      </c>
      <c r="F104" t="str">
        <f>""</f>
        <v/>
      </c>
      <c r="H104" t="str">
        <f>"1x100 Tape (Yellow)"</f>
        <v>1x100 Tape (Yellow)</v>
      </c>
    </row>
    <row r="105" spans="5:8" x14ac:dyDescent="0.25">
      <c r="E105" t="str">
        <f>""</f>
        <v/>
      </c>
      <c r="F105" t="str">
        <f>""</f>
        <v/>
      </c>
      <c r="H105" t="str">
        <f>"1x100 Tape (Red)"</f>
        <v>1x100 Tape (Red)</v>
      </c>
    </row>
    <row r="106" spans="5:8" x14ac:dyDescent="0.25">
      <c r="E106" t="str">
        <f>""</f>
        <v/>
      </c>
      <c r="F106" t="str">
        <f>""</f>
        <v/>
      </c>
      <c r="H106" t="str">
        <f>"Discount"</f>
        <v>Discount</v>
      </c>
    </row>
    <row r="107" spans="5:8" x14ac:dyDescent="0.25">
      <c r="E107" t="str">
        <f>"1JHJ-QJVX-3F4W"</f>
        <v>1JHJ-QJVX-3F4W</v>
      </c>
      <c r="F107" t="str">
        <f>"Carts"</f>
        <v>Carts</v>
      </c>
      <c r="G107" s="2">
        <v>53.44</v>
      </c>
      <c r="H107" t="str">
        <f>"Carts"</f>
        <v>Carts</v>
      </c>
    </row>
    <row r="108" spans="5:8" x14ac:dyDescent="0.25">
      <c r="E108" t="str">
        <f>"1JMP-9HLX-C4PV"</f>
        <v>1JMP-9HLX-C4PV</v>
      </c>
      <c r="F108" t="str">
        <f>"Lanyards"</f>
        <v>Lanyards</v>
      </c>
      <c r="G108" s="2">
        <v>31.76</v>
      </c>
      <c r="H108" t="str">
        <f>"Lanyards"</f>
        <v>Lanyards</v>
      </c>
    </row>
    <row r="109" spans="5:8" x14ac:dyDescent="0.25">
      <c r="E109" t="str">
        <f>"1JRF-XWX6-K3LQ"</f>
        <v>1JRF-XWX6-K3LQ</v>
      </c>
      <c r="F109" t="str">
        <f>"Replacement Battery for B"</f>
        <v>Replacement Battery for B</v>
      </c>
      <c r="G109" s="2">
        <v>44.95</v>
      </c>
      <c r="H109" t="str">
        <f>"Replacement Battery for B"</f>
        <v>Replacement Battery for B</v>
      </c>
    </row>
    <row r="110" spans="5:8" x14ac:dyDescent="0.25">
      <c r="E110" t="str">
        <f>"1JVX-34W7-RKD7"</f>
        <v>1JVX-34W7-RKD7</v>
      </c>
      <c r="F110" t="str">
        <f>"Radio Holster"</f>
        <v>Radio Holster</v>
      </c>
      <c r="G110" s="2">
        <v>57.99</v>
      </c>
      <c r="H110" t="str">
        <f>"Radio Holster"</f>
        <v>Radio Holster</v>
      </c>
    </row>
    <row r="111" spans="5:8" x14ac:dyDescent="0.25">
      <c r="E111" t="str">
        <f>"1NVT-34Q7-3XWD"</f>
        <v>1NVT-34Q7-3XWD</v>
      </c>
      <c r="F111" t="str">
        <f>"Amazon Order"</f>
        <v>Amazon Order</v>
      </c>
      <c r="G111" s="2">
        <v>172.36</v>
      </c>
      <c r="H111" t="str">
        <f>"Carpet Squares"</f>
        <v>Carpet Squares</v>
      </c>
    </row>
    <row r="112" spans="5:8" x14ac:dyDescent="0.25">
      <c r="E112" t="str">
        <f>""</f>
        <v/>
      </c>
      <c r="F112" t="str">
        <f>""</f>
        <v/>
      </c>
      <c r="H112" t="str">
        <f>"Double Sided Tape"</f>
        <v>Double Sided Tape</v>
      </c>
    </row>
    <row r="113" spans="5:8" x14ac:dyDescent="0.25">
      <c r="E113" t="str">
        <f>"1P9T-6KHR-JPVC"</f>
        <v>1P9T-6KHR-JPVC</v>
      </c>
      <c r="F113" t="str">
        <f>"Amazon Order"</f>
        <v>Amazon Order</v>
      </c>
      <c r="G113" s="2">
        <v>725.07</v>
      </c>
      <c r="H113" t="str">
        <f>"LowBack Chair"</f>
        <v>LowBack Chair</v>
      </c>
    </row>
    <row r="114" spans="5:8" x14ac:dyDescent="0.25">
      <c r="E114" t="str">
        <f>""</f>
        <v/>
      </c>
      <c r="F114" t="str">
        <f>""</f>
        <v/>
      </c>
      <c r="H114" t="str">
        <f>"Saddle Threshold"</f>
        <v>Saddle Threshold</v>
      </c>
    </row>
    <row r="115" spans="5:8" x14ac:dyDescent="0.25">
      <c r="E115" t="str">
        <f>""</f>
        <v/>
      </c>
      <c r="F115" t="str">
        <f>""</f>
        <v/>
      </c>
      <c r="H115" t="str">
        <f>"Carpet Tiles"</f>
        <v>Carpet Tiles</v>
      </c>
    </row>
    <row r="116" spans="5:8" x14ac:dyDescent="0.25">
      <c r="E116" t="str">
        <f>""</f>
        <v/>
      </c>
      <c r="F116" t="str">
        <f>""</f>
        <v/>
      </c>
      <c r="H116" t="str">
        <f>"Carpet Tape"</f>
        <v>Carpet Tape</v>
      </c>
    </row>
    <row r="117" spans="5:8" x14ac:dyDescent="0.25">
      <c r="E117" t="str">
        <f>""</f>
        <v/>
      </c>
      <c r="F117" t="str">
        <f>""</f>
        <v/>
      </c>
      <c r="H117" t="str">
        <f>"Conference Table"</f>
        <v>Conference Table</v>
      </c>
    </row>
    <row r="118" spans="5:8" x14ac:dyDescent="0.25">
      <c r="E118" t="str">
        <f>"1XDY-XDJP-JVDJ"</f>
        <v>1XDY-XDJP-JVDJ</v>
      </c>
      <c r="F118" t="str">
        <f>"MISC Items"</f>
        <v>MISC Items</v>
      </c>
      <c r="G118" s="2">
        <v>115.06</v>
      </c>
      <c r="H118" t="str">
        <f>"Echo Cap"</f>
        <v>Echo Cap</v>
      </c>
    </row>
    <row r="119" spans="5:8" x14ac:dyDescent="0.25">
      <c r="E119" t="str">
        <f>""</f>
        <v/>
      </c>
      <c r="F119" t="str">
        <f>""</f>
        <v/>
      </c>
      <c r="H119" t="str">
        <f>"Glasses"</f>
        <v>Glasses</v>
      </c>
    </row>
    <row r="120" spans="5:8" x14ac:dyDescent="0.25">
      <c r="E120" t="str">
        <f>""</f>
        <v/>
      </c>
      <c r="F120" t="str">
        <f>""</f>
        <v/>
      </c>
      <c r="H120" t="str">
        <f>"Flashlight"</f>
        <v>Flashlight</v>
      </c>
    </row>
    <row r="121" spans="5:8" x14ac:dyDescent="0.25">
      <c r="E121" t="str">
        <f>""</f>
        <v/>
      </c>
      <c r="F121" t="str">
        <f>""</f>
        <v/>
      </c>
      <c r="H121" t="str">
        <f>"Shipping"</f>
        <v>Shipping</v>
      </c>
    </row>
    <row r="122" spans="5:8" x14ac:dyDescent="0.25">
      <c r="E122" t="str">
        <f>"1XF7-GMFC-HYJD"</f>
        <v>1XF7-GMFC-HYJD</v>
      </c>
      <c r="F122" t="str">
        <f>"MISC Items"</f>
        <v>MISC Items</v>
      </c>
      <c r="G122" s="2">
        <v>398.23</v>
      </c>
      <c r="H122" t="str">
        <f>"HP COMBO"</f>
        <v>HP COMBO</v>
      </c>
    </row>
    <row r="123" spans="5:8" x14ac:dyDescent="0.25">
      <c r="E123" t="str">
        <f>""</f>
        <v/>
      </c>
      <c r="F123" t="str">
        <f>""</f>
        <v/>
      </c>
      <c r="H123" t="str">
        <f>"Messenger Bag"</f>
        <v>Messenger Bag</v>
      </c>
    </row>
    <row r="124" spans="5:8" x14ac:dyDescent="0.25">
      <c r="E124" t="str">
        <f>""</f>
        <v/>
      </c>
      <c r="F124" t="str">
        <f>""</f>
        <v/>
      </c>
      <c r="H124" t="str">
        <f>"Travel Case"</f>
        <v>Travel Case</v>
      </c>
    </row>
    <row r="125" spans="5:8" x14ac:dyDescent="0.25">
      <c r="E125" t="str">
        <f>""</f>
        <v/>
      </c>
      <c r="F125" t="str">
        <f>""</f>
        <v/>
      </c>
      <c r="H125" t="str">
        <f>"Staples"</f>
        <v>Staples</v>
      </c>
    </row>
    <row r="126" spans="5:8" x14ac:dyDescent="0.25">
      <c r="E126" t="str">
        <f>""</f>
        <v/>
      </c>
      <c r="F126" t="str">
        <f>""</f>
        <v/>
      </c>
      <c r="H126" t="str">
        <f>"Utilty Knife"</f>
        <v>Utilty Knife</v>
      </c>
    </row>
    <row r="127" spans="5:8" x14ac:dyDescent="0.25">
      <c r="E127" t="str">
        <f>""</f>
        <v/>
      </c>
      <c r="F127" t="str">
        <f>""</f>
        <v/>
      </c>
      <c r="H127" t="str">
        <f>"Tape Handle"</f>
        <v>Tape Handle</v>
      </c>
    </row>
    <row r="128" spans="5:8" x14ac:dyDescent="0.25">
      <c r="E128" t="str">
        <f>""</f>
        <v/>
      </c>
      <c r="F128" t="str">
        <f>""</f>
        <v/>
      </c>
      <c r="H128" t="str">
        <f>"Pens"</f>
        <v>Pens</v>
      </c>
    </row>
    <row r="129" spans="1:8" x14ac:dyDescent="0.25">
      <c r="E129" t="str">
        <f>""</f>
        <v/>
      </c>
      <c r="F129" t="str">
        <f>""</f>
        <v/>
      </c>
      <c r="H129" t="str">
        <f>"Sticky Notes"</f>
        <v>Sticky Notes</v>
      </c>
    </row>
    <row r="130" spans="1:8" x14ac:dyDescent="0.25">
      <c r="E130" t="str">
        <f>""</f>
        <v/>
      </c>
      <c r="F130" t="str">
        <f>""</f>
        <v/>
      </c>
      <c r="H130" t="str">
        <f>"Card Holders"</f>
        <v>Card Holders</v>
      </c>
    </row>
    <row r="131" spans="1:8" x14ac:dyDescent="0.25">
      <c r="E131" t="str">
        <f>""</f>
        <v/>
      </c>
      <c r="F131" t="str">
        <f>""</f>
        <v/>
      </c>
      <c r="H131" t="str">
        <f>"Binder"</f>
        <v>Binder</v>
      </c>
    </row>
    <row r="132" spans="1:8" x14ac:dyDescent="0.25">
      <c r="E132" t="str">
        <f>""</f>
        <v/>
      </c>
      <c r="F132" t="str">
        <f>""</f>
        <v/>
      </c>
      <c r="H132" t="str">
        <f>"Wall Calender"</f>
        <v>Wall Calender</v>
      </c>
    </row>
    <row r="133" spans="1:8" x14ac:dyDescent="0.25">
      <c r="E133" t="str">
        <f>"1XNQ-MCDL-KR4L"</f>
        <v>1XNQ-MCDL-KR4L</v>
      </c>
      <c r="F133" t="str">
        <f>"Shredder"</f>
        <v>Shredder</v>
      </c>
      <c r="G133" s="2">
        <v>32.159999999999997</v>
      </c>
      <c r="H133" t="str">
        <f>"Shredder"</f>
        <v>Shredder</v>
      </c>
    </row>
    <row r="134" spans="1:8" x14ac:dyDescent="0.25">
      <c r="A134" t="s">
        <v>28</v>
      </c>
      <c r="B134">
        <v>130528</v>
      </c>
      <c r="C134" s="2">
        <v>2727</v>
      </c>
      <c r="D134" s="1">
        <v>43857</v>
      </c>
      <c r="E134" t="str">
        <f>"94845"</f>
        <v>94845</v>
      </c>
      <c r="F134" t="str">
        <f>"K-9 Insert"</f>
        <v>K-9 Insert</v>
      </c>
      <c r="G134" s="2">
        <v>2727</v>
      </c>
      <c r="H134" t="str">
        <f>"K-9 Insert"</f>
        <v>K-9 Insert</v>
      </c>
    </row>
    <row r="135" spans="1:8" x14ac:dyDescent="0.25">
      <c r="E135" t="str">
        <f>""</f>
        <v/>
      </c>
      <c r="F135" t="str">
        <f>""</f>
        <v/>
      </c>
      <c r="H135" t="str">
        <f>"Freight"</f>
        <v>Freight</v>
      </c>
    </row>
    <row r="136" spans="1:8" x14ac:dyDescent="0.25">
      <c r="A136" t="s">
        <v>29</v>
      </c>
      <c r="B136">
        <v>1984</v>
      </c>
      <c r="C136" s="2">
        <v>2903.68</v>
      </c>
      <c r="D136" s="1">
        <v>43844</v>
      </c>
      <c r="E136" t="str">
        <f>"201912304337"</f>
        <v>201912304337</v>
      </c>
      <c r="F136" t="str">
        <f>"ACCT#379865/PCT#2"</f>
        <v>ACCT#379865/PCT#2</v>
      </c>
      <c r="G136" s="2">
        <v>2903.68</v>
      </c>
      <c r="H136" t="str">
        <f>"ACCT#379865/PCT#2"</f>
        <v>ACCT#379865/PCT#2</v>
      </c>
    </row>
    <row r="137" spans="1:8" x14ac:dyDescent="0.25">
      <c r="A137" t="s">
        <v>30</v>
      </c>
      <c r="B137">
        <v>2030</v>
      </c>
      <c r="C137" s="2">
        <v>2775</v>
      </c>
      <c r="D137" s="1">
        <v>43844</v>
      </c>
      <c r="E137" t="str">
        <f>"201912274304"</f>
        <v>201912274304</v>
      </c>
      <c r="F137" t="str">
        <f>"16 917  16 941"</f>
        <v>16 917  16 941</v>
      </c>
      <c r="G137" s="2">
        <v>600</v>
      </c>
      <c r="H137" t="str">
        <f>"16 917  16 941"</f>
        <v>16 917  16 941</v>
      </c>
    </row>
    <row r="138" spans="1:8" x14ac:dyDescent="0.25">
      <c r="E138" t="str">
        <f>"201912274305"</f>
        <v>201912274305</v>
      </c>
      <c r="F138" t="str">
        <f>"1345-335  1341-21  1346-335"</f>
        <v>1345-335  1341-21  1346-335</v>
      </c>
      <c r="G138" s="2">
        <v>400</v>
      </c>
      <c r="H138" t="str">
        <f>"1345-335  1341-21  1346-335"</f>
        <v>1345-335  1341-21  1346-335</v>
      </c>
    </row>
    <row r="139" spans="1:8" x14ac:dyDescent="0.25">
      <c r="E139" t="str">
        <f>"202001074415"</f>
        <v>202001074415</v>
      </c>
      <c r="F139" t="str">
        <f>"1393-335"</f>
        <v>1393-335</v>
      </c>
      <c r="G139" s="2">
        <v>100</v>
      </c>
      <c r="H139" t="str">
        <f>"1393-335"</f>
        <v>1393-335</v>
      </c>
    </row>
    <row r="140" spans="1:8" x14ac:dyDescent="0.25">
      <c r="E140" t="str">
        <f>"202001074416"</f>
        <v>202001074416</v>
      </c>
      <c r="F140" t="str">
        <f>"1351-335"</f>
        <v>1351-335</v>
      </c>
      <c r="G140" s="2">
        <v>100</v>
      </c>
      <c r="H140" t="str">
        <f>"1351-335"</f>
        <v>1351-335</v>
      </c>
    </row>
    <row r="141" spans="1:8" x14ac:dyDescent="0.25">
      <c r="E141" t="str">
        <f>"202001074417"</f>
        <v>202001074417</v>
      </c>
      <c r="F141" t="str">
        <f>"423-6924 1346-335 1341-21 1345"</f>
        <v>423-6924 1346-335 1341-21 1345</v>
      </c>
      <c r="G141" s="2">
        <v>400</v>
      </c>
      <c r="H141" t="str">
        <f>"423-6924 1346-335 1341-21 1345"</f>
        <v>423-6924 1346-335 1341-21 1345</v>
      </c>
    </row>
    <row r="142" spans="1:8" x14ac:dyDescent="0.25">
      <c r="E142" t="str">
        <f>"202001074418"</f>
        <v>202001074418</v>
      </c>
      <c r="F142" t="str">
        <f>"1401-335"</f>
        <v>1401-335</v>
      </c>
      <c r="G142" s="2">
        <v>100</v>
      </c>
      <c r="H142" t="str">
        <f>"1401-335"</f>
        <v>1401-335</v>
      </c>
    </row>
    <row r="143" spans="1:8" x14ac:dyDescent="0.25">
      <c r="E143" t="str">
        <f>"202001084553"</f>
        <v>202001084553</v>
      </c>
      <c r="F143" t="str">
        <f>"19-20014"</f>
        <v>19-20014</v>
      </c>
      <c r="G143" s="2">
        <v>100</v>
      </c>
      <c r="H143" t="str">
        <f>"19-20014"</f>
        <v>19-20014</v>
      </c>
    </row>
    <row r="144" spans="1:8" x14ac:dyDescent="0.25">
      <c r="E144" t="str">
        <f>"202001084554"</f>
        <v>202001084554</v>
      </c>
      <c r="F144" t="str">
        <f>"19-20015"</f>
        <v>19-20015</v>
      </c>
      <c r="G144" s="2">
        <v>100</v>
      </c>
      <c r="H144" t="str">
        <f>"19-20015"</f>
        <v>19-20015</v>
      </c>
    </row>
    <row r="145" spans="1:8" x14ac:dyDescent="0.25">
      <c r="E145" t="str">
        <f>"202001084556"</f>
        <v>202001084556</v>
      </c>
      <c r="F145" t="str">
        <f>"02-0527-7"</f>
        <v>02-0527-7</v>
      </c>
      <c r="G145" s="2">
        <v>375</v>
      </c>
      <c r="H145" t="str">
        <f>"02-0527-7"</f>
        <v>02-0527-7</v>
      </c>
    </row>
    <row r="146" spans="1:8" x14ac:dyDescent="0.25">
      <c r="E146" t="str">
        <f>"202001084557"</f>
        <v>202001084557</v>
      </c>
      <c r="F146" t="str">
        <f>"57 259  57 155  57 197"</f>
        <v>57 259  57 155  57 197</v>
      </c>
      <c r="G146" s="2">
        <v>500</v>
      </c>
      <c r="H146" t="str">
        <f>"57 259  57 155  57 197"</f>
        <v>57 259  57 155  57 197</v>
      </c>
    </row>
    <row r="147" spans="1:8" x14ac:dyDescent="0.25">
      <c r="A147" t="s">
        <v>30</v>
      </c>
      <c r="B147">
        <v>2105</v>
      </c>
      <c r="C147" s="2">
        <v>0</v>
      </c>
      <c r="D147" s="1">
        <v>43858</v>
      </c>
      <c r="E147" t="str">
        <f>"202001214729"</f>
        <v>202001214729</v>
      </c>
      <c r="F147" t="str">
        <f>"1345-335 1341-21 1346-335"</f>
        <v>1345-335 1341-21 1346-335</v>
      </c>
      <c r="G147" s="2">
        <v>-400</v>
      </c>
      <c r="H147" t="str">
        <f>"1345-335 1341-21 1346-335"</f>
        <v>1345-335 1341-21 1346-335</v>
      </c>
    </row>
    <row r="148" spans="1:8" x14ac:dyDescent="0.25">
      <c r="E148" t="str">
        <f>"202001164638"</f>
        <v>202001164638</v>
      </c>
      <c r="F148" t="str">
        <f>"16 649"</f>
        <v>16 649</v>
      </c>
      <c r="G148" s="2">
        <v>400</v>
      </c>
      <c r="H148" t="str">
        <f>"16 649"</f>
        <v>16 649</v>
      </c>
    </row>
    <row r="149" spans="1:8" x14ac:dyDescent="0.25">
      <c r="A149" t="s">
        <v>31</v>
      </c>
      <c r="B149">
        <v>130529</v>
      </c>
      <c r="C149" s="2">
        <v>29.5</v>
      </c>
      <c r="D149" s="1">
        <v>43857</v>
      </c>
      <c r="E149" t="str">
        <f>"202001164656"</f>
        <v>202001164656</v>
      </c>
      <c r="F149" t="str">
        <f>"OVERPMNT OF REST-16 768"</f>
        <v>OVERPMNT OF REST-16 768</v>
      </c>
      <c r="G149" s="2">
        <v>29.5</v>
      </c>
      <c r="H149" t="str">
        <f>"OVERPMNT OF REST-16 768"</f>
        <v>OVERPMNT OF REST-16 768</v>
      </c>
    </row>
    <row r="150" spans="1:8" x14ac:dyDescent="0.25">
      <c r="A150" t="s">
        <v>32</v>
      </c>
      <c r="B150">
        <v>130347</v>
      </c>
      <c r="C150" s="2">
        <v>340</v>
      </c>
      <c r="D150" s="1">
        <v>43843</v>
      </c>
      <c r="E150" t="str">
        <f>"19-00296"</f>
        <v>19-00296</v>
      </c>
      <c r="F150" t="str">
        <f>"INV 19-00296"</f>
        <v>INV 19-00296</v>
      </c>
      <c r="G150" s="2">
        <v>340</v>
      </c>
      <c r="H150" t="str">
        <f>"INV 19-00296"</f>
        <v>INV 19-00296</v>
      </c>
    </row>
    <row r="151" spans="1:8" x14ac:dyDescent="0.25">
      <c r="A151" t="s">
        <v>32</v>
      </c>
      <c r="B151">
        <v>130530</v>
      </c>
      <c r="C151" s="2">
        <v>140</v>
      </c>
      <c r="D151" s="1">
        <v>43857</v>
      </c>
      <c r="E151" t="str">
        <f>"20-00331"</f>
        <v>20-00331</v>
      </c>
      <c r="F151" t="str">
        <f>"INV 20-00331"</f>
        <v>INV 20-00331</v>
      </c>
      <c r="G151" s="2">
        <v>140</v>
      </c>
      <c r="H151" t="str">
        <f>"INV 20-00331"</f>
        <v>INV 20-00331</v>
      </c>
    </row>
    <row r="152" spans="1:8" x14ac:dyDescent="0.25">
      <c r="A152" t="s">
        <v>33</v>
      </c>
      <c r="B152">
        <v>130348</v>
      </c>
      <c r="C152" s="2">
        <v>82.34</v>
      </c>
      <c r="D152" s="1">
        <v>43843</v>
      </c>
      <c r="E152" t="str">
        <f>"1912-473094"</f>
        <v>1912-473094</v>
      </c>
      <c r="F152" t="str">
        <f>"ACCT#3-3053/PCT#2"</f>
        <v>ACCT#3-3053/PCT#2</v>
      </c>
      <c r="G152" s="2">
        <v>82.34</v>
      </c>
      <c r="H152" t="str">
        <f>"ACCT#3-3053/PCT#2"</f>
        <v>ACCT#3-3053/PCT#2</v>
      </c>
    </row>
    <row r="153" spans="1:8" x14ac:dyDescent="0.25">
      <c r="A153" t="s">
        <v>34</v>
      </c>
      <c r="B153">
        <v>130349</v>
      </c>
      <c r="C153" s="2">
        <v>627.70000000000005</v>
      </c>
      <c r="D153" s="1">
        <v>43843</v>
      </c>
      <c r="E153" t="str">
        <f>"202001064394"</f>
        <v>202001064394</v>
      </c>
      <c r="F153" t="str">
        <f>"ACCT#015476/PURCHASING DEPT"</f>
        <v>ACCT#015476/PURCHASING DEPT</v>
      </c>
      <c r="G153" s="2">
        <v>10.49</v>
      </c>
      <c r="H153" t="str">
        <f>"ACCT#015476/PURCHASING DEPT"</f>
        <v>ACCT#015476/PURCHASING DEPT</v>
      </c>
    </row>
    <row r="154" spans="1:8" x14ac:dyDescent="0.25">
      <c r="E154" t="str">
        <f>"202001064395"</f>
        <v>202001064395</v>
      </c>
      <c r="F154" t="str">
        <f>"ACCT#010602/COMMISSIONER OFFIC"</f>
        <v>ACCT#010602/COMMISSIONER OFFIC</v>
      </c>
      <c r="G154" s="2">
        <v>46.5</v>
      </c>
      <c r="H154" t="str">
        <f>"ACCT#010602/COMMISSIONER OFFIC"</f>
        <v>ACCT#010602/COMMISSIONER OFFIC</v>
      </c>
    </row>
    <row r="155" spans="1:8" x14ac:dyDescent="0.25">
      <c r="E155" t="str">
        <f>"202001064397"</f>
        <v>202001064397</v>
      </c>
      <c r="F155" t="str">
        <f>"ACCT#011280/COUNTY CLERK"</f>
        <v>ACCT#011280/COUNTY CLERK</v>
      </c>
      <c r="G155" s="2">
        <v>46.5</v>
      </c>
      <c r="H155" t="str">
        <f>"ACCT#011280/COUNTY CLERK"</f>
        <v>ACCT#011280/COUNTY CLERK</v>
      </c>
    </row>
    <row r="156" spans="1:8" x14ac:dyDescent="0.25">
      <c r="E156" t="str">
        <f>"202001064398"</f>
        <v>202001064398</v>
      </c>
      <c r="F156" t="str">
        <f>"ACCT#010238/GENERAL SERVICES"</f>
        <v>ACCT#010238/GENERAL SERVICES</v>
      </c>
      <c r="G156" s="2">
        <v>81.239999999999995</v>
      </c>
      <c r="H156" t="str">
        <f>"ACCT#010238/GENERAL SERVICES"</f>
        <v>ACCT#010238/GENERAL SERVICES</v>
      </c>
    </row>
    <row r="157" spans="1:8" x14ac:dyDescent="0.25">
      <c r="E157" t="str">
        <f>"202001064399"</f>
        <v>202001064399</v>
      </c>
      <c r="F157" t="str">
        <f>"ACCT#012259/DIST CLERKS OFFICE"</f>
        <v>ACCT#012259/DIST CLERKS OFFICE</v>
      </c>
      <c r="G157" s="2">
        <v>76.5</v>
      </c>
      <c r="H157" t="str">
        <f>"ACCT#012259/DIST CLERKS OFFICE"</f>
        <v>ACCT#012259/DIST CLERKS OFFICE</v>
      </c>
    </row>
    <row r="158" spans="1:8" x14ac:dyDescent="0.25">
      <c r="E158" t="str">
        <f>"202001064400"</f>
        <v>202001064400</v>
      </c>
      <c r="F158" t="str">
        <f>"ACCT#013393/HUMAN RESOURCES"</f>
        <v>ACCT#013393/HUMAN RESOURCES</v>
      </c>
      <c r="G158" s="2">
        <v>25</v>
      </c>
      <c r="H158" t="str">
        <f>"ACCT#013393/HUMAN RESOURCES"</f>
        <v>ACCT#013393/HUMAN RESOURCES</v>
      </c>
    </row>
    <row r="159" spans="1:8" x14ac:dyDescent="0.25">
      <c r="E159" t="str">
        <f>"202001064401"</f>
        <v>202001064401</v>
      </c>
      <c r="F159" t="str">
        <f>"ACCT#014877/INDIGENT HEALTH"</f>
        <v>ACCT#014877/INDIGENT HEALTH</v>
      </c>
      <c r="G159" s="2">
        <v>41.99</v>
      </c>
      <c r="H159" t="str">
        <f>"ACCT#014877/INDIGENT HEALTH"</f>
        <v>ACCT#014877/INDIGENT HEALTH</v>
      </c>
    </row>
    <row r="160" spans="1:8" x14ac:dyDescent="0.25">
      <c r="E160" t="str">
        <f>"202001064402"</f>
        <v>202001064402</v>
      </c>
      <c r="F160" t="str">
        <f>"ACCT#015199/JP#1"</f>
        <v>ACCT#015199/JP#1</v>
      </c>
      <c r="G160" s="2">
        <v>5.99</v>
      </c>
      <c r="H160" t="str">
        <f>"ACCT#015199/JP#1"</f>
        <v>ACCT#015199/JP#1</v>
      </c>
    </row>
    <row r="161" spans="1:8" x14ac:dyDescent="0.25">
      <c r="E161" t="str">
        <f>"202001064404"</f>
        <v>202001064404</v>
      </c>
      <c r="F161" t="str">
        <f>"ACCT#011955/DISTRICT JUDGE"</f>
        <v>ACCT#011955/DISTRICT JUDGE</v>
      </c>
      <c r="G161" s="2">
        <v>54</v>
      </c>
      <c r="H161" t="str">
        <f>"ACCT#011955/DISTRICT JUDGE"</f>
        <v>ACCT#011955/DISTRICT JUDGE</v>
      </c>
    </row>
    <row r="162" spans="1:8" x14ac:dyDescent="0.25">
      <c r="E162" t="str">
        <f>"202001064405"</f>
        <v>202001064405</v>
      </c>
      <c r="F162" t="str">
        <f>"ACCT#012231/DIST JUDGE OFFICE"</f>
        <v>ACCT#012231/DIST JUDGE OFFICE</v>
      </c>
      <c r="G162" s="2">
        <v>10</v>
      </c>
      <c r="H162" t="str">
        <f>"ACCT#012231/DIST JUDGE OFFICE"</f>
        <v>ACCT#012231/DIST JUDGE OFFICE</v>
      </c>
    </row>
    <row r="163" spans="1:8" x14ac:dyDescent="0.25">
      <c r="E163" t="str">
        <f>"202001074420"</f>
        <v>202001074420</v>
      </c>
      <c r="F163" t="str">
        <f>"ACCT#011033/IT DEPT"</f>
        <v>ACCT#011033/IT DEPT</v>
      </c>
      <c r="G163" s="2">
        <v>69</v>
      </c>
      <c r="H163" t="str">
        <f>"ACCT#011033/IT DEPT"</f>
        <v>ACCT#011033/IT DEPT</v>
      </c>
    </row>
    <row r="164" spans="1:8" x14ac:dyDescent="0.25">
      <c r="E164" t="str">
        <f>"202001074422"</f>
        <v>202001074422</v>
      </c>
      <c r="F164" t="str">
        <f>"ACCT#012571/TREASURER"</f>
        <v>ACCT#012571/TREASURER</v>
      </c>
      <c r="G164" s="2">
        <v>12</v>
      </c>
      <c r="H164" t="str">
        <f>"ACCT#012571/TREASURER"</f>
        <v>ACCT#012571/TREASURER</v>
      </c>
    </row>
    <row r="165" spans="1:8" x14ac:dyDescent="0.25">
      <c r="E165" t="str">
        <f>"202001074423"</f>
        <v>202001074423</v>
      </c>
      <c r="F165" t="str">
        <f>"ACCT#010149/TEXAS AGRI LIFE EX"</f>
        <v>ACCT#010149/TEXAS AGRI LIFE EX</v>
      </c>
      <c r="G165" s="2">
        <v>15</v>
      </c>
      <c r="H165" t="str">
        <f>"ACCT#010149/TEXAS AGRI LIFE EX"</f>
        <v>ACCT#010149/TEXAS AGRI LIFE EX</v>
      </c>
    </row>
    <row r="166" spans="1:8" x14ac:dyDescent="0.25">
      <c r="E166" t="str">
        <f>"202001074424"</f>
        <v>202001074424</v>
      </c>
      <c r="F166" t="str">
        <f>"ACCT#012803/BASTROP CO JUDGE"</f>
        <v>ACCT#012803/BASTROP CO JUDGE</v>
      </c>
      <c r="G166" s="2">
        <v>16.5</v>
      </c>
      <c r="H166" t="str">
        <f>"ACCT#012803/BASTROP CO JUDGE"</f>
        <v>ACCT#012803/BASTROP CO JUDGE</v>
      </c>
    </row>
    <row r="167" spans="1:8" x14ac:dyDescent="0.25">
      <c r="E167" t="str">
        <f>"202001074425"</f>
        <v>202001074425</v>
      </c>
      <c r="F167" t="str">
        <f>"ACCT#010057/AUDITOR"</f>
        <v>ACCT#010057/AUDITOR</v>
      </c>
      <c r="G167" s="2">
        <v>76.5</v>
      </c>
      <c r="H167" t="str">
        <f>"ACCT#010057/AUDITOR"</f>
        <v>ACCT#010057/AUDITOR</v>
      </c>
    </row>
    <row r="168" spans="1:8" x14ac:dyDescent="0.25">
      <c r="E168" t="str">
        <f>"202001084575"</f>
        <v>202001084575</v>
      </c>
      <c r="F168" t="str">
        <f>"ACCT#014737/ANIMAL SERVICE"</f>
        <v>ACCT#014737/ANIMAL SERVICE</v>
      </c>
      <c r="G168" s="2">
        <v>40.49</v>
      </c>
      <c r="H168" t="str">
        <f>"ACCT#014737/ANIMAL SERVICE"</f>
        <v>ACCT#014737/ANIMAL SERVICE</v>
      </c>
    </row>
    <row r="169" spans="1:8" x14ac:dyDescent="0.25">
      <c r="A169" t="s">
        <v>35</v>
      </c>
      <c r="B169">
        <v>130334</v>
      </c>
      <c r="C169" s="2">
        <v>55.2</v>
      </c>
      <c r="D169" s="1">
        <v>43833</v>
      </c>
      <c r="E169" t="str">
        <f>"202001034391"</f>
        <v>202001034391</v>
      </c>
      <c r="F169" t="str">
        <f>"ACCT#0201855301 / 01052020"</f>
        <v>ACCT#0201855301 / 01052020</v>
      </c>
      <c r="G169" s="2">
        <v>29.92</v>
      </c>
      <c r="H169" t="str">
        <f>"ACCT#0201855301 / 01052020"</f>
        <v>ACCT#0201855301 / 01052020</v>
      </c>
    </row>
    <row r="170" spans="1:8" x14ac:dyDescent="0.25">
      <c r="E170" t="str">
        <f>"202001034392"</f>
        <v>202001034392</v>
      </c>
      <c r="F170" t="str">
        <f>"ACCT#0201891401 / 01052020"</f>
        <v>ACCT#0201891401 / 01052020</v>
      </c>
      <c r="G170" s="2">
        <v>25.28</v>
      </c>
      <c r="H170" t="str">
        <f>"ACCT#0201891401 / 01052020"</f>
        <v>ACCT#0201891401 / 01052020</v>
      </c>
    </row>
    <row r="171" spans="1:8" x14ac:dyDescent="0.25">
      <c r="A171" t="s">
        <v>35</v>
      </c>
      <c r="B171">
        <v>130515</v>
      </c>
      <c r="C171" s="2">
        <v>1242.4100000000001</v>
      </c>
      <c r="D171" s="1">
        <v>43852</v>
      </c>
      <c r="E171" t="str">
        <f>"202001224746"</f>
        <v>202001224746</v>
      </c>
      <c r="F171" t="str">
        <f>"ACCT#0102120801 / 01202020"</f>
        <v>ACCT#0102120801 / 01202020</v>
      </c>
      <c r="G171" s="2">
        <v>462.38</v>
      </c>
      <c r="H171" t="str">
        <f>"ACCT#0102120801 / 01202020"</f>
        <v>ACCT#0102120801 / 01202020</v>
      </c>
    </row>
    <row r="172" spans="1:8" x14ac:dyDescent="0.25">
      <c r="E172" t="str">
        <f>"202001224747"</f>
        <v>202001224747</v>
      </c>
      <c r="F172" t="str">
        <f>"ACCT#0400785803 / 01202020"</f>
        <v>ACCT#0400785803 / 01202020</v>
      </c>
      <c r="G172" s="2">
        <v>132.47999999999999</v>
      </c>
      <c r="H172" t="str">
        <f>"ACCT#0400785803 / 01202020"</f>
        <v>ACCT#0400785803 / 01202020</v>
      </c>
    </row>
    <row r="173" spans="1:8" x14ac:dyDescent="0.25">
      <c r="E173" t="str">
        <f>"202001224748"</f>
        <v>202001224748</v>
      </c>
      <c r="F173" t="str">
        <f>"ACCT#0401408501 / 01202020"</f>
        <v>ACCT#0401408501 / 01202020</v>
      </c>
      <c r="G173" s="2">
        <v>584.22</v>
      </c>
      <c r="H173" t="str">
        <f>"ACCT#0401408501 / 01202020"</f>
        <v>ACCT#0401408501 / 01202020</v>
      </c>
    </row>
    <row r="174" spans="1:8" x14ac:dyDescent="0.25">
      <c r="E174" t="str">
        <f>"202001224749"</f>
        <v>202001224749</v>
      </c>
      <c r="F174" t="str">
        <f>"ACCT#0800042801 / 01202020"</f>
        <v>ACCT#0800042801 / 01202020</v>
      </c>
      <c r="G174" s="2">
        <v>37.659999999999997</v>
      </c>
      <c r="H174" t="str">
        <f>"ACCT#0800042801 / 01202020"</f>
        <v>ACCT#0800042801 / 01202020</v>
      </c>
    </row>
    <row r="175" spans="1:8" x14ac:dyDescent="0.25">
      <c r="E175" t="str">
        <f>"202001224750"</f>
        <v>202001224750</v>
      </c>
      <c r="F175" t="str">
        <f>"ACCT#0802361501 / 01202020"</f>
        <v>ACCT#0802361501 / 01202020</v>
      </c>
      <c r="G175" s="2">
        <v>25.67</v>
      </c>
      <c r="H175" t="str">
        <f>"ACCT#0802361501 / 01202020"</f>
        <v>ACCT#0802361501 / 01202020</v>
      </c>
    </row>
    <row r="176" spans="1:8" x14ac:dyDescent="0.25">
      <c r="A176" t="s">
        <v>35</v>
      </c>
      <c r="B176">
        <v>130531</v>
      </c>
      <c r="C176" s="2">
        <v>536.07000000000005</v>
      </c>
      <c r="D176" s="1">
        <v>43857</v>
      </c>
      <c r="E176" t="str">
        <f>"202001164661"</f>
        <v>202001164661</v>
      </c>
      <c r="F176" t="str">
        <f>"ACCT#7700010019/CEDAR CREEK PA"</f>
        <v>ACCT#7700010019/CEDAR CREEK PA</v>
      </c>
      <c r="G176" s="2">
        <v>3.07</v>
      </c>
      <c r="H176" t="str">
        <f>"ACCT#7700010019/CEDAR CREEK PA"</f>
        <v>ACCT#7700010019/CEDAR CREEK PA</v>
      </c>
    </row>
    <row r="177" spans="1:8" x14ac:dyDescent="0.25">
      <c r="E177" t="str">
        <f>"202001174677"</f>
        <v>202001174677</v>
      </c>
      <c r="F177" t="str">
        <f>"ACCT#7700010026/32 LDS WTR/P3"</f>
        <v>ACCT#7700010026/32 LDS WTR/P3</v>
      </c>
      <c r="G177" s="2">
        <v>328</v>
      </c>
      <c r="H177" t="str">
        <f>"ACCT#7700010026/32 LDS WTR/P3"</f>
        <v>ACCT#7700010026/32 LDS WTR/P3</v>
      </c>
    </row>
    <row r="178" spans="1:8" x14ac:dyDescent="0.25">
      <c r="E178" t="str">
        <f>"202001174678"</f>
        <v>202001174678</v>
      </c>
      <c r="F178" t="str">
        <f>"ACCT#7700010027/20 LDS WTR/P4"</f>
        <v>ACCT#7700010027/20 LDS WTR/P4</v>
      </c>
      <c r="G178" s="2">
        <v>205</v>
      </c>
      <c r="H178" t="str">
        <f>"ACCT#7700010027/20 LDS WTR/P4"</f>
        <v>ACCT#7700010027/20 LDS WTR/P4</v>
      </c>
    </row>
    <row r="179" spans="1:8" x14ac:dyDescent="0.25">
      <c r="A179" t="s">
        <v>36</v>
      </c>
      <c r="B179">
        <v>2053</v>
      </c>
      <c r="C179" s="2">
        <v>22297.18</v>
      </c>
      <c r="D179" s="1">
        <v>43858</v>
      </c>
      <c r="E179" t="str">
        <f>"14981"</f>
        <v>14981</v>
      </c>
      <c r="F179" t="str">
        <f>"PROJ NAME:BC NOV/DEC ADV"</f>
        <v>PROJ NAME:BC NOV/DEC ADV</v>
      </c>
      <c r="G179" s="2">
        <v>21397.18</v>
      </c>
      <c r="H179" t="str">
        <f>"PROJ NAME:BC NOV/DEC ADV"</f>
        <v>PROJ NAME:BC NOV/DEC ADV</v>
      </c>
    </row>
    <row r="180" spans="1:8" x14ac:dyDescent="0.25">
      <c r="E180" t="str">
        <f>"14982"</f>
        <v>14982</v>
      </c>
      <c r="F180" t="str">
        <f>"PROJ NAME:BC PRO SERV NOV/DEC"</f>
        <v>PROJ NAME:BC PRO SERV NOV/DEC</v>
      </c>
      <c r="G180" s="2">
        <v>900</v>
      </c>
      <c r="H180" t="str">
        <f>"PROJ NAME:BC PRO SERV NOV/DEC"</f>
        <v>PROJ NAME:BC PRO SERV NOV/DEC</v>
      </c>
    </row>
    <row r="181" spans="1:8" x14ac:dyDescent="0.25">
      <c r="A181" t="s">
        <v>37</v>
      </c>
      <c r="B181">
        <v>130350</v>
      </c>
      <c r="C181" s="2">
        <v>5762.01</v>
      </c>
      <c r="D181" s="1">
        <v>43843</v>
      </c>
      <c r="E181" t="str">
        <f>"202001064393"</f>
        <v>202001064393</v>
      </c>
      <c r="F181" t="str">
        <f>"ACCT#512A49-0048 193 3"</f>
        <v>ACCT#512A49-0048 193 3</v>
      </c>
      <c r="G181" s="2">
        <v>5762.01</v>
      </c>
      <c r="H181" t="str">
        <f>"ACCT#512A49-0048 193 3"</f>
        <v>ACCT#512A49-0048 193 3</v>
      </c>
    </row>
    <row r="182" spans="1:8" x14ac:dyDescent="0.25">
      <c r="E182" t="str">
        <f>""</f>
        <v/>
      </c>
      <c r="F182" t="str">
        <f>""</f>
        <v/>
      </c>
      <c r="H182" t="str">
        <f>"ACCT#512A49-0048 193 3"</f>
        <v>ACCT#512A49-0048 193 3</v>
      </c>
    </row>
    <row r="183" spans="1:8" x14ac:dyDescent="0.25">
      <c r="E183" t="str">
        <f>""</f>
        <v/>
      </c>
      <c r="F183" t="str">
        <f>""</f>
        <v/>
      </c>
      <c r="H183" t="str">
        <f>"ACCT#512A49-0048 193 3"</f>
        <v>ACCT#512A49-0048 193 3</v>
      </c>
    </row>
    <row r="184" spans="1:8" x14ac:dyDescent="0.25">
      <c r="E184" t="str">
        <f>""</f>
        <v/>
      </c>
      <c r="F184" t="str">
        <f>""</f>
        <v/>
      </c>
      <c r="H184" t="str">
        <f>"ACCT#512A49-0048 193 3"</f>
        <v>ACCT#512A49-0048 193 3</v>
      </c>
    </row>
    <row r="185" spans="1:8" x14ac:dyDescent="0.25">
      <c r="A185" t="s">
        <v>37</v>
      </c>
      <c r="B185">
        <v>130351</v>
      </c>
      <c r="C185" s="2">
        <v>125</v>
      </c>
      <c r="D185" s="1">
        <v>43843</v>
      </c>
      <c r="E185" t="str">
        <f>"335924"</f>
        <v>335924</v>
      </c>
      <c r="F185" t="str">
        <f>"INV 335924"</f>
        <v>INV 335924</v>
      </c>
      <c r="G185" s="2">
        <v>125</v>
      </c>
      <c r="H185" t="str">
        <f>"INV 335924"</f>
        <v>INV 335924</v>
      </c>
    </row>
    <row r="186" spans="1:8" x14ac:dyDescent="0.25">
      <c r="A186" t="s">
        <v>37</v>
      </c>
      <c r="B186">
        <v>130352</v>
      </c>
      <c r="C186" s="2">
        <v>4559.32</v>
      </c>
      <c r="D186" s="1">
        <v>43843</v>
      </c>
      <c r="E186" t="str">
        <f>"0350302502"</f>
        <v>0350302502</v>
      </c>
      <c r="F186" t="str">
        <f>"ACCT#831-000-6084 095"</f>
        <v>ACCT#831-000-6084 095</v>
      </c>
      <c r="G186" s="2">
        <v>1684.69</v>
      </c>
      <c r="H186" t="str">
        <f>"ACCT#831-000-6084 095"</f>
        <v>ACCT#831-000-6084 095</v>
      </c>
    </row>
    <row r="187" spans="1:8" x14ac:dyDescent="0.25">
      <c r="E187" t="str">
        <f>"1154911507"</f>
        <v>1154911507</v>
      </c>
      <c r="F187" t="str">
        <f>"ACCT#831-000-7919 623"</f>
        <v>ACCT#831-000-7919 623</v>
      </c>
      <c r="G187" s="2">
        <v>2000.38</v>
      </c>
      <c r="H187" t="str">
        <f>"ACCT#831-000-7919 623"</f>
        <v>ACCT#831-000-7919 623</v>
      </c>
    </row>
    <row r="188" spans="1:8" x14ac:dyDescent="0.25">
      <c r="E188" t="str">
        <f>"2395402503"</f>
        <v>2395402503</v>
      </c>
      <c r="F188" t="str">
        <f>"ACCT#831-000-7218 923"</f>
        <v>ACCT#831-000-7218 923</v>
      </c>
      <c r="G188" s="2">
        <v>874.25</v>
      </c>
      <c r="H188" t="str">
        <f>"ACCT#831-000-7218 923"</f>
        <v>ACCT#831-000-7218 923</v>
      </c>
    </row>
    <row r="189" spans="1:8" x14ac:dyDescent="0.25">
      <c r="A189" t="s">
        <v>37</v>
      </c>
      <c r="B189">
        <v>130353</v>
      </c>
      <c r="C189" s="2">
        <v>493.47</v>
      </c>
      <c r="D189" s="1">
        <v>43843</v>
      </c>
      <c r="E189" t="str">
        <f>"202001074435"</f>
        <v>202001074435</v>
      </c>
      <c r="F189" t="str">
        <f>"ACCT#512 308-9870 530 7"</f>
        <v>ACCT#512 308-9870 530 7</v>
      </c>
      <c r="G189" s="2">
        <v>493.47</v>
      </c>
      <c r="H189" t="str">
        <f>"ACCT#512 308-9870 530 7"</f>
        <v>ACCT#512 308-9870 530 7</v>
      </c>
    </row>
    <row r="190" spans="1:8" x14ac:dyDescent="0.25">
      <c r="A190" t="s">
        <v>37</v>
      </c>
      <c r="B190">
        <v>130532</v>
      </c>
      <c r="C190" s="2">
        <v>1806.68</v>
      </c>
      <c r="D190" s="1">
        <v>43857</v>
      </c>
      <c r="E190" t="str">
        <f>"51230310802385"</f>
        <v>51230310802385</v>
      </c>
      <c r="F190" t="str">
        <f>"ACCT. 51230310802385"</f>
        <v>ACCT. 51230310802385</v>
      </c>
      <c r="G190" s="2">
        <v>1806.68</v>
      </c>
      <c r="H190" t="str">
        <f>"51230310802385 - LE"</f>
        <v>51230310802385 - LE</v>
      </c>
    </row>
    <row r="191" spans="1:8" x14ac:dyDescent="0.25">
      <c r="E191" t="str">
        <f>""</f>
        <v/>
      </c>
      <c r="F191" t="str">
        <f>""</f>
        <v/>
      </c>
      <c r="H191" t="str">
        <f>"51230310802385 -JAIL"</f>
        <v>51230310802385 -JAIL</v>
      </c>
    </row>
    <row r="192" spans="1:8" x14ac:dyDescent="0.25">
      <c r="A192" t="s">
        <v>38</v>
      </c>
      <c r="B192">
        <v>130354</v>
      </c>
      <c r="C192" s="2">
        <v>4438.8999999999996</v>
      </c>
      <c r="D192" s="1">
        <v>43843</v>
      </c>
      <c r="E192" t="str">
        <f>"263291654X12202019"</f>
        <v>263291654X12202019</v>
      </c>
      <c r="F192" t="str">
        <f>"ACCT#287263291654"</f>
        <v>ACCT#287263291654</v>
      </c>
      <c r="G192" s="2">
        <v>1302.67</v>
      </c>
      <c r="H192" t="str">
        <f t="shared" ref="H192:H206" si="6">"ACCT#287263291654"</f>
        <v>ACCT#287263291654</v>
      </c>
    </row>
    <row r="193" spans="5:8" x14ac:dyDescent="0.25">
      <c r="E193" t="str">
        <f>""</f>
        <v/>
      </c>
      <c r="F193" t="str">
        <f>""</f>
        <v/>
      </c>
      <c r="H193" t="str">
        <f t="shared" si="6"/>
        <v>ACCT#287263291654</v>
      </c>
    </row>
    <row r="194" spans="5:8" x14ac:dyDescent="0.25">
      <c r="E194" t="str">
        <f>""</f>
        <v/>
      </c>
      <c r="F194" t="str">
        <f>""</f>
        <v/>
      </c>
      <c r="H194" t="str">
        <f t="shared" si="6"/>
        <v>ACCT#287263291654</v>
      </c>
    </row>
    <row r="195" spans="5:8" x14ac:dyDescent="0.25">
      <c r="E195" t="str">
        <f>""</f>
        <v/>
      </c>
      <c r="F195" t="str">
        <f>""</f>
        <v/>
      </c>
      <c r="H195" t="str">
        <f t="shared" si="6"/>
        <v>ACCT#287263291654</v>
      </c>
    </row>
    <row r="196" spans="5:8" x14ac:dyDescent="0.25">
      <c r="E196" t="str">
        <f>""</f>
        <v/>
      </c>
      <c r="F196" t="str">
        <f>""</f>
        <v/>
      </c>
      <c r="H196" t="str">
        <f t="shared" si="6"/>
        <v>ACCT#287263291654</v>
      </c>
    </row>
    <row r="197" spans="5:8" x14ac:dyDescent="0.25">
      <c r="E197" t="str">
        <f>""</f>
        <v/>
      </c>
      <c r="F197" t="str">
        <f>""</f>
        <v/>
      </c>
      <c r="H197" t="str">
        <f t="shared" si="6"/>
        <v>ACCT#287263291654</v>
      </c>
    </row>
    <row r="198" spans="5:8" x14ac:dyDescent="0.25">
      <c r="E198" t="str">
        <f>""</f>
        <v/>
      </c>
      <c r="F198" t="str">
        <f>""</f>
        <v/>
      </c>
      <c r="H198" t="str">
        <f t="shared" si="6"/>
        <v>ACCT#287263291654</v>
      </c>
    </row>
    <row r="199" spans="5:8" x14ac:dyDescent="0.25">
      <c r="E199" t="str">
        <f>""</f>
        <v/>
      </c>
      <c r="F199" t="str">
        <f>""</f>
        <v/>
      </c>
      <c r="H199" t="str">
        <f t="shared" si="6"/>
        <v>ACCT#287263291654</v>
      </c>
    </row>
    <row r="200" spans="5:8" x14ac:dyDescent="0.25">
      <c r="E200" t="str">
        <f>""</f>
        <v/>
      </c>
      <c r="F200" t="str">
        <f>""</f>
        <v/>
      </c>
      <c r="H200" t="str">
        <f t="shared" si="6"/>
        <v>ACCT#287263291654</v>
      </c>
    </row>
    <row r="201" spans="5:8" x14ac:dyDescent="0.25">
      <c r="E201" t="str">
        <f>""</f>
        <v/>
      </c>
      <c r="F201" t="str">
        <f>""</f>
        <v/>
      </c>
      <c r="H201" t="str">
        <f t="shared" si="6"/>
        <v>ACCT#287263291654</v>
      </c>
    </row>
    <row r="202" spans="5:8" x14ac:dyDescent="0.25">
      <c r="E202" t="str">
        <f>""</f>
        <v/>
      </c>
      <c r="F202" t="str">
        <f>""</f>
        <v/>
      </c>
      <c r="H202" t="str">
        <f t="shared" si="6"/>
        <v>ACCT#287263291654</v>
      </c>
    </row>
    <row r="203" spans="5:8" x14ac:dyDescent="0.25">
      <c r="E203" t="str">
        <f>""</f>
        <v/>
      </c>
      <c r="F203" t="str">
        <f>""</f>
        <v/>
      </c>
      <c r="H203" t="str">
        <f t="shared" si="6"/>
        <v>ACCT#287263291654</v>
      </c>
    </row>
    <row r="204" spans="5:8" x14ac:dyDescent="0.25">
      <c r="E204" t="str">
        <f>""</f>
        <v/>
      </c>
      <c r="F204" t="str">
        <f>""</f>
        <v/>
      </c>
      <c r="H204" t="str">
        <f t="shared" si="6"/>
        <v>ACCT#287263291654</v>
      </c>
    </row>
    <row r="205" spans="5:8" x14ac:dyDescent="0.25">
      <c r="E205" t="str">
        <f>""</f>
        <v/>
      </c>
      <c r="F205" t="str">
        <f>""</f>
        <v/>
      </c>
      <c r="H205" t="str">
        <f t="shared" si="6"/>
        <v>ACCT#287263291654</v>
      </c>
    </row>
    <row r="206" spans="5:8" x14ac:dyDescent="0.25">
      <c r="E206" t="str">
        <f>""</f>
        <v/>
      </c>
      <c r="F206" t="str">
        <f>""</f>
        <v/>
      </c>
      <c r="H206" t="str">
        <f t="shared" si="6"/>
        <v>ACCT#287263291654</v>
      </c>
    </row>
    <row r="207" spans="5:8" x14ac:dyDescent="0.25">
      <c r="E207" t="str">
        <f>"287280903541X12202"</f>
        <v>287280903541X12202</v>
      </c>
      <c r="F207" t="str">
        <f>"INV 287280903541X12202019"</f>
        <v>INV 287280903541X12202019</v>
      </c>
      <c r="G207" s="2">
        <v>218.72</v>
      </c>
      <c r="H207" t="str">
        <f>"INV 287280903541X12202019"</f>
        <v>INV 287280903541X12202019</v>
      </c>
    </row>
    <row r="208" spans="5:8" x14ac:dyDescent="0.25">
      <c r="E208" t="str">
        <f>"287290524359X12272"</f>
        <v>287290524359X12272</v>
      </c>
      <c r="F208" t="str">
        <f>"ACCT#287290524359"</f>
        <v>ACCT#287290524359</v>
      </c>
      <c r="G208" s="2">
        <v>2917.51</v>
      </c>
      <c r="H208" t="str">
        <f t="shared" ref="H208:H213" si="7">"ACCT#287290524359"</f>
        <v>ACCT#287290524359</v>
      </c>
    </row>
    <row r="209" spans="1:8" x14ac:dyDescent="0.25">
      <c r="E209" t="str">
        <f>""</f>
        <v/>
      </c>
      <c r="F209" t="str">
        <f>""</f>
        <v/>
      </c>
      <c r="H209" t="str">
        <f t="shared" si="7"/>
        <v>ACCT#287290524359</v>
      </c>
    </row>
    <row r="210" spans="1:8" x14ac:dyDescent="0.25">
      <c r="E210" t="str">
        <f>""</f>
        <v/>
      </c>
      <c r="F210" t="str">
        <f>""</f>
        <v/>
      </c>
      <c r="H210" t="str">
        <f t="shared" si="7"/>
        <v>ACCT#287290524359</v>
      </c>
    </row>
    <row r="211" spans="1:8" x14ac:dyDescent="0.25">
      <c r="E211" t="str">
        <f>""</f>
        <v/>
      </c>
      <c r="F211" t="str">
        <f>""</f>
        <v/>
      </c>
      <c r="H211" t="str">
        <f t="shared" si="7"/>
        <v>ACCT#287290524359</v>
      </c>
    </row>
    <row r="212" spans="1:8" x14ac:dyDescent="0.25">
      <c r="E212" t="str">
        <f>""</f>
        <v/>
      </c>
      <c r="F212" t="str">
        <f>""</f>
        <v/>
      </c>
      <c r="H212" t="str">
        <f t="shared" si="7"/>
        <v>ACCT#287290524359</v>
      </c>
    </row>
    <row r="213" spans="1:8" x14ac:dyDescent="0.25">
      <c r="E213" t="str">
        <f>""</f>
        <v/>
      </c>
      <c r="F213" t="str">
        <f>""</f>
        <v/>
      </c>
      <c r="H213" t="str">
        <f t="shared" si="7"/>
        <v>ACCT#287290524359</v>
      </c>
    </row>
    <row r="214" spans="1:8" x14ac:dyDescent="0.25">
      <c r="A214" t="s">
        <v>38</v>
      </c>
      <c r="B214">
        <v>130533</v>
      </c>
      <c r="C214" s="2">
        <v>1520.58</v>
      </c>
      <c r="D214" s="1">
        <v>43857</v>
      </c>
      <c r="E214" t="str">
        <f>"287263291654X0120"</f>
        <v>287263291654X0120</v>
      </c>
      <c r="F214" t="str">
        <f>"ACCT#287263291654"</f>
        <v>ACCT#287263291654</v>
      </c>
      <c r="G214" s="2">
        <v>1302.67</v>
      </c>
      <c r="H214" t="str">
        <f t="shared" ref="H214:H228" si="8">"ACCT#287263291654"</f>
        <v>ACCT#287263291654</v>
      </c>
    </row>
    <row r="215" spans="1:8" x14ac:dyDescent="0.25">
      <c r="E215" t="str">
        <f>""</f>
        <v/>
      </c>
      <c r="F215" t="str">
        <f>""</f>
        <v/>
      </c>
      <c r="H215" t="str">
        <f t="shared" si="8"/>
        <v>ACCT#287263291654</v>
      </c>
    </row>
    <row r="216" spans="1:8" x14ac:dyDescent="0.25">
      <c r="E216" t="str">
        <f>""</f>
        <v/>
      </c>
      <c r="F216" t="str">
        <f>""</f>
        <v/>
      </c>
      <c r="H216" t="str">
        <f t="shared" si="8"/>
        <v>ACCT#287263291654</v>
      </c>
    </row>
    <row r="217" spans="1:8" x14ac:dyDescent="0.25">
      <c r="E217" t="str">
        <f>""</f>
        <v/>
      </c>
      <c r="F217" t="str">
        <f>""</f>
        <v/>
      </c>
      <c r="H217" t="str">
        <f t="shared" si="8"/>
        <v>ACCT#287263291654</v>
      </c>
    </row>
    <row r="218" spans="1:8" x14ac:dyDescent="0.25">
      <c r="E218" t="str">
        <f>""</f>
        <v/>
      </c>
      <c r="F218" t="str">
        <f>""</f>
        <v/>
      </c>
      <c r="H218" t="str">
        <f t="shared" si="8"/>
        <v>ACCT#287263291654</v>
      </c>
    </row>
    <row r="219" spans="1:8" x14ac:dyDescent="0.25">
      <c r="E219" t="str">
        <f>""</f>
        <v/>
      </c>
      <c r="F219" t="str">
        <f>""</f>
        <v/>
      </c>
      <c r="H219" t="str">
        <f t="shared" si="8"/>
        <v>ACCT#287263291654</v>
      </c>
    </row>
    <row r="220" spans="1:8" x14ac:dyDescent="0.25">
      <c r="E220" t="str">
        <f>""</f>
        <v/>
      </c>
      <c r="F220" t="str">
        <f>""</f>
        <v/>
      </c>
      <c r="H220" t="str">
        <f t="shared" si="8"/>
        <v>ACCT#287263291654</v>
      </c>
    </row>
    <row r="221" spans="1:8" x14ac:dyDescent="0.25">
      <c r="E221" t="str">
        <f>""</f>
        <v/>
      </c>
      <c r="F221" t="str">
        <f>""</f>
        <v/>
      </c>
      <c r="H221" t="str">
        <f t="shared" si="8"/>
        <v>ACCT#287263291654</v>
      </c>
    </row>
    <row r="222" spans="1:8" x14ac:dyDescent="0.25">
      <c r="E222" t="str">
        <f>""</f>
        <v/>
      </c>
      <c r="F222" t="str">
        <f>""</f>
        <v/>
      </c>
      <c r="H222" t="str">
        <f t="shared" si="8"/>
        <v>ACCT#287263291654</v>
      </c>
    </row>
    <row r="223" spans="1:8" x14ac:dyDescent="0.25">
      <c r="E223" t="str">
        <f>""</f>
        <v/>
      </c>
      <c r="F223" t="str">
        <f>""</f>
        <v/>
      </c>
      <c r="H223" t="str">
        <f t="shared" si="8"/>
        <v>ACCT#287263291654</v>
      </c>
    </row>
    <row r="224" spans="1:8" x14ac:dyDescent="0.25">
      <c r="E224" t="str">
        <f>""</f>
        <v/>
      </c>
      <c r="F224" t="str">
        <f>""</f>
        <v/>
      </c>
      <c r="H224" t="str">
        <f t="shared" si="8"/>
        <v>ACCT#287263291654</v>
      </c>
    </row>
    <row r="225" spans="1:8" x14ac:dyDescent="0.25">
      <c r="E225" t="str">
        <f>""</f>
        <v/>
      </c>
      <c r="F225" t="str">
        <f>""</f>
        <v/>
      </c>
      <c r="H225" t="str">
        <f t="shared" si="8"/>
        <v>ACCT#287263291654</v>
      </c>
    </row>
    <row r="226" spans="1:8" x14ac:dyDescent="0.25">
      <c r="E226" t="str">
        <f>""</f>
        <v/>
      </c>
      <c r="F226" t="str">
        <f>""</f>
        <v/>
      </c>
      <c r="H226" t="str">
        <f t="shared" si="8"/>
        <v>ACCT#287263291654</v>
      </c>
    </row>
    <row r="227" spans="1:8" x14ac:dyDescent="0.25">
      <c r="E227" t="str">
        <f>""</f>
        <v/>
      </c>
      <c r="F227" t="str">
        <f>""</f>
        <v/>
      </c>
      <c r="H227" t="str">
        <f t="shared" si="8"/>
        <v>ACCT#287263291654</v>
      </c>
    </row>
    <row r="228" spans="1:8" x14ac:dyDescent="0.25">
      <c r="E228" t="str">
        <f>""</f>
        <v/>
      </c>
      <c r="F228" t="str">
        <f>""</f>
        <v/>
      </c>
      <c r="H228" t="str">
        <f t="shared" si="8"/>
        <v>ACCT#287263291654</v>
      </c>
    </row>
    <row r="229" spans="1:8" x14ac:dyDescent="0.25">
      <c r="E229" t="str">
        <f>"287280903541X01202"</f>
        <v>287280903541X01202</v>
      </c>
      <c r="F229" t="str">
        <f>"INV 287280903541X01202020"</f>
        <v>INV 287280903541X01202020</v>
      </c>
      <c r="G229" s="2">
        <v>217.91</v>
      </c>
      <c r="H229" t="str">
        <f>"INV 287280903541X01202020"</f>
        <v>INV 287280903541X01202020</v>
      </c>
    </row>
    <row r="230" spans="1:8" x14ac:dyDescent="0.25">
      <c r="A230" t="s">
        <v>39</v>
      </c>
      <c r="B230">
        <v>130355</v>
      </c>
      <c r="C230" s="2">
        <v>219.95</v>
      </c>
      <c r="D230" s="1">
        <v>43843</v>
      </c>
      <c r="E230" t="str">
        <f>"99999901042715"</f>
        <v>99999901042715</v>
      </c>
      <c r="F230" t="str">
        <f>"MEOLOXICAM/ANIMAL SERVICES"</f>
        <v>MEOLOXICAM/ANIMAL SERVICES</v>
      </c>
      <c r="G230" s="2">
        <v>219.95</v>
      </c>
      <c r="H230" t="str">
        <f>"MEOLOXICAM/ANIMAL SERVICES"</f>
        <v>MEOLOXICAM/ANIMAL SERVICES</v>
      </c>
    </row>
    <row r="231" spans="1:8" x14ac:dyDescent="0.25">
      <c r="A231" t="s">
        <v>40</v>
      </c>
      <c r="B231">
        <v>130534</v>
      </c>
      <c r="C231" s="2">
        <v>227.88</v>
      </c>
      <c r="D231" s="1">
        <v>43857</v>
      </c>
      <c r="E231" t="str">
        <f>"5373859"</f>
        <v>5373859</v>
      </c>
      <c r="F231" t="str">
        <f>"1 YR SUBSCRIPTION/COUNTY JUDGE"</f>
        <v>1 YR SUBSCRIPTION/COUNTY JUDGE</v>
      </c>
      <c r="G231" s="2">
        <v>227.88</v>
      </c>
      <c r="H231" t="str">
        <f>"1 YR SUBSCRIPTION/COUNTY JUDGE"</f>
        <v>1 YR SUBSCRIPTION/COUNTY JUDGE</v>
      </c>
    </row>
    <row r="232" spans="1:8" x14ac:dyDescent="0.25">
      <c r="A232" t="s">
        <v>41</v>
      </c>
      <c r="B232">
        <v>2028</v>
      </c>
      <c r="C232" s="2">
        <v>79.62</v>
      </c>
      <c r="D232" s="1">
        <v>43844</v>
      </c>
      <c r="E232" t="str">
        <f>"4618*03115*1"</f>
        <v>4618*03115*1</v>
      </c>
      <c r="F232" t="str">
        <f>"JAIL MEDICAL"</f>
        <v>JAIL MEDICAL</v>
      </c>
      <c r="G232" s="2">
        <v>79.62</v>
      </c>
      <c r="H232" t="str">
        <f>"JAIL MEDICAL"</f>
        <v>JAIL MEDICAL</v>
      </c>
    </row>
    <row r="233" spans="1:8" x14ac:dyDescent="0.25">
      <c r="A233" t="s">
        <v>42</v>
      </c>
      <c r="B233">
        <v>130535</v>
      </c>
      <c r="C233" s="2">
        <v>1983.98</v>
      </c>
      <c r="D233" s="1">
        <v>43857</v>
      </c>
      <c r="E233" t="str">
        <f>"0015"</f>
        <v>0015</v>
      </c>
      <c r="F233" t="str">
        <f>"INV &amp; DOC OF CULVERTS/PCT#2"</f>
        <v>INV &amp; DOC OF CULVERTS/PCT#2</v>
      </c>
      <c r="G233" s="2">
        <v>1983.98</v>
      </c>
      <c r="H233" t="str">
        <f>"INV &amp; DOC OF CULVERTS/PCT#2"</f>
        <v>INV &amp; DOC OF CULVERTS/PCT#2</v>
      </c>
    </row>
    <row r="234" spans="1:8" x14ac:dyDescent="0.25">
      <c r="A234" t="s">
        <v>43</v>
      </c>
      <c r="B234">
        <v>130536</v>
      </c>
      <c r="C234" s="2">
        <v>170.54</v>
      </c>
      <c r="D234" s="1">
        <v>43857</v>
      </c>
      <c r="E234" t="str">
        <f>"202001214711"</f>
        <v>202001214711</v>
      </c>
      <c r="F234" t="str">
        <f>"INDIGENT HEALTH"</f>
        <v>INDIGENT HEALTH</v>
      </c>
      <c r="G234" s="2">
        <v>170.54</v>
      </c>
      <c r="H234" t="str">
        <f>"INDIGENT HEALTH"</f>
        <v>INDIGENT HEALTH</v>
      </c>
    </row>
    <row r="235" spans="1:8" x14ac:dyDescent="0.25">
      <c r="A235" t="s">
        <v>44</v>
      </c>
      <c r="B235">
        <v>130356</v>
      </c>
      <c r="C235" s="2">
        <v>14616</v>
      </c>
      <c r="D235" s="1">
        <v>43843</v>
      </c>
      <c r="E235" t="str">
        <f>"SI-1628698"</f>
        <v>SI-1628698</v>
      </c>
      <c r="F235" t="str">
        <f>"Taser Order"</f>
        <v>Taser Order</v>
      </c>
      <c r="G235" s="2">
        <v>14616</v>
      </c>
      <c r="H235" t="str">
        <f>"Black X26 CEW"</f>
        <v>Black X26 CEW</v>
      </c>
    </row>
    <row r="236" spans="1:8" x14ac:dyDescent="0.25">
      <c r="E236" t="str">
        <f>""</f>
        <v/>
      </c>
      <c r="F236" t="str">
        <f>""</f>
        <v/>
      </c>
      <c r="H236" t="str">
        <f>"PPM Battery Pack"</f>
        <v>PPM Battery Pack</v>
      </c>
    </row>
    <row r="237" spans="1:8" x14ac:dyDescent="0.25">
      <c r="E237" t="str">
        <f>""</f>
        <v/>
      </c>
      <c r="F237" t="str">
        <f>""</f>
        <v/>
      </c>
      <c r="H237" t="str">
        <f>"XPPM Spare"</f>
        <v>XPPM Spare</v>
      </c>
    </row>
    <row r="238" spans="1:8" x14ac:dyDescent="0.25">
      <c r="E238" t="str">
        <f>""</f>
        <v/>
      </c>
      <c r="F238" t="str">
        <f>""</f>
        <v/>
      </c>
      <c r="H238" t="str">
        <f>"Right Holster"</f>
        <v>Right Holster</v>
      </c>
    </row>
    <row r="239" spans="1:8" x14ac:dyDescent="0.25">
      <c r="E239" t="str">
        <f>""</f>
        <v/>
      </c>
      <c r="F239" t="str">
        <f>""</f>
        <v/>
      </c>
      <c r="H239" t="str">
        <f>"Left Holster"</f>
        <v>Left Holster</v>
      </c>
    </row>
    <row r="240" spans="1:8" x14ac:dyDescent="0.25">
      <c r="A240" t="s">
        <v>45</v>
      </c>
      <c r="B240">
        <v>2071</v>
      </c>
      <c r="C240" s="2">
        <v>2635</v>
      </c>
      <c r="D240" s="1">
        <v>43858</v>
      </c>
      <c r="E240" t="str">
        <f>"716"</f>
        <v>716</v>
      </c>
      <c r="F240" t="str">
        <f>"B SOLVED TANK CLEANER/PCT#1"</f>
        <v>B SOLVED TANK CLEANER/PCT#1</v>
      </c>
      <c r="G240" s="2">
        <v>2635</v>
      </c>
      <c r="H240" t="str">
        <f>"B SOLVED TANK CLEANER/PCT#1"</f>
        <v>B SOLVED TANK CLEANER/PCT#1</v>
      </c>
    </row>
    <row r="241" spans="1:9" x14ac:dyDescent="0.25">
      <c r="A241" t="s">
        <v>46</v>
      </c>
      <c r="B241">
        <v>2007</v>
      </c>
      <c r="C241" s="2">
        <v>1388.01</v>
      </c>
      <c r="D241" s="1">
        <v>43844</v>
      </c>
      <c r="E241" t="str">
        <f>"202001084584"</f>
        <v>202001084584</v>
      </c>
      <c r="F241" t="str">
        <f>"CUST ID:0010/PCT#2"</f>
        <v>CUST ID:0010/PCT#2</v>
      </c>
      <c r="G241" s="2">
        <v>856.5</v>
      </c>
      <c r="H241" t="str">
        <f>"CUST ID:0010/PCT#2"</f>
        <v>CUST ID:0010/PCT#2</v>
      </c>
    </row>
    <row r="242" spans="1:9" x14ac:dyDescent="0.25">
      <c r="E242" t="str">
        <f>"367761"</f>
        <v>367761</v>
      </c>
      <c r="F242" t="str">
        <f>"2015 FORD/BALANCE TIRES/ANIMAL"</f>
        <v>2015 FORD/BALANCE TIRES/ANIMAL</v>
      </c>
      <c r="G242" s="2">
        <v>398.98</v>
      </c>
      <c r="H242" t="str">
        <f>"2015 FORD/BALANCE TIRES/ANIMAL"</f>
        <v>2015 FORD/BALANCE TIRES/ANIMAL</v>
      </c>
    </row>
    <row r="243" spans="1:9" x14ac:dyDescent="0.25">
      <c r="E243" t="str">
        <f>"367952"</f>
        <v>367952</v>
      </c>
      <c r="F243" t="str">
        <f>"CUST ID:0011/PCT#3"</f>
        <v>CUST ID:0011/PCT#3</v>
      </c>
      <c r="G243" s="2">
        <v>65</v>
      </c>
      <c r="H243" t="str">
        <f>"CUST ID:0011/PCT#3"</f>
        <v>CUST ID:0011/PCT#3</v>
      </c>
    </row>
    <row r="244" spans="1:9" x14ac:dyDescent="0.25">
      <c r="E244" t="str">
        <f>"368093"</f>
        <v>368093</v>
      </c>
      <c r="F244" t="str">
        <f>"2010 CHEV/OIL/FILTER/WASTE"</f>
        <v>2010 CHEV/OIL/FILTER/WASTE</v>
      </c>
      <c r="G244" s="2">
        <v>67.53</v>
      </c>
      <c r="H244" t="str">
        <f>"2010 CHEV/OIL/FILTER/WASTE"</f>
        <v>2010 CHEV/OIL/FILTER/WASTE</v>
      </c>
    </row>
    <row r="245" spans="1:9" x14ac:dyDescent="0.25">
      <c r="A245" t="s">
        <v>47</v>
      </c>
      <c r="B245">
        <v>2043</v>
      </c>
      <c r="C245" s="2">
        <v>28300</v>
      </c>
      <c r="D245" s="1">
        <v>43858</v>
      </c>
      <c r="E245" t="str">
        <f>"1550"</f>
        <v>1550</v>
      </c>
      <c r="F245" t="str">
        <f>"EDUARDO BARRIENTOS"</f>
        <v>EDUARDO BARRIENTOS</v>
      </c>
      <c r="G245" s="2">
        <v>19500</v>
      </c>
      <c r="H245" t="str">
        <f>"Cedar Hills Drive"</f>
        <v>Cedar Hills Drive</v>
      </c>
    </row>
    <row r="246" spans="1:9" x14ac:dyDescent="0.25">
      <c r="E246" t="str">
        <f>"1551"</f>
        <v>1551</v>
      </c>
      <c r="F246" t="str">
        <f>"TREE REMOVAL"</f>
        <v>TREE REMOVAL</v>
      </c>
      <c r="G246" s="2">
        <v>3300</v>
      </c>
      <c r="H246" t="str">
        <f>"TREE REMOVAL"</f>
        <v>TREE REMOVAL</v>
      </c>
    </row>
    <row r="247" spans="1:9" x14ac:dyDescent="0.25">
      <c r="E247" t="str">
        <f>"1552"</f>
        <v>1552</v>
      </c>
      <c r="F247" t="str">
        <f>"TREE REMOVAL / P2"</f>
        <v>TREE REMOVAL / P2</v>
      </c>
      <c r="G247" s="2">
        <v>3900</v>
      </c>
      <c r="H247" t="str">
        <f>"TREE REMOVAL / P2"</f>
        <v>TREE REMOVAL / P2</v>
      </c>
    </row>
    <row r="248" spans="1:9" x14ac:dyDescent="0.25">
      <c r="E248" t="str">
        <f>"1553"</f>
        <v>1553</v>
      </c>
      <c r="F248" t="str">
        <f>"TREE REMOVAL / P2"</f>
        <v>TREE REMOVAL / P2</v>
      </c>
      <c r="G248" s="2">
        <v>1600</v>
      </c>
      <c r="H248" t="str">
        <f>"TREE REMOVAL / P2"</f>
        <v>TREE REMOVAL / P2</v>
      </c>
    </row>
    <row r="249" spans="1:9" x14ac:dyDescent="0.25">
      <c r="A249" t="s">
        <v>48</v>
      </c>
      <c r="B249">
        <v>130537</v>
      </c>
      <c r="C249" s="2">
        <v>265</v>
      </c>
      <c r="D249" s="1">
        <v>43857</v>
      </c>
      <c r="E249" t="str">
        <f>"17029"</f>
        <v>17029</v>
      </c>
      <c r="F249" t="str">
        <f>"SVC CALL/ENVIRONMENTAL FEE"</f>
        <v>SVC CALL/ENVIRONMENTAL FEE</v>
      </c>
      <c r="G249" s="2">
        <v>265</v>
      </c>
      <c r="H249" t="str">
        <f>"SVC CALL/ENVIRONMENTAL FEE"</f>
        <v>SVC CALL/ENVIRONMENTAL FEE</v>
      </c>
    </row>
    <row r="250" spans="1:9" x14ac:dyDescent="0.25">
      <c r="A250" t="s">
        <v>49</v>
      </c>
      <c r="B250">
        <v>130357</v>
      </c>
      <c r="C250" s="2">
        <v>4864</v>
      </c>
      <c r="D250" s="1">
        <v>43843</v>
      </c>
      <c r="E250" t="s">
        <v>50</v>
      </c>
      <c r="F250" t="s">
        <v>51</v>
      </c>
      <c r="G250" s="2" t="str">
        <f>"SERVICE"</f>
        <v>SERVICE</v>
      </c>
      <c r="H250" t="str">
        <f>"995-4110"</f>
        <v>995-4110</v>
      </c>
      <c r="I250" t="str">
        <f>""</f>
        <v/>
      </c>
    </row>
    <row r="251" spans="1:9" x14ac:dyDescent="0.25">
      <c r="E251" t="s">
        <v>52</v>
      </c>
      <c r="F251" t="s">
        <v>53</v>
      </c>
      <c r="G251" s="2" t="str">
        <f>"SERVICE"</f>
        <v>SERVICE</v>
      </c>
      <c r="H251" t="str">
        <f>"995-4110"</f>
        <v>995-4110</v>
      </c>
      <c r="I251" t="str">
        <f>""</f>
        <v/>
      </c>
    </row>
    <row r="252" spans="1:9" x14ac:dyDescent="0.25">
      <c r="E252" t="str">
        <f>"12205  10/31/19"</f>
        <v>12205  10/31/19</v>
      </c>
      <c r="F252" t="str">
        <f t="shared" ref="F252:F265" si="9">"SERVICE"</f>
        <v>SERVICE</v>
      </c>
      <c r="G252" s="2">
        <v>100</v>
      </c>
      <c r="H252" t="str">
        <f t="shared" ref="H252:H265" si="10">"SERVICE"</f>
        <v>SERVICE</v>
      </c>
    </row>
    <row r="253" spans="1:9" x14ac:dyDescent="0.25">
      <c r="E253" t="str">
        <f>"12329  11/05/19"</f>
        <v>12329  11/05/19</v>
      </c>
      <c r="F253" t="str">
        <f t="shared" si="9"/>
        <v>SERVICE</v>
      </c>
      <c r="G253" s="2">
        <v>1004</v>
      </c>
      <c r="H253" t="str">
        <f t="shared" si="10"/>
        <v>SERVICE</v>
      </c>
    </row>
    <row r="254" spans="1:9" x14ac:dyDescent="0.25">
      <c r="E254" t="str">
        <f>"12609"</f>
        <v>12609</v>
      </c>
      <c r="F254" t="str">
        <f t="shared" si="9"/>
        <v>SERVICE</v>
      </c>
      <c r="G254" s="2">
        <v>225</v>
      </c>
      <c r="H254" t="str">
        <f t="shared" si="10"/>
        <v>SERVICE</v>
      </c>
    </row>
    <row r="255" spans="1:9" x14ac:dyDescent="0.25">
      <c r="E255" t="str">
        <f>"12785"</f>
        <v>12785</v>
      </c>
      <c r="F255" t="str">
        <f t="shared" si="9"/>
        <v>SERVICE</v>
      </c>
      <c r="G255" s="2">
        <v>250</v>
      </c>
      <c r="H255" t="str">
        <f t="shared" si="10"/>
        <v>SERVICE</v>
      </c>
    </row>
    <row r="256" spans="1:9" x14ac:dyDescent="0.25">
      <c r="E256" t="str">
        <f>"12830"</f>
        <v>12830</v>
      </c>
      <c r="F256" t="str">
        <f t="shared" si="9"/>
        <v>SERVICE</v>
      </c>
      <c r="G256" s="2">
        <v>475</v>
      </c>
      <c r="H256" t="str">
        <f t="shared" si="10"/>
        <v>SERVICE</v>
      </c>
    </row>
    <row r="257" spans="1:8" x14ac:dyDescent="0.25">
      <c r="E257" t="str">
        <f>"13072"</f>
        <v>13072</v>
      </c>
      <c r="F257" t="str">
        <f t="shared" si="9"/>
        <v>SERVICE</v>
      </c>
      <c r="G257" s="2">
        <v>75</v>
      </c>
      <c r="H257" t="str">
        <f t="shared" si="10"/>
        <v>SERVICE</v>
      </c>
    </row>
    <row r="258" spans="1:8" x14ac:dyDescent="0.25">
      <c r="E258" t="str">
        <f>"13091"</f>
        <v>13091</v>
      </c>
      <c r="F258" t="str">
        <f t="shared" si="9"/>
        <v>SERVICE</v>
      </c>
      <c r="G258" s="2">
        <v>400</v>
      </c>
      <c r="H258" t="str">
        <f t="shared" si="10"/>
        <v>SERVICE</v>
      </c>
    </row>
    <row r="259" spans="1:8" x14ac:dyDescent="0.25">
      <c r="E259" t="str">
        <f>"13121"</f>
        <v>13121</v>
      </c>
      <c r="F259" t="str">
        <f t="shared" si="9"/>
        <v>SERVICE</v>
      </c>
      <c r="G259" s="2">
        <v>400</v>
      </c>
      <c r="H259" t="str">
        <f t="shared" si="10"/>
        <v>SERVICE</v>
      </c>
    </row>
    <row r="260" spans="1:8" x14ac:dyDescent="0.25">
      <c r="E260" t="str">
        <f>"13172"</f>
        <v>13172</v>
      </c>
      <c r="F260" t="str">
        <f t="shared" si="9"/>
        <v>SERVICE</v>
      </c>
      <c r="G260" s="2">
        <v>75</v>
      </c>
      <c r="H260" t="str">
        <f t="shared" si="10"/>
        <v>SERVICE</v>
      </c>
    </row>
    <row r="261" spans="1:8" x14ac:dyDescent="0.25">
      <c r="E261" t="str">
        <f>"13178"</f>
        <v>13178</v>
      </c>
      <c r="F261" t="str">
        <f t="shared" si="9"/>
        <v>SERVICE</v>
      </c>
      <c r="G261" s="2">
        <v>325</v>
      </c>
      <c r="H261" t="str">
        <f t="shared" si="10"/>
        <v>SERVICE</v>
      </c>
    </row>
    <row r="262" spans="1:8" x14ac:dyDescent="0.25">
      <c r="E262" t="str">
        <f>"13203"</f>
        <v>13203</v>
      </c>
      <c r="F262" t="str">
        <f t="shared" si="9"/>
        <v>SERVICE</v>
      </c>
      <c r="G262" s="2">
        <v>325</v>
      </c>
      <c r="H262" t="str">
        <f t="shared" si="10"/>
        <v>SERVICE</v>
      </c>
    </row>
    <row r="263" spans="1:8" x14ac:dyDescent="0.25">
      <c r="E263" t="str">
        <f>"13259"</f>
        <v>13259</v>
      </c>
      <c r="F263" t="str">
        <f t="shared" si="9"/>
        <v>SERVICE</v>
      </c>
      <c r="G263" s="2">
        <v>225</v>
      </c>
      <c r="H263" t="str">
        <f t="shared" si="10"/>
        <v>SERVICE</v>
      </c>
    </row>
    <row r="264" spans="1:8" x14ac:dyDescent="0.25">
      <c r="E264" t="str">
        <f>"13271"</f>
        <v>13271</v>
      </c>
      <c r="F264" t="str">
        <f t="shared" si="9"/>
        <v>SERVICE</v>
      </c>
      <c r="G264" s="2">
        <v>75</v>
      </c>
      <c r="H264" t="str">
        <f t="shared" si="10"/>
        <v>SERVICE</v>
      </c>
    </row>
    <row r="265" spans="1:8" x14ac:dyDescent="0.25">
      <c r="E265" t="str">
        <f>"13322"</f>
        <v>13322</v>
      </c>
      <c r="F265" t="str">
        <f t="shared" si="9"/>
        <v>SERVICE</v>
      </c>
      <c r="G265" s="2">
        <v>225</v>
      </c>
      <c r="H265" t="str">
        <f t="shared" si="10"/>
        <v>SERVICE</v>
      </c>
    </row>
    <row r="266" spans="1:8" x14ac:dyDescent="0.25">
      <c r="A266" t="s">
        <v>54</v>
      </c>
      <c r="B266">
        <v>130538</v>
      </c>
      <c r="C266" s="2">
        <v>484.75</v>
      </c>
      <c r="D266" s="1">
        <v>43857</v>
      </c>
      <c r="E266" t="str">
        <f>"202001164660"</f>
        <v>202001164660</v>
      </c>
      <c r="F266" t="str">
        <f>"ACCT#BC01/OFFICE SUPPLIES"</f>
        <v>ACCT#BC01/OFFICE SUPPLIES</v>
      </c>
      <c r="G266" s="2">
        <v>469.75</v>
      </c>
      <c r="H266" t="str">
        <f t="shared" ref="H266:H271" si="11">"ACCT#BC01/OFFICE SUPPLIES"</f>
        <v>ACCT#BC01/OFFICE SUPPLIES</v>
      </c>
    </row>
    <row r="267" spans="1:8" x14ac:dyDescent="0.25">
      <c r="E267" t="str">
        <f>""</f>
        <v/>
      </c>
      <c r="F267" t="str">
        <f>""</f>
        <v/>
      </c>
      <c r="H267" t="str">
        <f t="shared" si="11"/>
        <v>ACCT#BC01/OFFICE SUPPLIES</v>
      </c>
    </row>
    <row r="268" spans="1:8" x14ac:dyDescent="0.25">
      <c r="E268" t="str">
        <f>""</f>
        <v/>
      </c>
      <c r="F268" t="str">
        <f>""</f>
        <v/>
      </c>
      <c r="H268" t="str">
        <f t="shared" si="11"/>
        <v>ACCT#BC01/OFFICE SUPPLIES</v>
      </c>
    </row>
    <row r="269" spans="1:8" x14ac:dyDescent="0.25">
      <c r="E269" t="str">
        <f>""</f>
        <v/>
      </c>
      <c r="F269" t="str">
        <f>""</f>
        <v/>
      </c>
      <c r="H269" t="str">
        <f t="shared" si="11"/>
        <v>ACCT#BC01/OFFICE SUPPLIES</v>
      </c>
    </row>
    <row r="270" spans="1:8" x14ac:dyDescent="0.25">
      <c r="E270" t="str">
        <f>""</f>
        <v/>
      </c>
      <c r="F270" t="str">
        <f>""</f>
        <v/>
      </c>
      <c r="H270" t="str">
        <f t="shared" si="11"/>
        <v>ACCT#BC01/OFFICE SUPPLIES</v>
      </c>
    </row>
    <row r="271" spans="1:8" x14ac:dyDescent="0.25">
      <c r="E271" t="str">
        <f>""</f>
        <v/>
      </c>
      <c r="F271" t="str">
        <f>""</f>
        <v/>
      </c>
      <c r="H271" t="str">
        <f t="shared" si="11"/>
        <v>ACCT#BC01/OFFICE SUPPLIES</v>
      </c>
    </row>
    <row r="272" spans="1:8" x14ac:dyDescent="0.25">
      <c r="E272" t="str">
        <f>"202001214745"</f>
        <v>202001214745</v>
      </c>
      <c r="F272" t="str">
        <f>"DANIEL L HEPKER"</f>
        <v>DANIEL L HEPKER</v>
      </c>
      <c r="G272" s="2">
        <v>15</v>
      </c>
      <c r="H272" t="str">
        <f>""</f>
        <v/>
      </c>
    </row>
    <row r="273" spans="1:8" x14ac:dyDescent="0.25">
      <c r="A273" t="s">
        <v>55</v>
      </c>
      <c r="B273">
        <v>2065</v>
      </c>
      <c r="C273" s="2">
        <v>17219.16</v>
      </c>
      <c r="D273" s="1">
        <v>43858</v>
      </c>
      <c r="E273" t="str">
        <f>"202001164669"</f>
        <v>202001164669</v>
      </c>
      <c r="F273" t="str">
        <f>"GRANT REIMBURSEMENT"</f>
        <v>GRANT REIMBURSEMENT</v>
      </c>
      <c r="G273" s="2">
        <v>7323.66</v>
      </c>
      <c r="H273" t="str">
        <f>"GRANT REIMBURSEMENT"</f>
        <v>GRANT REIMBURSEMENT</v>
      </c>
    </row>
    <row r="274" spans="1:8" x14ac:dyDescent="0.25">
      <c r="E274" t="str">
        <f>"202001164670"</f>
        <v>202001164670</v>
      </c>
      <c r="F274" t="str">
        <f>"GRANT REIMBURSEMENT"</f>
        <v>GRANT REIMBURSEMENT</v>
      </c>
      <c r="G274" s="2">
        <v>9895.5</v>
      </c>
      <c r="H274" t="str">
        <f>"GRANT REIMBURSEMENT"</f>
        <v>GRANT REIMBURSEMENT</v>
      </c>
    </row>
    <row r="275" spans="1:8" x14ac:dyDescent="0.25">
      <c r="A275" t="s">
        <v>56</v>
      </c>
      <c r="B275">
        <v>1976</v>
      </c>
      <c r="C275" s="2">
        <v>3360</v>
      </c>
      <c r="D275" s="1">
        <v>43844</v>
      </c>
      <c r="E275" t="str">
        <f>"2019162"</f>
        <v>2019162</v>
      </c>
      <c r="F275" t="str">
        <f>"TRANSPORT-D.A. PICCIANDRA"</f>
        <v>TRANSPORT-D.A. PICCIANDRA</v>
      </c>
      <c r="G275" s="2">
        <v>495</v>
      </c>
      <c r="H275" t="str">
        <f>"TRANSPORT-D.A. PICCIANDRA"</f>
        <v>TRANSPORT-D.A. PICCIANDRA</v>
      </c>
    </row>
    <row r="276" spans="1:8" x14ac:dyDescent="0.25">
      <c r="E276" t="str">
        <f>"2019170"</f>
        <v>2019170</v>
      </c>
      <c r="F276" t="str">
        <f>"TRANSPORT-A. CARMICHAEL"</f>
        <v>TRANSPORT-A. CARMICHAEL</v>
      </c>
      <c r="G276" s="2">
        <v>495</v>
      </c>
      <c r="H276" t="str">
        <f>"TRANSPORT-A. CARMICHAEL"</f>
        <v>TRANSPORT-A. CARMICHAEL</v>
      </c>
    </row>
    <row r="277" spans="1:8" x14ac:dyDescent="0.25">
      <c r="E277" t="str">
        <f>"2019173"</f>
        <v>2019173</v>
      </c>
      <c r="F277" t="str">
        <f>"TRANSPORT-E.D. LUMLEY"</f>
        <v>TRANSPORT-E.D. LUMLEY</v>
      </c>
      <c r="G277" s="2">
        <v>390</v>
      </c>
      <c r="H277" t="str">
        <f>"TRANSPORT-E.D. LUMLEY"</f>
        <v>TRANSPORT-E.D. LUMLEY</v>
      </c>
    </row>
    <row r="278" spans="1:8" x14ac:dyDescent="0.25">
      <c r="E278" t="str">
        <f>"2019175"</f>
        <v>2019175</v>
      </c>
      <c r="F278" t="str">
        <f>"TRANSPORT-J.S. RANGEL"</f>
        <v>TRANSPORT-J.S. RANGEL</v>
      </c>
      <c r="G278" s="2">
        <v>495</v>
      </c>
      <c r="H278" t="str">
        <f>"TRANSPORT-J.S. RANGEL"</f>
        <v>TRANSPORT-J.S. RANGEL</v>
      </c>
    </row>
    <row r="279" spans="1:8" x14ac:dyDescent="0.25">
      <c r="E279" t="str">
        <f>"2019178"</f>
        <v>2019178</v>
      </c>
      <c r="F279" t="str">
        <f>"TRANSPORT-S.R. CASTILLE"</f>
        <v>TRANSPORT-S.R. CASTILLE</v>
      </c>
      <c r="G279" s="2">
        <v>495</v>
      </c>
      <c r="H279" t="str">
        <f>"TRANSPORT-S.R. CASTILLE"</f>
        <v>TRANSPORT-S.R. CASTILLE</v>
      </c>
    </row>
    <row r="280" spans="1:8" x14ac:dyDescent="0.25">
      <c r="E280" t="str">
        <f>"2019179"</f>
        <v>2019179</v>
      </c>
      <c r="F280" t="str">
        <f>"TRANSPORT-S.R. GRIFFIN"</f>
        <v>TRANSPORT-S.R. GRIFFIN</v>
      </c>
      <c r="G280" s="2">
        <v>495</v>
      </c>
      <c r="H280" t="str">
        <f>"TRANSPORT-S.R. GRIFFIN"</f>
        <v>TRANSPORT-S.R. GRIFFIN</v>
      </c>
    </row>
    <row r="281" spans="1:8" x14ac:dyDescent="0.25">
      <c r="E281" t="str">
        <f>"2019180"</f>
        <v>2019180</v>
      </c>
      <c r="F281" t="str">
        <f>"TRANSPORT-A.C. WOODWARD"</f>
        <v>TRANSPORT-A.C. WOODWARD</v>
      </c>
      <c r="G281" s="2">
        <v>495</v>
      </c>
      <c r="H281" t="str">
        <f>"TRANSPORT-A.C. WOODWARD"</f>
        <v>TRANSPORT-A.C. WOODWARD</v>
      </c>
    </row>
    <row r="282" spans="1:8" x14ac:dyDescent="0.25">
      <c r="A282" t="s">
        <v>56</v>
      </c>
      <c r="B282">
        <v>2042</v>
      </c>
      <c r="C282" s="2">
        <v>720</v>
      </c>
      <c r="D282" s="1">
        <v>43858</v>
      </c>
      <c r="E282" t="str">
        <f>"2020-008"</f>
        <v>2020-008</v>
      </c>
      <c r="F282" t="str">
        <f>"TRANSPORT-T.J. LODERACH"</f>
        <v>TRANSPORT-T.J. LODERACH</v>
      </c>
      <c r="G282" s="2">
        <v>720</v>
      </c>
      <c r="H282" t="str">
        <f>"TRANSPORT-T.J. LODERACH"</f>
        <v>TRANSPORT-T.J. LODERACH</v>
      </c>
    </row>
    <row r="283" spans="1:8" x14ac:dyDescent="0.25">
      <c r="A283" t="s">
        <v>57</v>
      </c>
      <c r="B283">
        <v>130539</v>
      </c>
      <c r="C283" s="2">
        <v>176</v>
      </c>
      <c r="D283" s="1">
        <v>43857</v>
      </c>
      <c r="E283" t="str">
        <f>"7412"</f>
        <v>7412</v>
      </c>
      <c r="F283" t="str">
        <f>"CORRUGATED SIGN / P1"</f>
        <v>CORRUGATED SIGN / P1</v>
      </c>
      <c r="G283" s="2">
        <v>176</v>
      </c>
      <c r="H283" t="str">
        <f>"CORRUGATED SIGN / P1"</f>
        <v>CORRUGATED SIGN / P1</v>
      </c>
    </row>
    <row r="284" spans="1:8" x14ac:dyDescent="0.25">
      <c r="A284" t="s">
        <v>58</v>
      </c>
      <c r="B284">
        <v>130358</v>
      </c>
      <c r="C284" s="2">
        <v>178.95</v>
      </c>
      <c r="D284" s="1">
        <v>43843</v>
      </c>
      <c r="E284" t="str">
        <f>"1146253"</f>
        <v>1146253</v>
      </c>
      <c r="F284" t="str">
        <f>"INV 1146253"</f>
        <v>INV 1146253</v>
      </c>
      <c r="G284" s="2">
        <v>178.95</v>
      </c>
      <c r="H284" t="str">
        <f>"INV 1146253"</f>
        <v>INV 1146253</v>
      </c>
    </row>
    <row r="285" spans="1:8" x14ac:dyDescent="0.25">
      <c r="A285" t="s">
        <v>58</v>
      </c>
      <c r="B285">
        <v>130540</v>
      </c>
      <c r="C285" s="2">
        <v>178.95</v>
      </c>
      <c r="D285" s="1">
        <v>43857</v>
      </c>
      <c r="E285" t="str">
        <f>"1145848 1146253"</f>
        <v>1145848 1146253</v>
      </c>
      <c r="F285" t="str">
        <f>"INV 1145848/1146253"</f>
        <v>INV 1145848/1146253</v>
      </c>
      <c r="G285" s="2">
        <v>178.95</v>
      </c>
    </row>
    <row r="286" spans="1:8" x14ac:dyDescent="0.25">
      <c r="A286" t="s">
        <v>59</v>
      </c>
      <c r="B286">
        <v>2069</v>
      </c>
      <c r="C286" s="2">
        <v>336.39</v>
      </c>
      <c r="D286" s="1">
        <v>43858</v>
      </c>
      <c r="E286" t="str">
        <f>"6008185344"</f>
        <v>6008185344</v>
      </c>
      <c r="F286" t="str">
        <f>"ACCT#3422853/ANIMAL CONTROL"</f>
        <v>ACCT#3422853/ANIMAL CONTROL</v>
      </c>
      <c r="G286" s="2">
        <v>336.39</v>
      </c>
      <c r="H286" t="str">
        <f>"ACCT#3422853/ANIMAL CONTROL"</f>
        <v>ACCT#3422853/ANIMAL CONTROL</v>
      </c>
    </row>
    <row r="287" spans="1:8" x14ac:dyDescent="0.25">
      <c r="A287" t="s">
        <v>60</v>
      </c>
      <c r="B287">
        <v>130359</v>
      </c>
      <c r="C287" s="2">
        <v>2758.21</v>
      </c>
      <c r="D287" s="1">
        <v>43843</v>
      </c>
      <c r="E287" t="str">
        <f>"75351488 75355709"</f>
        <v>75351488 75355709</v>
      </c>
      <c r="F287" t="str">
        <f>"INV 75351488"</f>
        <v>INV 75351488</v>
      </c>
      <c r="G287" s="2">
        <v>2758.21</v>
      </c>
      <c r="H287" t="str">
        <f>"INV 75351488"</f>
        <v>INV 75351488</v>
      </c>
    </row>
    <row r="288" spans="1:8" x14ac:dyDescent="0.25">
      <c r="E288" t="str">
        <f>""</f>
        <v/>
      </c>
      <c r="F288" t="str">
        <f>""</f>
        <v/>
      </c>
      <c r="H288" t="str">
        <f>"INV 75355709"</f>
        <v>INV 75355709</v>
      </c>
    </row>
    <row r="289" spans="1:8" x14ac:dyDescent="0.25">
      <c r="E289" t="str">
        <f>""</f>
        <v/>
      </c>
      <c r="F289" t="str">
        <f>""</f>
        <v/>
      </c>
      <c r="H289" t="str">
        <f>"INV 75365726"</f>
        <v>INV 75365726</v>
      </c>
    </row>
    <row r="290" spans="1:8" x14ac:dyDescent="0.25">
      <c r="A290" t="s">
        <v>60</v>
      </c>
      <c r="B290">
        <v>130541</v>
      </c>
      <c r="C290" s="2">
        <v>1736.04</v>
      </c>
      <c r="D290" s="1">
        <v>43857</v>
      </c>
      <c r="E290" t="str">
        <f>"75373877 75382209"</f>
        <v>75373877 75382209</v>
      </c>
      <c r="F290" t="str">
        <f>"INV 75373877"</f>
        <v>INV 75373877</v>
      </c>
      <c r="G290" s="2">
        <v>1736.04</v>
      </c>
      <c r="H290" t="str">
        <f>"INV 75373877"</f>
        <v>INV 75373877</v>
      </c>
    </row>
    <row r="291" spans="1:8" x14ac:dyDescent="0.25">
      <c r="E291" t="str">
        <f>""</f>
        <v/>
      </c>
      <c r="F291" t="str">
        <f>""</f>
        <v/>
      </c>
      <c r="H291" t="str">
        <f>"INV 75382009"</f>
        <v>INV 75382009</v>
      </c>
    </row>
    <row r="292" spans="1:8" x14ac:dyDescent="0.25">
      <c r="A292" t="s">
        <v>61</v>
      </c>
      <c r="B292">
        <v>130360</v>
      </c>
      <c r="C292" s="2">
        <v>179.99</v>
      </c>
      <c r="D292" s="1">
        <v>43843</v>
      </c>
      <c r="E292" t="str">
        <f>"382944"</f>
        <v>382944</v>
      </c>
      <c r="F292" t="str">
        <f>"ACCT#7110/PCT#3"</f>
        <v>ACCT#7110/PCT#3</v>
      </c>
      <c r="G292" s="2">
        <v>179.99</v>
      </c>
      <c r="H292" t="str">
        <f>"ACCT#7110/PCT#3"</f>
        <v>ACCT#7110/PCT#3</v>
      </c>
    </row>
    <row r="293" spans="1:8" x14ac:dyDescent="0.25">
      <c r="A293" t="s">
        <v>62</v>
      </c>
      <c r="B293">
        <v>130361</v>
      </c>
      <c r="C293" s="2">
        <v>138.93</v>
      </c>
      <c r="D293" s="1">
        <v>43843</v>
      </c>
      <c r="E293" t="str">
        <f>"4195462"</f>
        <v>4195462</v>
      </c>
      <c r="F293" t="str">
        <f>"inv# 4195462"</f>
        <v>inv# 4195462</v>
      </c>
      <c r="G293" s="2">
        <v>77.959999999999994</v>
      </c>
      <c r="H293" t="str">
        <f>"inv# 4195462"</f>
        <v>inv# 4195462</v>
      </c>
    </row>
    <row r="294" spans="1:8" x14ac:dyDescent="0.25">
      <c r="E294" t="str">
        <f>"4263133"</f>
        <v>4263133</v>
      </c>
      <c r="F294" t="str">
        <f>"inv# 4263133"</f>
        <v>inv# 4263133</v>
      </c>
      <c r="G294" s="2">
        <v>60.97</v>
      </c>
      <c r="H294" t="str">
        <f>"inv# 4263133"</f>
        <v>inv# 4263133</v>
      </c>
    </row>
    <row r="295" spans="1:8" x14ac:dyDescent="0.25">
      <c r="A295" t="s">
        <v>63</v>
      </c>
      <c r="B295">
        <v>2020</v>
      </c>
      <c r="C295" s="2">
        <v>2295.0700000000002</v>
      </c>
      <c r="D295" s="1">
        <v>43844</v>
      </c>
      <c r="E295" t="str">
        <f>"24531"</f>
        <v>24531</v>
      </c>
      <c r="F295" t="str">
        <f>"INV 24531"</f>
        <v>INV 24531</v>
      </c>
      <c r="G295" s="2">
        <v>2295.0700000000002</v>
      </c>
      <c r="H295" t="str">
        <f>"INV 24531"</f>
        <v>INV 24531</v>
      </c>
    </row>
    <row r="296" spans="1:8" x14ac:dyDescent="0.25">
      <c r="A296" t="s">
        <v>63</v>
      </c>
      <c r="B296">
        <v>2092</v>
      </c>
      <c r="C296" s="2">
        <v>3484.62</v>
      </c>
      <c r="D296" s="1">
        <v>43858</v>
      </c>
      <c r="E296" t="str">
        <f>"24565"</f>
        <v>24565</v>
      </c>
      <c r="F296" t="str">
        <f>"INV 24565"</f>
        <v>INV 24565</v>
      </c>
      <c r="G296" s="2">
        <v>3484.62</v>
      </c>
      <c r="H296" t="str">
        <f>"INV 24565"</f>
        <v>INV 24565</v>
      </c>
    </row>
    <row r="297" spans="1:8" x14ac:dyDescent="0.25">
      <c r="A297" t="s">
        <v>64</v>
      </c>
      <c r="B297">
        <v>2037</v>
      </c>
      <c r="C297" s="2">
        <v>816.12</v>
      </c>
      <c r="D297" s="1">
        <v>43858</v>
      </c>
      <c r="E297" t="str">
        <f>"202001174692"</f>
        <v>202001174692</v>
      </c>
      <c r="F297" t="str">
        <f>"423-5862"</f>
        <v>423-5862</v>
      </c>
      <c r="G297" s="2">
        <v>333.06</v>
      </c>
      <c r="H297" t="str">
        <f>"423-5862"</f>
        <v>423-5862</v>
      </c>
    </row>
    <row r="298" spans="1:8" x14ac:dyDescent="0.25">
      <c r="E298" t="str">
        <f>"202001214702"</f>
        <v>202001214702</v>
      </c>
      <c r="F298" t="str">
        <f>"423-6239"</f>
        <v>423-6239</v>
      </c>
      <c r="G298" s="2">
        <v>483.06</v>
      </c>
      <c r="H298" t="str">
        <f>"423-6239"</f>
        <v>423-6239</v>
      </c>
    </row>
    <row r="299" spans="1:8" x14ac:dyDescent="0.25">
      <c r="A299" t="s">
        <v>65</v>
      </c>
      <c r="B299">
        <v>130362</v>
      </c>
      <c r="C299" s="2">
        <v>758.24</v>
      </c>
      <c r="D299" s="1">
        <v>43843</v>
      </c>
      <c r="E299" t="str">
        <f>"84078903766 840789"</f>
        <v>84078903766 840789</v>
      </c>
      <c r="F299" t="str">
        <f>"INV 84078903766"</f>
        <v>INV 84078903766</v>
      </c>
      <c r="G299" s="2">
        <v>758.24</v>
      </c>
      <c r="H299" t="str">
        <f>"INV 84078903766"</f>
        <v>INV 84078903766</v>
      </c>
    </row>
    <row r="300" spans="1:8" x14ac:dyDescent="0.25">
      <c r="E300" t="str">
        <f>""</f>
        <v/>
      </c>
      <c r="F300" t="str">
        <f>""</f>
        <v/>
      </c>
      <c r="H300" t="str">
        <f>"INV 84078903819"</f>
        <v>INV 84078903819</v>
      </c>
    </row>
    <row r="301" spans="1:8" x14ac:dyDescent="0.25">
      <c r="E301" t="str">
        <f>""</f>
        <v/>
      </c>
      <c r="F301" t="str">
        <f>""</f>
        <v/>
      </c>
      <c r="H301" t="str">
        <f>"INV 84078903876"</f>
        <v>INV 84078903876</v>
      </c>
    </row>
    <row r="302" spans="1:8" x14ac:dyDescent="0.25">
      <c r="A302" t="s">
        <v>65</v>
      </c>
      <c r="B302">
        <v>130542</v>
      </c>
      <c r="C302" s="2">
        <v>573</v>
      </c>
      <c r="D302" s="1">
        <v>43857</v>
      </c>
      <c r="E302" t="str">
        <f>"84078903919/3972"</f>
        <v>84078903919/3972</v>
      </c>
      <c r="F302" t="str">
        <f>"INV 84078903919"</f>
        <v>INV 84078903919</v>
      </c>
      <c r="G302" s="2">
        <v>573</v>
      </c>
      <c r="H302" t="str">
        <f>"INV 84078903919"</f>
        <v>INV 84078903919</v>
      </c>
    </row>
    <row r="303" spans="1:8" x14ac:dyDescent="0.25">
      <c r="E303" t="str">
        <f>""</f>
        <v/>
      </c>
      <c r="F303" t="str">
        <f>""</f>
        <v/>
      </c>
      <c r="H303" t="str">
        <f>"INV 84078903972"</f>
        <v>INV 84078903972</v>
      </c>
    </row>
    <row r="304" spans="1:8" x14ac:dyDescent="0.25">
      <c r="A304" t="s">
        <v>66</v>
      </c>
      <c r="B304">
        <v>130543</v>
      </c>
      <c r="C304" s="2">
        <v>1000</v>
      </c>
      <c r="D304" s="1">
        <v>43857</v>
      </c>
      <c r="E304" t="str">
        <f>"18-110"</f>
        <v>18-110</v>
      </c>
      <c r="F304" t="str">
        <f>"INV 18-110"</f>
        <v>INV 18-110</v>
      </c>
      <c r="G304" s="2">
        <v>1000</v>
      </c>
      <c r="H304" t="str">
        <f>"INV 18-110"</f>
        <v>INV 18-110</v>
      </c>
    </row>
    <row r="305" spans="1:8" x14ac:dyDescent="0.25">
      <c r="A305" t="s">
        <v>67</v>
      </c>
      <c r="B305">
        <v>130363</v>
      </c>
      <c r="C305" s="2">
        <v>18</v>
      </c>
      <c r="D305" s="1">
        <v>43843</v>
      </c>
      <c r="E305" t="str">
        <f>"202001074512"</f>
        <v>202001074512</v>
      </c>
      <c r="F305" t="str">
        <f>"REIMBURSEMENT"</f>
        <v>REIMBURSEMENT</v>
      </c>
      <c r="G305" s="2">
        <v>18</v>
      </c>
      <c r="H305" t="str">
        <f>"REIMBURSEMENT"</f>
        <v>REIMBURSEMENT</v>
      </c>
    </row>
    <row r="306" spans="1:8" x14ac:dyDescent="0.25">
      <c r="A306" t="s">
        <v>68</v>
      </c>
      <c r="B306">
        <v>2054</v>
      </c>
      <c r="C306" s="2">
        <v>700</v>
      </c>
      <c r="D306" s="1">
        <v>43858</v>
      </c>
      <c r="E306" t="str">
        <f>"202001164647"</f>
        <v>202001164647</v>
      </c>
      <c r="F306" t="str">
        <f>"423-4499"</f>
        <v>423-4499</v>
      </c>
      <c r="G306" s="2">
        <v>100</v>
      </c>
      <c r="H306" t="str">
        <f>"423-4499"</f>
        <v>423-4499</v>
      </c>
    </row>
    <row r="307" spans="1:8" x14ac:dyDescent="0.25">
      <c r="E307" t="str">
        <f>"202001224764"</f>
        <v>202001224764</v>
      </c>
      <c r="F307" t="str">
        <f>"02-0903-4 925-354-3531A001 195"</f>
        <v>02-0903-4 925-354-3531A001 195</v>
      </c>
      <c r="G307" s="2">
        <v>250</v>
      </c>
      <c r="H307" t="str">
        <f>"02-0903-4 925-354-3531A001 195"</f>
        <v>02-0903-4 925-354-3531A001 195</v>
      </c>
    </row>
    <row r="308" spans="1:8" x14ac:dyDescent="0.25">
      <c r="E308" t="str">
        <f>"202001224765"</f>
        <v>202001224765</v>
      </c>
      <c r="F308" t="str">
        <f>"JP108282019A 9253542969A001"</f>
        <v>JP108282019A 9253542969A001</v>
      </c>
      <c r="G308" s="2">
        <v>250</v>
      </c>
      <c r="H308" t="str">
        <f>"JP108282019A 9253542969A001"</f>
        <v>JP108282019A 9253542969A001</v>
      </c>
    </row>
    <row r="309" spans="1:8" x14ac:dyDescent="0.25">
      <c r="E309" t="str">
        <f>"202001224767"</f>
        <v>202001224767</v>
      </c>
      <c r="F309" t="str">
        <f>"JUVENILE"</f>
        <v>JUVENILE</v>
      </c>
      <c r="G309" s="2">
        <v>100</v>
      </c>
      <c r="H309" t="str">
        <f>"JUVENILE"</f>
        <v>JUVENILE</v>
      </c>
    </row>
    <row r="310" spans="1:8" x14ac:dyDescent="0.25">
      <c r="A310" t="s">
        <v>69</v>
      </c>
      <c r="B310">
        <v>130364</v>
      </c>
      <c r="C310" s="2">
        <v>57.75</v>
      </c>
      <c r="D310" s="1">
        <v>43843</v>
      </c>
      <c r="E310" t="str">
        <f>"57179"</f>
        <v>57179</v>
      </c>
      <c r="F310" t="str">
        <f>"CUST#B1000105034348/ORD#57179"</f>
        <v>CUST#B1000105034348/ORD#57179</v>
      </c>
      <c r="G310" s="2">
        <v>57.75</v>
      </c>
      <c r="H310" t="str">
        <f>"CUST#B1000105034348/ORD#57179"</f>
        <v>CUST#B1000105034348/ORD#57179</v>
      </c>
    </row>
    <row r="311" spans="1:8" x14ac:dyDescent="0.25">
      <c r="A311" t="s">
        <v>70</v>
      </c>
      <c r="B311">
        <v>130544</v>
      </c>
      <c r="C311" s="2">
        <v>365.26</v>
      </c>
      <c r="D311" s="1">
        <v>43857</v>
      </c>
      <c r="E311" t="str">
        <f>"202001164634"</f>
        <v>202001164634</v>
      </c>
      <c r="F311" t="str">
        <f>"DECEMBER 2019 CRIMESTOPPER FEE"</f>
        <v>DECEMBER 2019 CRIMESTOPPER FEE</v>
      </c>
      <c r="G311" s="2">
        <v>365.26</v>
      </c>
      <c r="H311" t="str">
        <f>"DECEMBER 2019 CRIMESTOPPER FEE"</f>
        <v>DECEMBER 2019 CRIMESTOPPER FEE</v>
      </c>
    </row>
    <row r="312" spans="1:8" x14ac:dyDescent="0.25">
      <c r="A312" t="s">
        <v>71</v>
      </c>
      <c r="B312">
        <v>130510</v>
      </c>
      <c r="C312" s="2">
        <v>3847.38</v>
      </c>
      <c r="D312" s="1">
        <v>43845</v>
      </c>
      <c r="E312" t="str">
        <f>"202001144626"</f>
        <v>202001144626</v>
      </c>
      <c r="F312" t="str">
        <f>"ACCT#5000057374 / 01062020"</f>
        <v>ACCT#5000057374 / 01062020</v>
      </c>
      <c r="G312" s="2">
        <v>3847.38</v>
      </c>
      <c r="H312" t="str">
        <f>"ACCT#5000057374 / 01062020"</f>
        <v>ACCT#5000057374 / 01062020</v>
      </c>
    </row>
    <row r="313" spans="1:8" x14ac:dyDescent="0.25">
      <c r="E313" t="str">
        <f>""</f>
        <v/>
      </c>
      <c r="F313" t="str">
        <f>""</f>
        <v/>
      </c>
      <c r="H313" t="str">
        <f>"ACCT#5000057374 / 01062020"</f>
        <v>ACCT#5000057374 / 01062020</v>
      </c>
    </row>
    <row r="314" spans="1:8" x14ac:dyDescent="0.25">
      <c r="E314" t="str">
        <f>""</f>
        <v/>
      </c>
      <c r="F314" t="str">
        <f>""</f>
        <v/>
      </c>
      <c r="H314" t="str">
        <f>"ACCT#5000057374 / 01062020"</f>
        <v>ACCT#5000057374 / 01062020</v>
      </c>
    </row>
    <row r="315" spans="1:8" x14ac:dyDescent="0.25">
      <c r="E315" t="str">
        <f>""</f>
        <v/>
      </c>
      <c r="F315" t="str">
        <f>""</f>
        <v/>
      </c>
      <c r="H315" t="str">
        <f>"ACCT#5000057374 / 01062020"</f>
        <v>ACCT#5000057374 / 01062020</v>
      </c>
    </row>
    <row r="316" spans="1:8" x14ac:dyDescent="0.25">
      <c r="A316" t="s">
        <v>72</v>
      </c>
      <c r="B316">
        <v>2103</v>
      </c>
      <c r="C316" s="2">
        <v>17791.669999999998</v>
      </c>
      <c r="D316" s="1">
        <v>43858</v>
      </c>
      <c r="E316" t="str">
        <f>"202001164668"</f>
        <v>202001164668</v>
      </c>
      <c r="F316" t="str">
        <f>"GRANT REIMBURSEMENT"</f>
        <v>GRANT REIMBURSEMENT</v>
      </c>
      <c r="G316" s="2">
        <v>16891.669999999998</v>
      </c>
      <c r="H316" t="str">
        <f>"GRANT REIMBURSEMENT"</f>
        <v>GRANT REIMBURSEMENT</v>
      </c>
    </row>
    <row r="317" spans="1:8" x14ac:dyDescent="0.25">
      <c r="E317" t="str">
        <f>"25-12-2019"</f>
        <v>25-12-2019</v>
      </c>
      <c r="F317" t="str">
        <f>"INV 25-12-2019"</f>
        <v>INV 25-12-2019</v>
      </c>
      <c r="G317" s="2">
        <v>700</v>
      </c>
      <c r="H317" t="str">
        <f>"INV 25-12-2019"</f>
        <v>INV 25-12-2019</v>
      </c>
    </row>
    <row r="318" spans="1:8" x14ac:dyDescent="0.25">
      <c r="E318" t="str">
        <f>"25-12-2019-A"</f>
        <v>25-12-2019-A</v>
      </c>
      <c r="F318" t="str">
        <f>"INV 25-12-2019"</f>
        <v>INV 25-12-2019</v>
      </c>
      <c r="G318" s="2">
        <v>200</v>
      </c>
      <c r="H318" t="str">
        <f>"INV 25-12-2019"</f>
        <v>INV 25-12-2019</v>
      </c>
    </row>
    <row r="319" spans="1:8" x14ac:dyDescent="0.25">
      <c r="A319" t="s">
        <v>73</v>
      </c>
      <c r="B319">
        <v>130365</v>
      </c>
      <c r="C319" s="2">
        <v>1634.09</v>
      </c>
      <c r="D319" s="1">
        <v>43843</v>
      </c>
      <c r="E319" t="str">
        <f>"UT1000519958 UTI00"</f>
        <v>UT1000519958 UTI00</v>
      </c>
      <c r="F319" t="str">
        <f>"INV UT1000519958"</f>
        <v>INV UT1000519958</v>
      </c>
      <c r="G319" s="2">
        <v>437.09</v>
      </c>
      <c r="H319" t="str">
        <f>"INV UT1000519958"</f>
        <v>INV UT1000519958</v>
      </c>
    </row>
    <row r="320" spans="1:8" x14ac:dyDescent="0.25">
      <c r="E320" t="str">
        <f>""</f>
        <v/>
      </c>
      <c r="F320" t="str">
        <f>""</f>
        <v/>
      </c>
      <c r="H320" t="str">
        <f>"INV UT1000520251"</f>
        <v>INV UT1000520251</v>
      </c>
    </row>
    <row r="321" spans="1:8" x14ac:dyDescent="0.25">
      <c r="E321" t="str">
        <f>"UT1000520711/ 737"</f>
        <v>UT1000520711/ 737</v>
      </c>
      <c r="F321" t="str">
        <f>"INV UT1000520711"</f>
        <v>INV UT1000520711</v>
      </c>
      <c r="G321" s="2">
        <v>1197</v>
      </c>
      <c r="H321" t="str">
        <f>"INV UT1000520711"</f>
        <v>INV UT1000520711</v>
      </c>
    </row>
    <row r="322" spans="1:8" x14ac:dyDescent="0.25">
      <c r="E322" t="str">
        <f>""</f>
        <v/>
      </c>
      <c r="F322" t="str">
        <f>""</f>
        <v/>
      </c>
      <c r="H322" t="str">
        <f>"INV UT1000520737"</f>
        <v>INV UT1000520737</v>
      </c>
    </row>
    <row r="323" spans="1:8" x14ac:dyDescent="0.25">
      <c r="A323" t="s">
        <v>73</v>
      </c>
      <c r="B323">
        <v>130545</v>
      </c>
      <c r="C323" s="2">
        <v>98.79</v>
      </c>
      <c r="D323" s="1">
        <v>43857</v>
      </c>
      <c r="E323" t="str">
        <f>"UT1000521419"</f>
        <v>UT1000521419</v>
      </c>
      <c r="F323" t="str">
        <f>"INV UT1000521419"</f>
        <v>INV UT1000521419</v>
      </c>
      <c r="G323" s="2">
        <v>98.79</v>
      </c>
      <c r="H323" t="str">
        <f>"INV UT1000521419"</f>
        <v>INV UT1000521419</v>
      </c>
    </row>
    <row r="324" spans="1:8" x14ac:dyDescent="0.25">
      <c r="A324" t="s">
        <v>74</v>
      </c>
      <c r="B324">
        <v>130366</v>
      </c>
      <c r="C324" s="2">
        <v>3612.98</v>
      </c>
      <c r="D324" s="1">
        <v>43843</v>
      </c>
      <c r="E324" t="str">
        <f>"106254"</f>
        <v>106254</v>
      </c>
      <c r="F324" t="str">
        <f t="shared" ref="F324:F330" si="12">"ACCT#1268/PCT#3"</f>
        <v>ACCT#1268/PCT#3</v>
      </c>
      <c r="G324" s="2">
        <v>1353.01</v>
      </c>
      <c r="H324" t="str">
        <f t="shared" ref="H324:H330" si="13">"ACCT#1268/PCT#3"</f>
        <v>ACCT#1268/PCT#3</v>
      </c>
    </row>
    <row r="325" spans="1:8" x14ac:dyDescent="0.25">
      <c r="E325" t="str">
        <f>"106417"</f>
        <v>106417</v>
      </c>
      <c r="F325" t="str">
        <f t="shared" si="12"/>
        <v>ACCT#1268/PCT#3</v>
      </c>
      <c r="G325" s="2">
        <v>1892.98</v>
      </c>
      <c r="H325" t="str">
        <f t="shared" si="13"/>
        <v>ACCT#1268/PCT#3</v>
      </c>
    </row>
    <row r="326" spans="1:8" x14ac:dyDescent="0.25">
      <c r="E326" t="str">
        <f>"106577"</f>
        <v>106577</v>
      </c>
      <c r="F326" t="str">
        <f t="shared" si="12"/>
        <v>ACCT#1268/PCT#3</v>
      </c>
      <c r="G326" s="2">
        <v>85.3</v>
      </c>
      <c r="H326" t="str">
        <f t="shared" si="13"/>
        <v>ACCT#1268/PCT#3</v>
      </c>
    </row>
    <row r="327" spans="1:8" x14ac:dyDescent="0.25">
      <c r="E327" t="str">
        <f>"106667"</f>
        <v>106667</v>
      </c>
      <c r="F327" t="str">
        <f t="shared" si="12"/>
        <v>ACCT#1268/PCT#3</v>
      </c>
      <c r="G327" s="2">
        <v>281.69</v>
      </c>
      <c r="H327" t="str">
        <f t="shared" si="13"/>
        <v>ACCT#1268/PCT#3</v>
      </c>
    </row>
    <row r="328" spans="1:8" x14ac:dyDescent="0.25">
      <c r="A328" t="s">
        <v>74</v>
      </c>
      <c r="B328">
        <v>130546</v>
      </c>
      <c r="C328" s="2">
        <v>2748.94</v>
      </c>
      <c r="D328" s="1">
        <v>43857</v>
      </c>
      <c r="E328" t="str">
        <f>"106740"</f>
        <v>106740</v>
      </c>
      <c r="F328" t="str">
        <f t="shared" si="12"/>
        <v>ACCT#1268/PCT#3</v>
      </c>
      <c r="G328" s="2">
        <v>97.37</v>
      </c>
      <c r="H328" t="str">
        <f t="shared" si="13"/>
        <v>ACCT#1268/PCT#3</v>
      </c>
    </row>
    <row r="329" spans="1:8" x14ac:dyDescent="0.25">
      <c r="E329" t="str">
        <f>"106822"</f>
        <v>106822</v>
      </c>
      <c r="F329" t="str">
        <f t="shared" si="12"/>
        <v>ACCT#1268/PCT#3</v>
      </c>
      <c r="G329" s="2">
        <v>1620.04</v>
      </c>
      <c r="H329" t="str">
        <f t="shared" si="13"/>
        <v>ACCT#1268/PCT#3</v>
      </c>
    </row>
    <row r="330" spans="1:8" x14ac:dyDescent="0.25">
      <c r="E330" t="str">
        <f>"106979"</f>
        <v>106979</v>
      </c>
      <c r="F330" t="str">
        <f t="shared" si="12"/>
        <v>ACCT#1268/PCT#3</v>
      </c>
      <c r="G330" s="2">
        <v>1031.53</v>
      </c>
      <c r="H330" t="str">
        <f t="shared" si="13"/>
        <v>ACCT#1268/PCT#3</v>
      </c>
    </row>
    <row r="331" spans="1:8" x14ac:dyDescent="0.25">
      <c r="A331" t="s">
        <v>75</v>
      </c>
      <c r="B331">
        <v>2109</v>
      </c>
      <c r="C331" s="2">
        <v>500</v>
      </c>
      <c r="D331" s="1">
        <v>43858</v>
      </c>
      <c r="E331" t="str">
        <f>"202001224806"</f>
        <v>202001224806</v>
      </c>
      <c r="F331" t="str">
        <f>"40918916  925-354-5828A001"</f>
        <v>40918916  925-354-5828A001</v>
      </c>
      <c r="G331" s="2">
        <v>250</v>
      </c>
      <c r="H331" t="str">
        <f>"40918916  925-354-5828A001"</f>
        <v>40918916  925-354-5828A001</v>
      </c>
    </row>
    <row r="332" spans="1:8" x14ac:dyDescent="0.25">
      <c r="E332" t="str">
        <f>"202001224807"</f>
        <v>202001224807</v>
      </c>
      <c r="F332" t="str">
        <f>"JP107312019E  9253538821A001"</f>
        <v>JP107312019E  9253538821A001</v>
      </c>
      <c r="G332" s="2">
        <v>250</v>
      </c>
      <c r="H332" t="str">
        <f>"JP107312019E  9253538821A001"</f>
        <v>JP107312019E  9253538821A001</v>
      </c>
    </row>
    <row r="333" spans="1:8" x14ac:dyDescent="0.25">
      <c r="A333" t="s">
        <v>76</v>
      </c>
      <c r="B333">
        <v>130367</v>
      </c>
      <c r="C333" s="2">
        <v>15</v>
      </c>
      <c r="D333" s="1">
        <v>43843</v>
      </c>
      <c r="E333" t="str">
        <f>"20-20032"</f>
        <v>20-20032</v>
      </c>
      <c r="F333" t="str">
        <f>"CENTRAL ADOPTION REGISTRY FUND"</f>
        <v>CENTRAL ADOPTION REGISTRY FUND</v>
      </c>
      <c r="G333" s="2">
        <v>15</v>
      </c>
      <c r="H333" t="str">
        <f>"CENTRAL ADOPTION REGISTRY FUND"</f>
        <v>CENTRAL ADOPTION REGISTRY FUND</v>
      </c>
    </row>
    <row r="334" spans="1:8" x14ac:dyDescent="0.25">
      <c r="A334" t="s">
        <v>76</v>
      </c>
      <c r="B334">
        <v>130547</v>
      </c>
      <c r="C334" s="2">
        <v>249.96</v>
      </c>
      <c r="D334" s="1">
        <v>43857</v>
      </c>
      <c r="E334" t="str">
        <f>"20-20039"</f>
        <v>20-20039</v>
      </c>
      <c r="F334" t="str">
        <f>"CENTRAL ADOPTION REGISTRY FUND"</f>
        <v>CENTRAL ADOPTION REGISTRY FUND</v>
      </c>
      <c r="G334" s="2">
        <v>15</v>
      </c>
    </row>
    <row r="335" spans="1:8" x14ac:dyDescent="0.25">
      <c r="E335" t="str">
        <f>"20-20053"</f>
        <v>20-20053</v>
      </c>
      <c r="F335" t="str">
        <f>"CENTRAL ADOPTION REGISTRY FUND"</f>
        <v>CENTRAL ADOPTION REGISTRY FUND</v>
      </c>
      <c r="G335" s="2">
        <v>15</v>
      </c>
    </row>
    <row r="336" spans="1:8" x14ac:dyDescent="0.25">
      <c r="E336" t="str">
        <f>"2009899"</f>
        <v>2009899</v>
      </c>
      <c r="F336" t="str">
        <f>"ACCT#17460002268 003/REMOTE BI"</f>
        <v>ACCT#17460002268 003/REMOTE BI</v>
      </c>
      <c r="G336" s="2">
        <v>204.96</v>
      </c>
    </row>
    <row r="337" spans="1:8" x14ac:dyDescent="0.25">
      <c r="E337" t="str">
        <f>"423-7048"</f>
        <v>423-7048</v>
      </c>
      <c r="F337" t="str">
        <f>"CENTRAL ADOPTION REGISTRY FUND"</f>
        <v>CENTRAL ADOPTION REGISTRY FUND</v>
      </c>
      <c r="G337" s="2">
        <v>15</v>
      </c>
    </row>
    <row r="338" spans="1:8" x14ac:dyDescent="0.25">
      <c r="A338" t="s">
        <v>76</v>
      </c>
      <c r="B338">
        <v>130547</v>
      </c>
      <c r="C338" s="2">
        <v>249.96</v>
      </c>
      <c r="D338" s="1">
        <v>43857</v>
      </c>
      <c r="E338" t="str">
        <f>"CHECK"</f>
        <v>CHECK</v>
      </c>
      <c r="F338" t="str">
        <f>""</f>
        <v/>
      </c>
      <c r="G338" s="2">
        <v>249.96</v>
      </c>
    </row>
    <row r="339" spans="1:8" x14ac:dyDescent="0.25">
      <c r="A339" t="s">
        <v>76</v>
      </c>
      <c r="B339">
        <v>130675</v>
      </c>
      <c r="C339" s="2">
        <v>45</v>
      </c>
      <c r="D339" s="1">
        <v>43857</v>
      </c>
      <c r="E339" t="str">
        <f>"20-20039 R"</f>
        <v>20-20039 R</v>
      </c>
      <c r="F339" t="str">
        <f>"CENTRAL ADOPTION REGISTRY FUND"</f>
        <v>CENTRAL ADOPTION REGISTRY FUND</v>
      </c>
      <c r="G339" s="2">
        <v>15</v>
      </c>
      <c r="H339" t="str">
        <f>"BUREAU OF VITAL STATISTICS"</f>
        <v>BUREAU OF VITAL STATISTICS</v>
      </c>
    </row>
    <row r="340" spans="1:8" x14ac:dyDescent="0.25">
      <c r="E340" t="str">
        <f>"20-20053 R"</f>
        <v>20-20053 R</v>
      </c>
      <c r="F340" t="str">
        <f>"CENTRAL ADOPTION REGISTRY FUND"</f>
        <v>CENTRAL ADOPTION REGISTRY FUND</v>
      </c>
      <c r="G340" s="2">
        <v>15</v>
      </c>
      <c r="H340" t="str">
        <f>"CENTRAL ADOPTION REGISTRY FUND"</f>
        <v>CENTRAL ADOPTION REGISTRY FUND</v>
      </c>
    </row>
    <row r="341" spans="1:8" x14ac:dyDescent="0.25">
      <c r="E341" t="str">
        <f>"423-7048 R"</f>
        <v>423-7048 R</v>
      </c>
      <c r="F341" t="str">
        <f>"CENTRAL ADOPTION REGISTRY FUND"</f>
        <v>CENTRAL ADOPTION REGISTRY FUND</v>
      </c>
      <c r="G341" s="2">
        <v>15</v>
      </c>
      <c r="H341" t="str">
        <f>"CENTRAL ADOPTION REGISTRY FUND"</f>
        <v>CENTRAL ADOPTION REGISTRY FUND</v>
      </c>
    </row>
    <row r="342" spans="1:8" x14ac:dyDescent="0.25">
      <c r="A342" t="s">
        <v>77</v>
      </c>
      <c r="B342">
        <v>130368</v>
      </c>
      <c r="C342" s="2">
        <v>75</v>
      </c>
      <c r="D342" s="1">
        <v>43843</v>
      </c>
      <c r="E342" t="str">
        <f>"13259"</f>
        <v>13259</v>
      </c>
      <c r="F342" t="str">
        <f>"SERVICE"</f>
        <v>SERVICE</v>
      </c>
      <c r="G342" s="2">
        <v>75</v>
      </c>
      <c r="H342" t="str">
        <f>"SERVICE"</f>
        <v>SERVICE</v>
      </c>
    </row>
    <row r="343" spans="1:8" x14ac:dyDescent="0.25">
      <c r="A343" t="s">
        <v>78</v>
      </c>
      <c r="B343">
        <v>130369</v>
      </c>
      <c r="C343" s="2">
        <v>80</v>
      </c>
      <c r="D343" s="1">
        <v>43843</v>
      </c>
      <c r="E343" t="str">
        <f>"13249"</f>
        <v>13249</v>
      </c>
      <c r="F343" t="str">
        <f>"SERVICE"</f>
        <v>SERVICE</v>
      </c>
      <c r="G343" s="2">
        <v>80</v>
      </c>
      <c r="H343" t="str">
        <f>"SERVICE"</f>
        <v>SERVICE</v>
      </c>
    </row>
    <row r="344" spans="1:8" x14ac:dyDescent="0.25">
      <c r="A344" t="s">
        <v>79</v>
      </c>
      <c r="B344">
        <v>130370</v>
      </c>
      <c r="C344" s="2">
        <v>141539.29999999999</v>
      </c>
      <c r="D344" s="1">
        <v>43843</v>
      </c>
      <c r="E344" t="str">
        <f>"BCBTX-122019"</f>
        <v>BCBTX-122019</v>
      </c>
      <c r="F344" t="str">
        <f>"inv# BCTX-122019"</f>
        <v>inv# BCTX-122019</v>
      </c>
      <c r="G344" s="2">
        <v>141539.29999999999</v>
      </c>
      <c r="H344" t="str">
        <f>"Pct2-1B"</f>
        <v>Pct2-1B</v>
      </c>
    </row>
    <row r="345" spans="1:8" x14ac:dyDescent="0.25">
      <c r="E345" t="str">
        <f>""</f>
        <v/>
      </c>
      <c r="F345" t="str">
        <f>""</f>
        <v/>
      </c>
      <c r="H345" t="str">
        <f>"Pct2-1C"</f>
        <v>Pct2-1C</v>
      </c>
    </row>
    <row r="346" spans="1:8" x14ac:dyDescent="0.25">
      <c r="A346" t="s">
        <v>79</v>
      </c>
      <c r="B346">
        <v>130548</v>
      </c>
      <c r="C346" s="2">
        <v>121173.6</v>
      </c>
      <c r="D346" s="1">
        <v>43857</v>
      </c>
      <c r="E346" t="str">
        <f>"BCTX-011320"</f>
        <v>BCTX-011320</v>
      </c>
      <c r="F346" t="str">
        <f>"Pay App #4 Change Order 1"</f>
        <v>Pay App #4 Change Order 1</v>
      </c>
      <c r="G346" s="2">
        <v>121173.6</v>
      </c>
      <c r="H346" t="str">
        <f>"Pay App #4 Change Order 1"</f>
        <v>Pay App #4 Change Order 1</v>
      </c>
    </row>
    <row r="347" spans="1:8" x14ac:dyDescent="0.25">
      <c r="A347" t="s">
        <v>80</v>
      </c>
      <c r="B347">
        <v>130371</v>
      </c>
      <c r="C347" s="2">
        <v>75</v>
      </c>
      <c r="D347" s="1">
        <v>43843</v>
      </c>
      <c r="E347" t="str">
        <f>"13259"</f>
        <v>13259</v>
      </c>
      <c r="F347" t="str">
        <f>"SERVICE"</f>
        <v>SERVICE</v>
      </c>
      <c r="G347" s="2">
        <v>75</v>
      </c>
      <c r="H347" t="str">
        <f>"SERVICE"</f>
        <v>SERVICE</v>
      </c>
    </row>
    <row r="348" spans="1:8" x14ac:dyDescent="0.25">
      <c r="A348" t="s">
        <v>81</v>
      </c>
      <c r="B348">
        <v>130549</v>
      </c>
      <c r="C348" s="2">
        <v>235</v>
      </c>
      <c r="D348" s="1">
        <v>43857</v>
      </c>
      <c r="E348" t="str">
        <f>"MILLER D"</f>
        <v>MILLER D</v>
      </c>
      <c r="F348" t="str">
        <f>"TRANSPORT-D. MILLER"</f>
        <v>TRANSPORT-D. MILLER</v>
      </c>
      <c r="G348" s="2">
        <v>235</v>
      </c>
      <c r="H348" t="str">
        <f>"TRANSPORT-D. MILLER"</f>
        <v>TRANSPORT-D. MILLER</v>
      </c>
    </row>
    <row r="349" spans="1:8" x14ac:dyDescent="0.25">
      <c r="A349" t="s">
        <v>82</v>
      </c>
      <c r="B349">
        <v>340</v>
      </c>
      <c r="C349" s="2">
        <v>3356.74</v>
      </c>
      <c r="D349" s="1">
        <v>43843</v>
      </c>
      <c r="E349" t="str">
        <f>"202001084592"</f>
        <v>202001084592</v>
      </c>
      <c r="F349" t="str">
        <f>"Acct# 0058"</f>
        <v>Acct# 0058</v>
      </c>
      <c r="G349" s="2">
        <v>3356.74</v>
      </c>
      <c r="H349" t="str">
        <f>"Disney"</f>
        <v>Disney</v>
      </c>
    </row>
    <row r="350" spans="1:8" x14ac:dyDescent="0.25">
      <c r="E350" t="str">
        <f>""</f>
        <v/>
      </c>
      <c r="F350" t="str">
        <f>""</f>
        <v/>
      </c>
      <c r="H350" t="str">
        <f>"Disney"</f>
        <v>Disney</v>
      </c>
    </row>
    <row r="351" spans="1:8" x14ac:dyDescent="0.25">
      <c r="E351" t="str">
        <f>""</f>
        <v/>
      </c>
      <c r="F351" t="str">
        <f>""</f>
        <v/>
      </c>
      <c r="H351" t="str">
        <f>"Google"</f>
        <v>Google</v>
      </c>
    </row>
    <row r="352" spans="1:8" x14ac:dyDescent="0.25">
      <c r="E352" t="str">
        <f>""</f>
        <v/>
      </c>
      <c r="F352" t="str">
        <f>""</f>
        <v/>
      </c>
      <c r="H352" t="str">
        <f>"WebEx"</f>
        <v>WebEx</v>
      </c>
    </row>
    <row r="353" spans="1:8" x14ac:dyDescent="0.25">
      <c r="E353" t="str">
        <f>""</f>
        <v/>
      </c>
      <c r="F353" t="str">
        <f>""</f>
        <v/>
      </c>
      <c r="H353" t="str">
        <f>"Drop BOx"</f>
        <v>Drop BOx</v>
      </c>
    </row>
    <row r="354" spans="1:8" x14ac:dyDescent="0.25">
      <c r="E354" t="str">
        <f>""</f>
        <v/>
      </c>
      <c r="F354" t="str">
        <f>""</f>
        <v/>
      </c>
      <c r="H354" t="str">
        <f>"Altex"</f>
        <v>Altex</v>
      </c>
    </row>
    <row r="355" spans="1:8" x14ac:dyDescent="0.25">
      <c r="E355" t="str">
        <f>""</f>
        <v/>
      </c>
      <c r="F355" t="str">
        <f>""</f>
        <v/>
      </c>
      <c r="H355" t="str">
        <f>"Erika DeJesus"</f>
        <v>Erika DeJesus</v>
      </c>
    </row>
    <row r="356" spans="1:8" x14ac:dyDescent="0.25">
      <c r="E356" t="str">
        <f>""</f>
        <v/>
      </c>
      <c r="F356" t="str">
        <f>""</f>
        <v/>
      </c>
      <c r="H356" t="str">
        <f>"Rosanna Garza"</f>
        <v>Rosanna Garza</v>
      </c>
    </row>
    <row r="357" spans="1:8" x14ac:dyDescent="0.25">
      <c r="E357" t="str">
        <f>""</f>
        <v/>
      </c>
      <c r="F357" t="str">
        <f>""</f>
        <v/>
      </c>
      <c r="H357" t="str">
        <f>"Robert Bennet"</f>
        <v>Robert Bennet</v>
      </c>
    </row>
    <row r="358" spans="1:8" x14ac:dyDescent="0.25">
      <c r="E358" t="str">
        <f>""</f>
        <v/>
      </c>
      <c r="F358" t="str">
        <f>""</f>
        <v/>
      </c>
      <c r="H358" t="str">
        <f>"Annette Murley"</f>
        <v>Annette Murley</v>
      </c>
    </row>
    <row r="359" spans="1:8" x14ac:dyDescent="0.25">
      <c r="E359" t="str">
        <f>""</f>
        <v/>
      </c>
      <c r="F359" t="str">
        <f>""</f>
        <v/>
      </c>
      <c r="H359" t="str">
        <f>"Robert Clipper"</f>
        <v>Robert Clipper</v>
      </c>
    </row>
    <row r="360" spans="1:8" x14ac:dyDescent="0.25">
      <c r="E360" t="str">
        <f>""</f>
        <v/>
      </c>
      <c r="F360" t="str">
        <f>""</f>
        <v/>
      </c>
      <c r="H360" t="str">
        <f>"Walmart"</f>
        <v>Walmart</v>
      </c>
    </row>
    <row r="361" spans="1:8" x14ac:dyDescent="0.25">
      <c r="E361" t="str">
        <f>""</f>
        <v/>
      </c>
      <c r="F361" t="str">
        <f>""</f>
        <v/>
      </c>
      <c r="H361" t="str">
        <f>"Home Depot"</f>
        <v>Home Depot</v>
      </c>
    </row>
    <row r="362" spans="1:8" x14ac:dyDescent="0.25">
      <c r="E362" t="str">
        <f>""</f>
        <v/>
      </c>
      <c r="F362" t="str">
        <f>""</f>
        <v/>
      </c>
      <c r="H362" t="str">
        <f>"Election Center"</f>
        <v>Election Center</v>
      </c>
    </row>
    <row r="363" spans="1:8" x14ac:dyDescent="0.25">
      <c r="E363" t="str">
        <f>""</f>
        <v/>
      </c>
      <c r="F363" t="str">
        <f>""</f>
        <v/>
      </c>
      <c r="H363" t="str">
        <f>"Election Center"</f>
        <v>Election Center</v>
      </c>
    </row>
    <row r="364" spans="1:8" x14ac:dyDescent="0.25">
      <c r="E364" t="str">
        <f>""</f>
        <v/>
      </c>
      <c r="F364" t="str">
        <f>""</f>
        <v/>
      </c>
      <c r="H364" t="str">
        <f>"HEB"</f>
        <v>HEB</v>
      </c>
    </row>
    <row r="365" spans="1:8" x14ac:dyDescent="0.25">
      <c r="E365" t="str">
        <f>""</f>
        <v/>
      </c>
      <c r="F365" t="str">
        <f>""</f>
        <v/>
      </c>
      <c r="H365" t="str">
        <f>"Angels"</f>
        <v>Angels</v>
      </c>
    </row>
    <row r="366" spans="1:8" x14ac:dyDescent="0.25">
      <c r="E366" t="str">
        <f>""</f>
        <v/>
      </c>
      <c r="F366" t="str">
        <f>""</f>
        <v/>
      </c>
      <c r="H366" t="str">
        <f>"Walmart"</f>
        <v>Walmart</v>
      </c>
    </row>
    <row r="367" spans="1:8" x14ac:dyDescent="0.25">
      <c r="A367" t="s">
        <v>82</v>
      </c>
      <c r="B367">
        <v>341</v>
      </c>
      <c r="C367" s="2">
        <v>1398.59</v>
      </c>
      <c r="D367" s="1">
        <v>43843</v>
      </c>
      <c r="E367" t="str">
        <f>"202001084591"</f>
        <v>202001084591</v>
      </c>
      <c r="F367" t="str">
        <f>"STATEMENT 0574"</f>
        <v>STATEMENT 0574</v>
      </c>
      <c r="G367" s="2">
        <v>1398.59</v>
      </c>
      <c r="H367" t="str">
        <f>"CUSTOM COLLEGEN"</f>
        <v>CUSTOM COLLEGEN</v>
      </c>
    </row>
    <row r="368" spans="1:8" x14ac:dyDescent="0.25">
      <c r="E368" t="str">
        <f>""</f>
        <v/>
      </c>
      <c r="F368" t="str">
        <f>""</f>
        <v/>
      </c>
      <c r="H368" t="str">
        <f>"EMBASSY SUITES"</f>
        <v>EMBASSY SUITES</v>
      </c>
    </row>
    <row r="369" spans="1:8" x14ac:dyDescent="0.25">
      <c r="E369" t="str">
        <f>""</f>
        <v/>
      </c>
      <c r="F369" t="str">
        <f>""</f>
        <v/>
      </c>
      <c r="H369" t="str">
        <f>"HOLIDAY INN"</f>
        <v>HOLIDAY INN</v>
      </c>
    </row>
    <row r="370" spans="1:8" x14ac:dyDescent="0.25">
      <c r="E370" t="str">
        <f>""</f>
        <v/>
      </c>
      <c r="F370" t="str">
        <f>""</f>
        <v/>
      </c>
      <c r="H370" t="str">
        <f>"LA QUINTA INN"</f>
        <v>LA QUINTA INN</v>
      </c>
    </row>
    <row r="371" spans="1:8" x14ac:dyDescent="0.25">
      <c r="E371" t="str">
        <f>""</f>
        <v/>
      </c>
      <c r="F371" t="str">
        <f>""</f>
        <v/>
      </c>
      <c r="H371" t="str">
        <f>"LA QUINTA INN"</f>
        <v>LA QUINTA INN</v>
      </c>
    </row>
    <row r="372" spans="1:8" x14ac:dyDescent="0.25">
      <c r="E372" t="str">
        <f>""</f>
        <v/>
      </c>
      <c r="F372" t="str">
        <f>""</f>
        <v/>
      </c>
      <c r="H372" t="str">
        <f>"LOGOS"</f>
        <v>LOGOS</v>
      </c>
    </row>
    <row r="373" spans="1:8" x14ac:dyDescent="0.25">
      <c r="E373" t="str">
        <f>""</f>
        <v/>
      </c>
      <c r="F373" t="str">
        <f>""</f>
        <v/>
      </c>
      <c r="H373" t="str">
        <f>"INTEREST"</f>
        <v>INTEREST</v>
      </c>
    </row>
    <row r="374" spans="1:8" x14ac:dyDescent="0.25">
      <c r="E374" t="str">
        <f>""</f>
        <v/>
      </c>
      <c r="F374" t="str">
        <f>""</f>
        <v/>
      </c>
      <c r="H374" t="str">
        <f>"TEEX"</f>
        <v>TEEX</v>
      </c>
    </row>
    <row r="375" spans="1:8" x14ac:dyDescent="0.25">
      <c r="A375" t="s">
        <v>83</v>
      </c>
      <c r="B375">
        <v>2026</v>
      </c>
      <c r="C375" s="2">
        <v>480.86</v>
      </c>
      <c r="D375" s="1">
        <v>43844</v>
      </c>
      <c r="E375" t="str">
        <f>"WDF4026"</f>
        <v>WDF4026</v>
      </c>
      <c r="F375" t="str">
        <f>"Fiber Patch Cables"</f>
        <v>Fiber Patch Cables</v>
      </c>
      <c r="G375" s="2">
        <v>426.62</v>
      </c>
      <c r="H375" t="str">
        <f>"Patch Cable 1m"</f>
        <v>Patch Cable 1m</v>
      </c>
    </row>
    <row r="376" spans="1:8" x14ac:dyDescent="0.25">
      <c r="E376" t="str">
        <f>""</f>
        <v/>
      </c>
      <c r="F376" t="str">
        <f>""</f>
        <v/>
      </c>
      <c r="H376" t="str">
        <f>"Patch Cables 5m"</f>
        <v>Patch Cables 5m</v>
      </c>
    </row>
    <row r="377" spans="1:8" x14ac:dyDescent="0.25">
      <c r="E377" t="str">
        <f>""</f>
        <v/>
      </c>
      <c r="F377" t="str">
        <f>""</f>
        <v/>
      </c>
      <c r="H377" t="str">
        <f>"Shipping"</f>
        <v>Shipping</v>
      </c>
    </row>
    <row r="378" spans="1:8" x14ac:dyDescent="0.25">
      <c r="E378" t="str">
        <f>"WHM6645"</f>
        <v>WHM6645</v>
      </c>
      <c r="F378" t="str">
        <f>"Power Cables"</f>
        <v>Power Cables</v>
      </c>
      <c r="G378" s="2">
        <v>54.24</v>
      </c>
      <c r="H378" t="str">
        <f>"UNSPSC: 26121636"</f>
        <v>UNSPSC: 26121636</v>
      </c>
    </row>
    <row r="379" spans="1:8" x14ac:dyDescent="0.25">
      <c r="A379" t="s">
        <v>83</v>
      </c>
      <c r="B379">
        <v>2100</v>
      </c>
      <c r="C379" s="2">
        <v>135.81</v>
      </c>
      <c r="D379" s="1">
        <v>43858</v>
      </c>
      <c r="E379" t="str">
        <f>"VVM6509"</f>
        <v>VVM6509</v>
      </c>
      <c r="F379" t="str">
        <f>"POWER CORD FOR JULIE SOM"</f>
        <v>POWER CORD FOR JULIE SOM</v>
      </c>
      <c r="G379" s="2">
        <v>11.76</v>
      </c>
      <c r="H379" t="str">
        <f>"Mfg. Part#: PXT10112"</f>
        <v>Mfg. Part#: PXT10112</v>
      </c>
    </row>
    <row r="380" spans="1:8" x14ac:dyDescent="0.25">
      <c r="E380" t="str">
        <f>"WHL6595"</f>
        <v>WHL6595</v>
      </c>
      <c r="F380" t="str">
        <f>"HDMI cords for new laptop"</f>
        <v>HDMI cords for new laptop</v>
      </c>
      <c r="G380" s="2">
        <v>124.05</v>
      </c>
      <c r="H380" t="str">
        <f>"Mfg. Part#: HDMM3"</f>
        <v>Mfg. Part#: HDMM3</v>
      </c>
    </row>
    <row r="381" spans="1:8" x14ac:dyDescent="0.25">
      <c r="A381" t="s">
        <v>84</v>
      </c>
      <c r="B381">
        <v>2009</v>
      </c>
      <c r="C381" s="2">
        <v>5752.5</v>
      </c>
      <c r="D381" s="1">
        <v>43844</v>
      </c>
      <c r="E381" t="str">
        <f>"201912304341"</f>
        <v>201912304341</v>
      </c>
      <c r="F381" t="str">
        <f>"CAUSE #15 914/FINAL INVOICE"</f>
        <v>CAUSE #15 914/FINAL INVOICE</v>
      </c>
      <c r="G381" s="2">
        <v>5752.5</v>
      </c>
      <c r="H381" t="str">
        <f>"CAUSE #15 914/FINAL INVOICE"</f>
        <v>CAUSE #15 914/FINAL INVOICE</v>
      </c>
    </row>
    <row r="382" spans="1:8" x14ac:dyDescent="0.25">
      <c r="A382" t="s">
        <v>85</v>
      </c>
      <c r="B382">
        <v>130372</v>
      </c>
      <c r="C382" s="2">
        <v>6347.6</v>
      </c>
      <c r="D382" s="1">
        <v>43843</v>
      </c>
      <c r="E382" t="str">
        <f>"ORD0010653"</f>
        <v>ORD0010653</v>
      </c>
      <c r="F382" t="str">
        <f>"CENTERLINE SUPPLY  INC."</f>
        <v>CENTERLINE SUPPLY  INC.</v>
      </c>
      <c r="G382" s="2">
        <v>6150</v>
      </c>
      <c r="H382" t="str">
        <f>"Striping Machine"</f>
        <v>Striping Machine</v>
      </c>
    </row>
    <row r="383" spans="1:8" x14ac:dyDescent="0.25">
      <c r="E383" t="str">
        <f>"ORD0011479"</f>
        <v>ORD0011479</v>
      </c>
      <c r="F383" t="str">
        <f>"Paint  Beads  and Stencil"</f>
        <v>Paint  Beads  and Stencil</v>
      </c>
      <c r="G383" s="2">
        <v>197.6</v>
      </c>
      <c r="H383" t="str">
        <f>"Item# 20301-102"</f>
        <v>Item# 20301-102</v>
      </c>
    </row>
    <row r="384" spans="1:8" x14ac:dyDescent="0.25">
      <c r="E384" t="str">
        <f>""</f>
        <v/>
      </c>
      <c r="F384" t="str">
        <f>""</f>
        <v/>
      </c>
      <c r="H384" t="str">
        <f>"Item# 20700-500"</f>
        <v>Item# 20700-500</v>
      </c>
    </row>
    <row r="385" spans="1:8" x14ac:dyDescent="0.25">
      <c r="E385" t="str">
        <f>""</f>
        <v/>
      </c>
      <c r="F385" t="str">
        <f>""</f>
        <v/>
      </c>
      <c r="H385" t="str">
        <f>"Item# 70251-H02"</f>
        <v>Item# 70251-H02</v>
      </c>
    </row>
    <row r="386" spans="1:8" x14ac:dyDescent="0.25">
      <c r="A386" t="s">
        <v>86</v>
      </c>
      <c r="B386">
        <v>130726</v>
      </c>
      <c r="C386" s="2">
        <v>2508.65</v>
      </c>
      <c r="D386" s="1">
        <v>43860</v>
      </c>
      <c r="E386" t="str">
        <f>"202001304922"</f>
        <v>202001304922</v>
      </c>
      <c r="F386" t="str">
        <f>"ACCT#8000081165-5 / 01242020"</f>
        <v>ACCT#8000081165-5 / 01242020</v>
      </c>
      <c r="G386" s="2">
        <v>2508.65</v>
      </c>
      <c r="H386" t="str">
        <f>"CENTERPOINT ENERGY"</f>
        <v>CENTERPOINT ENERGY</v>
      </c>
    </row>
    <row r="387" spans="1:8" x14ac:dyDescent="0.25">
      <c r="E387" t="str">
        <f>""</f>
        <v/>
      </c>
      <c r="F387" t="str">
        <f>""</f>
        <v/>
      </c>
      <c r="H387" t="str">
        <f>"CENTERPOINT ENERGY"</f>
        <v>CENTERPOINT ENERGY</v>
      </c>
    </row>
    <row r="388" spans="1:8" x14ac:dyDescent="0.25">
      <c r="A388" t="s">
        <v>87</v>
      </c>
      <c r="B388">
        <v>130373</v>
      </c>
      <c r="C388" s="2">
        <v>600</v>
      </c>
      <c r="D388" s="1">
        <v>43843</v>
      </c>
      <c r="E388" t="str">
        <f>"BC2#023"</f>
        <v>BC2#023</v>
      </c>
      <c r="F388" t="str">
        <f>"RENTAL DATES:11/29-12/29/PCT#2"</f>
        <v>RENTAL DATES:11/29-12/29/PCT#2</v>
      </c>
      <c r="G388" s="2">
        <v>600</v>
      </c>
      <c r="H388" t="str">
        <f>"RENTAL DATES:11/29-12/29/PCT#2"</f>
        <v>RENTAL DATES:11/29-12/29/PCT#2</v>
      </c>
    </row>
    <row r="389" spans="1:8" x14ac:dyDescent="0.25">
      <c r="A389" t="s">
        <v>88</v>
      </c>
      <c r="B389">
        <v>130374</v>
      </c>
      <c r="C389" s="2">
        <v>79.62</v>
      </c>
      <c r="D389" s="1">
        <v>43843</v>
      </c>
      <c r="E389" t="str">
        <f>"4617*145*1"</f>
        <v>4617*145*1</v>
      </c>
      <c r="F389" t="str">
        <f>"JAIL MEDICAL"</f>
        <v>JAIL MEDICAL</v>
      </c>
      <c r="G389" s="2">
        <v>79.62</v>
      </c>
      <c r="H389" t="str">
        <f>"JAIL MEDICAL"</f>
        <v>JAIL MEDICAL</v>
      </c>
    </row>
    <row r="390" spans="1:8" x14ac:dyDescent="0.25">
      <c r="A390" t="s">
        <v>89</v>
      </c>
      <c r="B390">
        <v>130375</v>
      </c>
      <c r="C390" s="2">
        <v>635.4</v>
      </c>
      <c r="D390" s="1">
        <v>43843</v>
      </c>
      <c r="E390" t="str">
        <f>"74789"</f>
        <v>74789</v>
      </c>
      <c r="F390" t="str">
        <f>"Internet"</f>
        <v>Internet</v>
      </c>
      <c r="G390" s="2">
        <v>635.4</v>
      </c>
    </row>
    <row r="391" spans="1:8" x14ac:dyDescent="0.25">
      <c r="A391" t="s">
        <v>89</v>
      </c>
      <c r="B391">
        <v>130375</v>
      </c>
      <c r="C391" s="2">
        <v>635.4</v>
      </c>
      <c r="D391" s="1">
        <v>43851</v>
      </c>
      <c r="E391" t="str">
        <f>"CHECK"</f>
        <v>CHECK</v>
      </c>
      <c r="F391" t="str">
        <f>""</f>
        <v/>
      </c>
      <c r="G391" s="2">
        <v>635.4</v>
      </c>
    </row>
    <row r="392" spans="1:8" x14ac:dyDescent="0.25">
      <c r="A392" t="s">
        <v>90</v>
      </c>
      <c r="B392">
        <v>130550</v>
      </c>
      <c r="C392" s="2">
        <v>850</v>
      </c>
      <c r="D392" s="1">
        <v>43857</v>
      </c>
      <c r="E392" t="str">
        <f>"202001224768"</f>
        <v>202001224768</v>
      </c>
      <c r="F392" t="str">
        <f>"JP109022019F"</f>
        <v>JP109022019F</v>
      </c>
      <c r="G392" s="2">
        <v>250</v>
      </c>
      <c r="H392" t="str">
        <f>"JP109022019F"</f>
        <v>JP109022019F</v>
      </c>
    </row>
    <row r="393" spans="1:8" x14ac:dyDescent="0.25">
      <c r="E393" t="str">
        <f>"202001224769"</f>
        <v>202001224769</v>
      </c>
      <c r="F393" t="str">
        <f>"020905.3"</f>
        <v>020905.3</v>
      </c>
      <c r="G393" s="2">
        <v>250</v>
      </c>
      <c r="H393" t="str">
        <f>"020905.3"</f>
        <v>020905.3</v>
      </c>
    </row>
    <row r="394" spans="1:8" x14ac:dyDescent="0.25">
      <c r="E394" t="str">
        <f>"202001224770"</f>
        <v>202001224770</v>
      </c>
      <c r="F394" t="str">
        <f>"19-19679"</f>
        <v>19-19679</v>
      </c>
      <c r="G394" s="2">
        <v>100</v>
      </c>
      <c r="H394" t="str">
        <f>"19-19679"</f>
        <v>19-19679</v>
      </c>
    </row>
    <row r="395" spans="1:8" x14ac:dyDescent="0.25">
      <c r="E395" t="str">
        <f>"202001224771"</f>
        <v>202001224771</v>
      </c>
      <c r="F395" t="str">
        <f>"JP108012019C"</f>
        <v>JP108012019C</v>
      </c>
      <c r="G395" s="2">
        <v>250</v>
      </c>
      <c r="H395" t="str">
        <f>"JP108012019C"</f>
        <v>JP108012019C</v>
      </c>
    </row>
    <row r="396" spans="1:8" x14ac:dyDescent="0.25">
      <c r="A396" t="s">
        <v>91</v>
      </c>
      <c r="B396">
        <v>130376</v>
      </c>
      <c r="C396" s="2">
        <v>570</v>
      </c>
      <c r="D396" s="1">
        <v>43843</v>
      </c>
      <c r="E396" t="str">
        <f>"202001074509"</f>
        <v>202001074509</v>
      </c>
      <c r="F396" t="str">
        <f>"RENTAL UNIT 190 (10X15)"</f>
        <v>RENTAL UNIT 190 (10X15)</v>
      </c>
      <c r="G396" s="2">
        <v>570</v>
      </c>
      <c r="H396" t="str">
        <f>"RENTAL UNIT 190 (10X15)"</f>
        <v>RENTAL UNIT 190 (10X15)</v>
      </c>
    </row>
    <row r="397" spans="1:8" x14ac:dyDescent="0.25">
      <c r="A397" t="s">
        <v>92</v>
      </c>
      <c r="B397">
        <v>2032</v>
      </c>
      <c r="C397" s="2">
        <v>300</v>
      </c>
      <c r="D397" s="1">
        <v>43844</v>
      </c>
      <c r="E397" t="str">
        <f>"201912274314"</f>
        <v>201912274314</v>
      </c>
      <c r="F397" t="str">
        <f>"1391-335  423-6998"</f>
        <v>1391-335  423-6998</v>
      </c>
      <c r="G397" s="2">
        <v>200</v>
      </c>
      <c r="H397" t="str">
        <f>"1391-335  423-6998"</f>
        <v>1391-335  423-6998</v>
      </c>
    </row>
    <row r="398" spans="1:8" x14ac:dyDescent="0.25">
      <c r="E398" t="str">
        <f>"201912274315"</f>
        <v>201912274315</v>
      </c>
      <c r="F398" t="str">
        <f>"DCPC-19-058"</f>
        <v>DCPC-19-058</v>
      </c>
      <c r="G398" s="2">
        <v>100</v>
      </c>
      <c r="H398" t="str">
        <f>"DCPC-19-058"</f>
        <v>DCPC-19-058</v>
      </c>
    </row>
    <row r="399" spans="1:8" x14ac:dyDescent="0.25">
      <c r="A399" t="s">
        <v>92</v>
      </c>
      <c r="B399">
        <v>2108</v>
      </c>
      <c r="C399" s="2">
        <v>400</v>
      </c>
      <c r="D399" s="1">
        <v>43858</v>
      </c>
      <c r="E399" t="str">
        <f>"202001174682"</f>
        <v>202001174682</v>
      </c>
      <c r="F399" t="str">
        <f>"16 979"</f>
        <v>16 979</v>
      </c>
      <c r="G399" s="2">
        <v>400</v>
      </c>
      <c r="H399" t="str">
        <f>"16 979"</f>
        <v>16 979</v>
      </c>
    </row>
    <row r="400" spans="1:8" x14ac:dyDescent="0.25">
      <c r="A400" t="s">
        <v>93</v>
      </c>
      <c r="B400">
        <v>130377</v>
      </c>
      <c r="C400" s="2">
        <v>323.02999999999997</v>
      </c>
      <c r="D400" s="1">
        <v>43843</v>
      </c>
      <c r="E400" t="str">
        <f>"202001074516"</f>
        <v>202001074516</v>
      </c>
      <c r="F400" t="str">
        <f>"INV 9074149942"</f>
        <v>INV 9074149942</v>
      </c>
      <c r="G400" s="2">
        <v>100</v>
      </c>
      <c r="H400" t="str">
        <f>"INV 9074149942"</f>
        <v>INV 9074149942</v>
      </c>
    </row>
    <row r="401" spans="1:8" x14ac:dyDescent="0.25">
      <c r="E401" t="str">
        <f>"5015561349"</f>
        <v>5015561349</v>
      </c>
      <c r="F401" t="str">
        <f>"CUST#0011167190/PCT#1"</f>
        <v>CUST#0011167190/PCT#1</v>
      </c>
      <c r="G401" s="2">
        <v>173.03</v>
      </c>
      <c r="H401" t="str">
        <f>"CUST#0011167190/PCT#1"</f>
        <v>CUST#0011167190/PCT#1</v>
      </c>
    </row>
    <row r="402" spans="1:8" x14ac:dyDescent="0.25">
      <c r="E402" t="str">
        <f>"9074149942"</f>
        <v>9074149942</v>
      </c>
      <c r="F402" t="str">
        <f>"INV 9074149942"</f>
        <v>INV 9074149942</v>
      </c>
      <c r="G402" s="2">
        <v>50</v>
      </c>
      <c r="H402" t="str">
        <f>"INV 9074149942"</f>
        <v>INV 9074149942</v>
      </c>
    </row>
    <row r="403" spans="1:8" x14ac:dyDescent="0.25">
      <c r="A403" t="s">
        <v>94</v>
      </c>
      <c r="B403">
        <v>130378</v>
      </c>
      <c r="C403" s="2">
        <v>40.14</v>
      </c>
      <c r="D403" s="1">
        <v>43843</v>
      </c>
      <c r="E403" t="str">
        <f>"8404440128"</f>
        <v>8404440128</v>
      </c>
      <c r="F403" t="str">
        <f>"CUST#10377368/PCT#2"</f>
        <v>CUST#10377368/PCT#2</v>
      </c>
      <c r="G403" s="2">
        <v>40.14</v>
      </c>
      <c r="H403" t="str">
        <f>"CUST#10377368/PCT#2"</f>
        <v>CUST#10377368/PCT#2</v>
      </c>
    </row>
    <row r="404" spans="1:8" x14ac:dyDescent="0.25">
      <c r="A404" t="s">
        <v>95</v>
      </c>
      <c r="B404">
        <v>130379</v>
      </c>
      <c r="C404" s="2">
        <v>357.1</v>
      </c>
      <c r="D404" s="1">
        <v>43843</v>
      </c>
      <c r="E404" t="str">
        <f>"202001074430"</f>
        <v>202001074430</v>
      </c>
      <c r="F404" t="str">
        <f>"PAYER#14108463/ANIMAL SHELTER"</f>
        <v>PAYER#14108463/ANIMAL SHELTER</v>
      </c>
      <c r="G404" s="2">
        <v>357.1</v>
      </c>
      <c r="H404" t="str">
        <f>"PAYER#14108463/ANIMAL SHELTER"</f>
        <v>PAYER#14108463/ANIMAL SHELTER</v>
      </c>
    </row>
    <row r="405" spans="1:8" x14ac:dyDescent="0.25">
      <c r="A405" t="s">
        <v>94</v>
      </c>
      <c r="B405">
        <v>130551</v>
      </c>
      <c r="C405" s="2">
        <v>363.98</v>
      </c>
      <c r="D405" s="1">
        <v>43857</v>
      </c>
      <c r="E405" t="str">
        <f>"8404462300"</f>
        <v>8404462300</v>
      </c>
      <c r="F405" t="str">
        <f>"PAYER#10377368/PCT#3"</f>
        <v>PAYER#10377368/PCT#3</v>
      </c>
      <c r="G405" s="2">
        <v>363.98</v>
      </c>
      <c r="H405" t="str">
        <f>"PAYER#10377368/PCT#3"</f>
        <v>PAYER#10377368/PCT#3</v>
      </c>
    </row>
    <row r="406" spans="1:8" x14ac:dyDescent="0.25">
      <c r="A406" t="s">
        <v>95</v>
      </c>
      <c r="B406">
        <v>130552</v>
      </c>
      <c r="C406" s="2">
        <v>4979.1099999999997</v>
      </c>
      <c r="D406" s="1">
        <v>43857</v>
      </c>
      <c r="E406" t="str">
        <f>"202001164654"</f>
        <v>202001164654</v>
      </c>
      <c r="F406" t="str">
        <f>"PAYER#14108431/SIGN SHOP"</f>
        <v>PAYER#14108431/SIGN SHOP</v>
      </c>
      <c r="G406" s="2">
        <v>60.58</v>
      </c>
      <c r="H406" t="str">
        <f>"PAYER#14108431/SIGN SHOP"</f>
        <v>PAYER#14108431/SIGN SHOP</v>
      </c>
    </row>
    <row r="407" spans="1:8" x14ac:dyDescent="0.25">
      <c r="E407" t="str">
        <f>"202001164655"</f>
        <v>202001164655</v>
      </c>
      <c r="F407" t="str">
        <f>"PAYER#14108375/GEN SVCS"</f>
        <v>PAYER#14108375/GEN SVCS</v>
      </c>
      <c r="G407" s="2">
        <v>1513.73</v>
      </c>
      <c r="H407" t="str">
        <f>"PAYER#14108375/GEN SVCS"</f>
        <v>PAYER#14108375/GEN SVCS</v>
      </c>
    </row>
    <row r="408" spans="1:8" x14ac:dyDescent="0.25">
      <c r="E408" t="str">
        <f>"202001174675"</f>
        <v>202001174675</v>
      </c>
      <c r="F408" t="str">
        <f>"PAYER#14108431/PCT#1"</f>
        <v>PAYER#14108431/PCT#1</v>
      </c>
      <c r="G408" s="2">
        <v>841.29</v>
      </c>
      <c r="H408" t="str">
        <f>"PAYER#14108431/PCT#1"</f>
        <v>PAYER#14108431/PCT#1</v>
      </c>
    </row>
    <row r="409" spans="1:8" x14ac:dyDescent="0.25">
      <c r="E409" t="str">
        <f>"202001174680"</f>
        <v>202001174680</v>
      </c>
      <c r="F409" t="str">
        <f>"PAYER#14108430/PCT#4"</f>
        <v>PAYER#14108430/PCT#4</v>
      </c>
      <c r="G409" s="2">
        <v>1969.27</v>
      </c>
      <c r="H409" t="str">
        <f>"PAYER#14108430/PCT#4"</f>
        <v>PAYER#14108430/PCT#4</v>
      </c>
    </row>
    <row r="410" spans="1:8" x14ac:dyDescent="0.25">
      <c r="E410" t="str">
        <f>"202001224812"</f>
        <v>202001224812</v>
      </c>
      <c r="F410" t="str">
        <f>"PAYER#14108367 / PCT #2"</f>
        <v>PAYER#14108367 / PCT #2</v>
      </c>
      <c r="G410" s="2">
        <v>594.24</v>
      </c>
      <c r="H410" t="str">
        <f>"PAYER#14108367 / PCT #2"</f>
        <v>PAYER#14108367 / PCT #2</v>
      </c>
    </row>
    <row r="411" spans="1:8" x14ac:dyDescent="0.25">
      <c r="A411" t="s">
        <v>96</v>
      </c>
      <c r="B411">
        <v>130512</v>
      </c>
      <c r="C411" s="2">
        <v>13188.17</v>
      </c>
      <c r="D411" s="1">
        <v>43845</v>
      </c>
      <c r="E411" t="str">
        <f>"202001154632"</f>
        <v>202001154632</v>
      </c>
      <c r="F411" t="str">
        <f>"ACCT# 72-5613 / 01032020"</f>
        <v>ACCT# 72-5613 / 01032020</v>
      </c>
      <c r="G411" s="2">
        <v>-279.8</v>
      </c>
      <c r="H411" t="str">
        <f>"ACCT# 72-5613 / 01032020"</f>
        <v>ACCT# 72-5613 / 01032020</v>
      </c>
    </row>
    <row r="412" spans="1:8" x14ac:dyDescent="0.25">
      <c r="E412" t="str">
        <f>""</f>
        <v/>
      </c>
      <c r="F412" t="str">
        <f>""</f>
        <v/>
      </c>
      <c r="H412" t="str">
        <f>"ACCT# 72-5613 / 01032020"</f>
        <v>ACCT# 72-5613 / 01032020</v>
      </c>
    </row>
    <row r="413" spans="1:8" x14ac:dyDescent="0.25">
      <c r="E413" t="str">
        <f>"202001154631"</f>
        <v>202001154631</v>
      </c>
      <c r="F413" t="str">
        <f>"ACCT# 72-5613 / 01032020"</f>
        <v>ACCT# 72-5613 / 01032020</v>
      </c>
      <c r="G413" s="2">
        <v>13467.97</v>
      </c>
      <c r="H413" t="str">
        <f>"ACCT# 72-5613 / 01032020"</f>
        <v>ACCT# 72-5613 / 01032020</v>
      </c>
    </row>
    <row r="414" spans="1:8" x14ac:dyDescent="0.25">
      <c r="A414" t="s">
        <v>97</v>
      </c>
      <c r="B414">
        <v>130337</v>
      </c>
      <c r="C414" s="2">
        <v>37355.730000000003</v>
      </c>
      <c r="D414" s="1">
        <v>43839</v>
      </c>
      <c r="E414" t="str">
        <f>"202001084577"</f>
        <v>202001084577</v>
      </c>
      <c r="F414" t="str">
        <f>"ACCT#02-2083-04 / 12292019"</f>
        <v>ACCT#02-2083-04 / 12292019</v>
      </c>
      <c r="G414" s="2">
        <v>4832.1899999999996</v>
      </c>
      <c r="H414" t="str">
        <f>"ACCT#02-2083-04 / 12292019"</f>
        <v>ACCT#02-2083-04 / 12292019</v>
      </c>
    </row>
    <row r="415" spans="1:8" x14ac:dyDescent="0.25">
      <c r="E415" t="str">
        <f>"202001084578"</f>
        <v>202001084578</v>
      </c>
      <c r="F415" t="str">
        <f>"COUNTY DEV CTR / 12292019"</f>
        <v>COUNTY DEV CTR / 12292019</v>
      </c>
      <c r="G415" s="2">
        <v>1559.81</v>
      </c>
      <c r="H415" t="str">
        <f>"COUNTY DEV CTR / 12292019"</f>
        <v>COUNTY DEV CTR / 12292019</v>
      </c>
    </row>
    <row r="416" spans="1:8" x14ac:dyDescent="0.25">
      <c r="E416" t="str">
        <f>"202001084579"</f>
        <v>202001084579</v>
      </c>
      <c r="F416" t="str">
        <f>"COUNTY LAW ENF CTR / 12292019"</f>
        <v>COUNTY LAW ENF CTR / 12292019</v>
      </c>
      <c r="G416" s="2">
        <v>19979.14</v>
      </c>
      <c r="H416" t="str">
        <f>"COUNTY LAW ENF CTR / 12292019"</f>
        <v>COUNTY LAW ENF CTR / 12292019</v>
      </c>
    </row>
    <row r="417" spans="1:8" x14ac:dyDescent="0.25">
      <c r="E417" t="str">
        <f>"202001084580"</f>
        <v>202001084580</v>
      </c>
      <c r="F417" t="str">
        <f>"BASTROP COURTHOUSE / 12292019"</f>
        <v>BASTROP COURTHOUSE / 12292019</v>
      </c>
      <c r="G417" s="2">
        <v>10984.59</v>
      </c>
      <c r="H417" t="str">
        <f>"BASTROP COURTHOUSE / 12292019"</f>
        <v>BASTROP COURTHOUSE / 12292019</v>
      </c>
    </row>
    <row r="418" spans="1:8" x14ac:dyDescent="0.25">
      <c r="A418" t="s">
        <v>97</v>
      </c>
      <c r="B418">
        <v>130553</v>
      </c>
      <c r="C418" s="2">
        <v>750</v>
      </c>
      <c r="D418" s="1">
        <v>43857</v>
      </c>
      <c r="E418" t="str">
        <f>"202001164653"</f>
        <v>202001164653</v>
      </c>
      <c r="F418" t="str">
        <f>"RENTAL-PARKING LOT"</f>
        <v>RENTAL-PARKING LOT</v>
      </c>
      <c r="G418" s="2">
        <v>750</v>
      </c>
      <c r="H418" t="str">
        <f>"RENTAL-PARKING LOT"</f>
        <v>RENTAL-PARKING LOT</v>
      </c>
    </row>
    <row r="419" spans="1:8" x14ac:dyDescent="0.25">
      <c r="A419" t="s">
        <v>98</v>
      </c>
      <c r="B419">
        <v>130727</v>
      </c>
      <c r="C419" s="2">
        <v>2988.27</v>
      </c>
      <c r="D419" s="1">
        <v>43860</v>
      </c>
      <c r="E419" t="str">
        <f>"202001304923"</f>
        <v>202001304923</v>
      </c>
      <c r="F419" t="str">
        <f>"ACCT#007-0000388-000/01242020"</f>
        <v>ACCT#007-0000388-000/01242020</v>
      </c>
      <c r="G419" s="2">
        <v>439.88</v>
      </c>
      <c r="H419" t="str">
        <f>"ACCT#007-0000388-000/01242020"</f>
        <v>ACCT#007-0000388-000/01242020</v>
      </c>
    </row>
    <row r="420" spans="1:8" x14ac:dyDescent="0.25">
      <c r="E420" t="str">
        <f>"202001304924"</f>
        <v>202001304924</v>
      </c>
      <c r="F420" t="str">
        <f>"ACCT#007-0000389-000/01242020"</f>
        <v>ACCT#007-0000389-000/01242020</v>
      </c>
      <c r="G420" s="2">
        <v>22.86</v>
      </c>
      <c r="H420" t="str">
        <f>"ACCT#007-0000389-000/01242020"</f>
        <v>ACCT#007-0000389-000/01242020</v>
      </c>
    </row>
    <row r="421" spans="1:8" x14ac:dyDescent="0.25">
      <c r="E421" t="str">
        <f>"202001304925"</f>
        <v>202001304925</v>
      </c>
      <c r="F421" t="str">
        <f>"ACCT#044-0001240-000/01242020"</f>
        <v>ACCT#044-0001240-000/01242020</v>
      </c>
      <c r="G421" s="2">
        <v>340.59</v>
      </c>
      <c r="H421" t="str">
        <f>"ACCT#044-0001240-000/01242020"</f>
        <v>ACCT#044-0001240-000/01242020</v>
      </c>
    </row>
    <row r="422" spans="1:8" x14ac:dyDescent="0.25">
      <c r="E422" t="str">
        <f>"202001304926"</f>
        <v>202001304926</v>
      </c>
      <c r="F422" t="str">
        <f>"ACCT#044-0001250-000/01242020"</f>
        <v>ACCT#044-0001250-000/01242020</v>
      </c>
      <c r="G422" s="2">
        <v>105.43</v>
      </c>
      <c r="H422" t="str">
        <f>"ACCT#044-0001250-000/01242020"</f>
        <v>ACCT#044-0001250-000/01242020</v>
      </c>
    </row>
    <row r="423" spans="1:8" x14ac:dyDescent="0.25">
      <c r="E423" t="str">
        <f>"202001304927"</f>
        <v>202001304927</v>
      </c>
      <c r="F423" t="str">
        <f>"ACCT#044-0001252-000/01242020"</f>
        <v>ACCT#044-0001252-000/01242020</v>
      </c>
      <c r="G423" s="2">
        <v>1908.53</v>
      </c>
      <c r="H423" t="str">
        <f>"ACCT#044-0001252-000/01242020"</f>
        <v>ACCT#044-0001252-000/01242020</v>
      </c>
    </row>
    <row r="424" spans="1:8" x14ac:dyDescent="0.25">
      <c r="E424" t="str">
        <f>"202001304928"</f>
        <v>202001304928</v>
      </c>
      <c r="F424" t="str">
        <f>"ACCT#044-0001253-000/01242020"</f>
        <v>ACCT#044-0001253-000/01242020</v>
      </c>
      <c r="G424" s="2">
        <v>170.98</v>
      </c>
      <c r="H424" t="str">
        <f>"ACCT#044-0001253-000/01242020"</f>
        <v>ACCT#044-0001253-000/01242020</v>
      </c>
    </row>
    <row r="425" spans="1:8" x14ac:dyDescent="0.25">
      <c r="A425" t="s">
        <v>99</v>
      </c>
      <c r="B425">
        <v>130380</v>
      </c>
      <c r="C425" s="2">
        <v>246.4</v>
      </c>
      <c r="D425" s="1">
        <v>43843</v>
      </c>
      <c r="E425" t="str">
        <f>"148"</f>
        <v>148</v>
      </c>
      <c r="F425" t="str">
        <f>"CAUSE#16905"</f>
        <v>CAUSE#16905</v>
      </c>
      <c r="G425" s="2">
        <v>246.4</v>
      </c>
      <c r="H425" t="str">
        <f>"CAUSE#16905"</f>
        <v>CAUSE#16905</v>
      </c>
    </row>
    <row r="426" spans="1:8" x14ac:dyDescent="0.25">
      <c r="A426" t="s">
        <v>100</v>
      </c>
      <c r="B426">
        <v>130381</v>
      </c>
      <c r="C426" s="2">
        <v>170</v>
      </c>
      <c r="D426" s="1">
        <v>43843</v>
      </c>
      <c r="E426" t="str">
        <f>"202001024376"</f>
        <v>202001024376</v>
      </c>
      <c r="F426" t="str">
        <f>"FERAL HOGS"</f>
        <v>FERAL HOGS</v>
      </c>
      <c r="G426" s="2">
        <v>170</v>
      </c>
      <c r="H426" t="str">
        <f>"FERAL HOGS"</f>
        <v>FERAL HOGS</v>
      </c>
    </row>
    <row r="427" spans="1:8" x14ac:dyDescent="0.25">
      <c r="A427" t="s">
        <v>101</v>
      </c>
      <c r="B427">
        <v>1978</v>
      </c>
      <c r="C427" s="2">
        <v>1084.29</v>
      </c>
      <c r="D427" s="1">
        <v>43844</v>
      </c>
      <c r="E427" t="str">
        <f>"PMA-0058517"</f>
        <v>PMA-0058517</v>
      </c>
      <c r="F427" t="str">
        <f>"AGREEMENT #PMA-010644"</f>
        <v>AGREEMENT #PMA-010644</v>
      </c>
      <c r="G427" s="2">
        <v>100</v>
      </c>
      <c r="H427" t="str">
        <f>"AGREEMENT #PMA-010644"</f>
        <v>AGREEMENT #PMA-010644</v>
      </c>
    </row>
    <row r="428" spans="1:8" x14ac:dyDescent="0.25">
      <c r="E428" t="str">
        <f>"PMA-0058518"</f>
        <v>PMA-0058518</v>
      </c>
      <c r="F428" t="str">
        <f>"AGREEMENT#PMA-010648"</f>
        <v>AGREEMENT#PMA-010648</v>
      </c>
      <c r="G428" s="2">
        <v>115</v>
      </c>
      <c r="H428" t="str">
        <f>"PMA-0058518"</f>
        <v>PMA-0058518</v>
      </c>
    </row>
    <row r="429" spans="1:8" x14ac:dyDescent="0.25">
      <c r="E429" t="str">
        <f>"PMA-0058519"</f>
        <v>PMA-0058519</v>
      </c>
      <c r="F429" t="str">
        <f>"AGREEMENT#PMA-013606"</f>
        <v>AGREEMENT#PMA-013606</v>
      </c>
      <c r="G429" s="2">
        <v>459</v>
      </c>
      <c r="H429" t="str">
        <f>"AGREEMENT#PMA-013606"</f>
        <v>AGREEMENT#PMA-013606</v>
      </c>
    </row>
    <row r="430" spans="1:8" x14ac:dyDescent="0.25">
      <c r="E430" t="str">
        <f>"SVC-0095167"</f>
        <v>SVC-0095167</v>
      </c>
      <c r="F430" t="str">
        <f>"SERVICE CALL/SMITHVILLE TOWER"</f>
        <v>SERVICE CALL/SMITHVILLE TOWER</v>
      </c>
      <c r="G430" s="2">
        <v>410.29</v>
      </c>
      <c r="H430" t="str">
        <f>"SERVICE CALL/SMITHVILLE TOWER"</f>
        <v>SERVICE CALL/SMITHVILLE TOWER</v>
      </c>
    </row>
    <row r="431" spans="1:8" x14ac:dyDescent="0.25">
      <c r="A431" t="s">
        <v>101</v>
      </c>
      <c r="B431">
        <v>2046</v>
      </c>
      <c r="C431" s="2">
        <v>749</v>
      </c>
      <c r="D431" s="1">
        <v>43858</v>
      </c>
      <c r="E431" t="str">
        <f>"PMA-0058833"</f>
        <v>PMA-0058833</v>
      </c>
      <c r="F431" t="str">
        <f>"INV PMA-0058833"</f>
        <v>INV PMA-0058833</v>
      </c>
      <c r="G431" s="2">
        <v>749</v>
      </c>
      <c r="H431" t="str">
        <f>"INV PMA-0058833"</f>
        <v>INV PMA-0058833</v>
      </c>
    </row>
    <row r="432" spans="1:8" x14ac:dyDescent="0.25">
      <c r="A432" t="s">
        <v>102</v>
      </c>
      <c r="B432">
        <v>2080</v>
      </c>
      <c r="C432" s="2">
        <v>368.31</v>
      </c>
      <c r="D432" s="1">
        <v>43858</v>
      </c>
      <c r="E432" t="str">
        <f>"201912-0"</f>
        <v>201912-0</v>
      </c>
      <c r="F432" t="str">
        <f>"INV 201912-0"</f>
        <v>INV 201912-0</v>
      </c>
      <c r="G432" s="2">
        <v>76.42</v>
      </c>
      <c r="H432" t="str">
        <f>"INV 201912-0"</f>
        <v>INV 201912-0</v>
      </c>
    </row>
    <row r="433" spans="1:8" x14ac:dyDescent="0.25">
      <c r="E433" t="str">
        <f>"202001214712"</f>
        <v>202001214712</v>
      </c>
      <c r="F433" t="str">
        <f>"INDIGENT HEALTH"</f>
        <v>INDIGENT HEALTH</v>
      </c>
      <c r="G433" s="2">
        <v>291.89</v>
      </c>
      <c r="H433" t="str">
        <f>"INDIGENT HEALTH"</f>
        <v>INDIGENT HEALTH</v>
      </c>
    </row>
    <row r="434" spans="1:8" x14ac:dyDescent="0.25">
      <c r="A434" t="s">
        <v>103</v>
      </c>
      <c r="B434">
        <v>130382</v>
      </c>
      <c r="C434" s="2">
        <v>967.89</v>
      </c>
      <c r="D434" s="1">
        <v>43843</v>
      </c>
      <c r="E434" t="str">
        <f>"201912304345"</f>
        <v>201912304345</v>
      </c>
      <c r="F434" t="str">
        <f>"BOND#01841496TX"</f>
        <v>BOND#01841496TX</v>
      </c>
      <c r="G434" s="2">
        <v>37.5</v>
      </c>
      <c r="H434" t="str">
        <f>"BOND#01841496TX"</f>
        <v>BOND#01841496TX</v>
      </c>
    </row>
    <row r="435" spans="1:8" x14ac:dyDescent="0.25">
      <c r="E435" t="str">
        <f>"201912304347"</f>
        <v>201912304347</v>
      </c>
      <c r="F435" t="str">
        <f>"BOND#01841496TX"</f>
        <v>BOND#01841496TX</v>
      </c>
      <c r="G435" s="2">
        <v>37.5</v>
      </c>
      <c r="H435" t="str">
        <f>"BOND#01841496TX"</f>
        <v>BOND#01841496TX</v>
      </c>
    </row>
    <row r="436" spans="1:8" x14ac:dyDescent="0.25">
      <c r="E436" t="str">
        <f>"201912304348"</f>
        <v>201912304348</v>
      </c>
      <c r="F436" t="str">
        <f>"BOND#01841496TX"</f>
        <v>BOND#01841496TX</v>
      </c>
      <c r="G436" s="2">
        <v>37.5</v>
      </c>
      <c r="H436" t="str">
        <f>"BOND#01841496TX"</f>
        <v>BOND#01841496TX</v>
      </c>
    </row>
    <row r="437" spans="1:8" x14ac:dyDescent="0.25">
      <c r="E437" t="str">
        <f>"201912304349"</f>
        <v>201912304349</v>
      </c>
      <c r="F437" t="str">
        <f>"BOND#01841496TX"</f>
        <v>BOND#01841496TX</v>
      </c>
      <c r="G437" s="2">
        <v>37.5</v>
      </c>
      <c r="H437" t="str">
        <f>"BOND#01841496TX"</f>
        <v>BOND#01841496TX</v>
      </c>
    </row>
    <row r="438" spans="1:8" x14ac:dyDescent="0.25">
      <c r="E438" t="str">
        <f>"24869949 01/01/19"</f>
        <v>24869949 01/01/19</v>
      </c>
      <c r="F438" t="str">
        <f>"BOND#24869949-S. LOUCKS"</f>
        <v>BOND#24869949-S. LOUCKS</v>
      </c>
      <c r="G438" s="2">
        <v>817.89</v>
      </c>
      <c r="H438" t="str">
        <f>"BOND#24869949-S. LOUCKS"</f>
        <v>BOND#24869949-S. LOUCKS</v>
      </c>
    </row>
    <row r="439" spans="1:8" x14ac:dyDescent="0.25">
      <c r="A439" t="s">
        <v>104</v>
      </c>
      <c r="B439">
        <v>130383</v>
      </c>
      <c r="C439" s="2">
        <v>10000</v>
      </c>
      <c r="D439" s="1">
        <v>43843</v>
      </c>
      <c r="E439" t="str">
        <f>"201912304339"</f>
        <v>201912304339</v>
      </c>
      <c r="F439" t="str">
        <f>"FY 2020 FUNDS"</f>
        <v>FY 2020 FUNDS</v>
      </c>
      <c r="G439" s="2">
        <v>10000</v>
      </c>
      <c r="H439" t="str">
        <f>"FY 2020 FUNDS"</f>
        <v>FY 2020 FUNDS</v>
      </c>
    </row>
    <row r="440" spans="1:8" x14ac:dyDescent="0.25">
      <c r="A440" t="s">
        <v>105</v>
      </c>
      <c r="B440">
        <v>130384</v>
      </c>
      <c r="C440" s="2">
        <v>1092.96</v>
      </c>
      <c r="D440" s="1">
        <v>43843</v>
      </c>
      <c r="E440" t="str">
        <f>"19723242"</f>
        <v>19723242</v>
      </c>
      <c r="F440" t="str">
        <f>"ACCT#434304/PCT#4"</f>
        <v>ACCT#434304/PCT#4</v>
      </c>
      <c r="G440" s="2">
        <v>1092.96</v>
      </c>
      <c r="H440" t="str">
        <f>"ACCT#434304/PCT#4"</f>
        <v>ACCT#434304/PCT#4</v>
      </c>
    </row>
    <row r="441" spans="1:8" x14ac:dyDescent="0.25">
      <c r="A441" t="s">
        <v>105</v>
      </c>
      <c r="B441">
        <v>130554</v>
      </c>
      <c r="C441" s="2">
        <v>4318.0200000000004</v>
      </c>
      <c r="D441" s="1">
        <v>43857</v>
      </c>
      <c r="E441" t="str">
        <f>"19791414"</f>
        <v>19791414</v>
      </c>
      <c r="F441" t="str">
        <f>"ACCT#434304/PCT#4"</f>
        <v>ACCT#434304/PCT#4</v>
      </c>
      <c r="G441" s="2">
        <v>1656</v>
      </c>
      <c r="H441" t="str">
        <f>"ACCT#434304/PCT#4"</f>
        <v>ACCT#434304/PCT#4</v>
      </c>
    </row>
    <row r="442" spans="1:8" x14ac:dyDescent="0.25">
      <c r="E442" t="str">
        <f>"19805375"</f>
        <v>19805375</v>
      </c>
      <c r="F442" t="str">
        <f>"ACCT#434304"</f>
        <v>ACCT#434304</v>
      </c>
      <c r="G442" s="2">
        <v>943.92</v>
      </c>
      <c r="H442" t="str">
        <f>"ACCT#434304"</f>
        <v>ACCT#434304</v>
      </c>
    </row>
    <row r="443" spans="1:8" x14ac:dyDescent="0.25">
      <c r="E443" t="str">
        <f>"19812323"</f>
        <v>19812323</v>
      </c>
      <c r="F443" t="str">
        <f>"ACCT#434304/PCT#4"</f>
        <v>ACCT#434304/PCT#4</v>
      </c>
      <c r="G443" s="2">
        <v>1718.1</v>
      </c>
      <c r="H443" t="str">
        <f>"ACCT#434304/PCT#4"</f>
        <v>ACCT#434304/PCT#4</v>
      </c>
    </row>
    <row r="444" spans="1:8" x14ac:dyDescent="0.25">
      <c r="A444" t="s">
        <v>106</v>
      </c>
      <c r="B444">
        <v>2008</v>
      </c>
      <c r="C444" s="2">
        <v>513.24</v>
      </c>
      <c r="D444" s="1">
        <v>43844</v>
      </c>
      <c r="E444" t="str">
        <f>"IN50785"</f>
        <v>IN50785</v>
      </c>
      <c r="F444" t="str">
        <f>"ACCT#353/PCT#3"</f>
        <v>ACCT#353/PCT#3</v>
      </c>
      <c r="G444" s="2">
        <v>513.24</v>
      </c>
      <c r="H444" t="str">
        <f>"ACCT#353/PCT#3"</f>
        <v>ACCT#353/PCT#3</v>
      </c>
    </row>
    <row r="445" spans="1:8" x14ac:dyDescent="0.25">
      <c r="A445" t="s">
        <v>106</v>
      </c>
      <c r="B445">
        <v>2079</v>
      </c>
      <c r="C445" s="2">
        <v>818.49</v>
      </c>
      <c r="D445" s="1">
        <v>43858</v>
      </c>
      <c r="E445" t="str">
        <f>"202001224758"</f>
        <v>202001224758</v>
      </c>
      <c r="F445" t="str">
        <f>"CUST #063 / 12302019"</f>
        <v>CUST #063 / 12302019</v>
      </c>
      <c r="G445" s="2">
        <v>282.24</v>
      </c>
      <c r="H445" t="str">
        <f>"CUST #063 / 12302019"</f>
        <v>CUST #063 / 12302019</v>
      </c>
    </row>
    <row r="446" spans="1:8" x14ac:dyDescent="0.25">
      <c r="E446" t="str">
        <f>"IN50672"</f>
        <v>IN50672</v>
      </c>
      <c r="F446" t="str">
        <f>"ACCT#353/PCT#1"</f>
        <v>ACCT#353/PCT#1</v>
      </c>
      <c r="G446" s="2">
        <v>536.25</v>
      </c>
      <c r="H446" t="str">
        <f>"ACCT#353/PCT#1"</f>
        <v>ACCT#353/PCT#1</v>
      </c>
    </row>
    <row r="447" spans="1:8" x14ac:dyDescent="0.25">
      <c r="A447" t="s">
        <v>107</v>
      </c>
      <c r="B447">
        <v>130385</v>
      </c>
      <c r="C447" s="2">
        <v>150</v>
      </c>
      <c r="D447" s="1">
        <v>43843</v>
      </c>
      <c r="E447" t="str">
        <f>"13259"</f>
        <v>13259</v>
      </c>
      <c r="F447" t="str">
        <f>"SERVICE"</f>
        <v>SERVICE</v>
      </c>
      <c r="G447" s="2">
        <v>150</v>
      </c>
      <c r="H447" t="str">
        <f>"SERVICE"</f>
        <v>SERVICE</v>
      </c>
    </row>
    <row r="448" spans="1:8" x14ac:dyDescent="0.25">
      <c r="A448" t="s">
        <v>108</v>
      </c>
      <c r="B448">
        <v>130386</v>
      </c>
      <c r="C448" s="2">
        <v>2684.68</v>
      </c>
      <c r="D448" s="1">
        <v>43843</v>
      </c>
      <c r="E448" t="str">
        <f>"SC26571"</f>
        <v>SC26571</v>
      </c>
      <c r="F448" t="str">
        <f>"ACCT#68930/ANIMAL SERVICES"</f>
        <v>ACCT#68930/ANIMAL SERVICES</v>
      </c>
      <c r="G448" s="2">
        <v>162.63</v>
      </c>
      <c r="H448" t="str">
        <f>"ACCT#68930/ANIMAL SERVICES"</f>
        <v>ACCT#68930/ANIMAL SERVICES</v>
      </c>
    </row>
    <row r="449" spans="1:8" x14ac:dyDescent="0.25">
      <c r="E449" t="str">
        <f>"SE18183"</f>
        <v>SE18183</v>
      </c>
      <c r="F449" t="str">
        <f>"ACCT#68930-001/ANIMAL SERVICES"</f>
        <v>ACCT#68930-001/ANIMAL SERVICES</v>
      </c>
      <c r="G449" s="2">
        <v>176.03</v>
      </c>
      <c r="H449" t="str">
        <f>"ACCT#68930-001/ANIMAL SERVICES"</f>
        <v>ACCT#68930-001/ANIMAL SERVICES</v>
      </c>
    </row>
    <row r="450" spans="1:8" x14ac:dyDescent="0.25">
      <c r="E450" t="str">
        <f>"SE31713"</f>
        <v>SE31713</v>
      </c>
      <c r="F450" t="str">
        <f>"ACCT#68930-000/ANIMAL SERVICES"</f>
        <v>ACCT#68930-000/ANIMAL SERVICES</v>
      </c>
      <c r="G450" s="2">
        <v>154.91999999999999</v>
      </c>
      <c r="H450" t="str">
        <f>"ACCT#68930-000/ANIMAL SERVICES"</f>
        <v>ACCT#68930-000/ANIMAL SERVICES</v>
      </c>
    </row>
    <row r="451" spans="1:8" x14ac:dyDescent="0.25">
      <c r="E451" t="str">
        <f>"SE68204"</f>
        <v>SE68204</v>
      </c>
      <c r="F451" t="str">
        <f>"ACCT#68930-000/ANIMAL SVCS"</f>
        <v>ACCT#68930-000/ANIMAL SVCS</v>
      </c>
      <c r="G451" s="2">
        <v>647.23</v>
      </c>
      <c r="H451" t="str">
        <f>"ACCT#68930-000/ANIMAL SVCS"</f>
        <v>ACCT#68930-000/ANIMAL SVCS</v>
      </c>
    </row>
    <row r="452" spans="1:8" x14ac:dyDescent="0.25">
      <c r="E452" t="str">
        <f>"SE84668"</f>
        <v>SE84668</v>
      </c>
      <c r="F452" t="str">
        <f>"ACCT#68930-000/ANIMAL SVCS"</f>
        <v>ACCT#68930-000/ANIMAL SVCS</v>
      </c>
      <c r="G452" s="2">
        <v>725.87</v>
      </c>
      <c r="H452" t="str">
        <f>"ACCT#68930-000/ANIMAL SVCS"</f>
        <v>ACCT#68930-000/ANIMAL SVCS</v>
      </c>
    </row>
    <row r="453" spans="1:8" x14ac:dyDescent="0.25">
      <c r="E453" t="str">
        <f>""</f>
        <v/>
      </c>
      <c r="F453" t="str">
        <f>""</f>
        <v/>
      </c>
      <c r="H453" t="str">
        <f>"ACCT#68930-000/ANIMAL SVCS"</f>
        <v>ACCT#68930-000/ANIMAL SVCS</v>
      </c>
    </row>
    <row r="454" spans="1:8" x14ac:dyDescent="0.25">
      <c r="E454" t="str">
        <f>"SE86617"</f>
        <v>SE86617</v>
      </c>
      <c r="F454" t="str">
        <f>"ACCT#68930-000/ANIMAL SVCS"</f>
        <v>ACCT#68930-000/ANIMAL SVCS</v>
      </c>
      <c r="G454" s="2">
        <v>818</v>
      </c>
      <c r="H454" t="str">
        <f>"ACCT#68930-000/ANIMAL SVCS"</f>
        <v>ACCT#68930-000/ANIMAL SVCS</v>
      </c>
    </row>
    <row r="455" spans="1:8" x14ac:dyDescent="0.25">
      <c r="A455" t="s">
        <v>108</v>
      </c>
      <c r="B455">
        <v>130555</v>
      </c>
      <c r="C455" s="2">
        <v>2901.69</v>
      </c>
      <c r="D455" s="1">
        <v>43857</v>
      </c>
      <c r="E455" t="str">
        <f>"SF21156"</f>
        <v>SF21156</v>
      </c>
      <c r="F455" t="str">
        <f>"ACCT#68930-000/ANIMAL SERVICES"</f>
        <v>ACCT#68930-000/ANIMAL SERVICES</v>
      </c>
      <c r="G455" s="2">
        <v>446.45</v>
      </c>
      <c r="H455" t="str">
        <f t="shared" ref="H455:H462" si="14">"ACCT#68930-000/ANIMAL SERVICES"</f>
        <v>ACCT#68930-000/ANIMAL SERVICES</v>
      </c>
    </row>
    <row r="456" spans="1:8" x14ac:dyDescent="0.25">
      <c r="E456" t="str">
        <f>"SF23185"</f>
        <v>SF23185</v>
      </c>
      <c r="F456" t="str">
        <f>"ACCT#68930-000/ANIMAL SERVICES"</f>
        <v>ACCT#68930-000/ANIMAL SERVICES</v>
      </c>
      <c r="G456" s="2">
        <v>271.05</v>
      </c>
      <c r="H456" t="str">
        <f t="shared" si="14"/>
        <v>ACCT#68930-000/ANIMAL SERVICES</v>
      </c>
    </row>
    <row r="457" spans="1:8" x14ac:dyDescent="0.25">
      <c r="E457" t="str">
        <f>"SF66222"</f>
        <v>SF66222</v>
      </c>
      <c r="F457" t="str">
        <f>"ACCT#68930-000/ANIMAL SERVICES"</f>
        <v>ACCT#68930-000/ANIMAL SERVICES</v>
      </c>
      <c r="G457" s="2">
        <v>799.17</v>
      </c>
      <c r="H457" t="str">
        <f t="shared" si="14"/>
        <v>ACCT#68930-000/ANIMAL SERVICES</v>
      </c>
    </row>
    <row r="458" spans="1:8" x14ac:dyDescent="0.25">
      <c r="E458" t="str">
        <f>""</f>
        <v/>
      </c>
      <c r="F458" t="str">
        <f>""</f>
        <v/>
      </c>
      <c r="H458" t="str">
        <f t="shared" si="14"/>
        <v>ACCT#68930-000/ANIMAL SERVICES</v>
      </c>
    </row>
    <row r="459" spans="1:8" x14ac:dyDescent="0.25">
      <c r="E459" t="str">
        <f>"SG02558"</f>
        <v>SG02558</v>
      </c>
      <c r="F459" t="str">
        <f>"ACCT#68930-000/ANIMAL SERVICES"</f>
        <v>ACCT#68930-000/ANIMAL SERVICES</v>
      </c>
      <c r="G459" s="2">
        <v>81.61</v>
      </c>
      <c r="H459" t="str">
        <f t="shared" si="14"/>
        <v>ACCT#68930-000/ANIMAL SERVICES</v>
      </c>
    </row>
    <row r="460" spans="1:8" x14ac:dyDescent="0.25">
      <c r="E460" t="str">
        <f>"SG08408"</f>
        <v>SG08408</v>
      </c>
      <c r="F460" t="str">
        <f>"ACCT#68930-000/ANIMAL SERVICES"</f>
        <v>ACCT#68930-000/ANIMAL SERVICES</v>
      </c>
      <c r="G460" s="2">
        <v>72.39</v>
      </c>
      <c r="H460" t="str">
        <f t="shared" si="14"/>
        <v>ACCT#68930-000/ANIMAL SERVICES</v>
      </c>
    </row>
    <row r="461" spans="1:8" x14ac:dyDescent="0.25">
      <c r="E461" t="str">
        <f>"SG11271"</f>
        <v>SG11271</v>
      </c>
      <c r="F461" t="str">
        <f>"ACCT#68930-000/ANIMAL SERVICES"</f>
        <v>ACCT#68930-000/ANIMAL SERVICES</v>
      </c>
      <c r="G461" s="2">
        <v>964</v>
      </c>
      <c r="H461" t="str">
        <f t="shared" si="14"/>
        <v>ACCT#68930-000/ANIMAL SERVICES</v>
      </c>
    </row>
    <row r="462" spans="1:8" x14ac:dyDescent="0.25">
      <c r="E462" t="str">
        <f>"SG36164"</f>
        <v>SG36164</v>
      </c>
      <c r="F462" t="str">
        <f>"ACCT#68930-000/ANIMAL SERVICES"</f>
        <v>ACCT#68930-000/ANIMAL SERVICES</v>
      </c>
      <c r="G462" s="2">
        <v>267.02</v>
      </c>
      <c r="H462" t="str">
        <f t="shared" si="14"/>
        <v>ACCT#68930-000/ANIMAL SERVICES</v>
      </c>
    </row>
    <row r="463" spans="1:8" x14ac:dyDescent="0.25">
      <c r="A463" t="s">
        <v>109</v>
      </c>
      <c r="B463">
        <v>130387</v>
      </c>
      <c r="C463" s="2">
        <v>2500</v>
      </c>
      <c r="D463" s="1">
        <v>43843</v>
      </c>
      <c r="E463" t="str">
        <f>"202001074513"</f>
        <v>202001074513</v>
      </c>
      <c r="F463" t="str">
        <f>"OCT/NOV STATEMENT"</f>
        <v>OCT/NOV STATEMENT</v>
      </c>
      <c r="G463" s="2">
        <v>2500</v>
      </c>
      <c r="H463" t="str">
        <f>"OCT/NOV STATEMENT"</f>
        <v>OCT/NOV STATEMENT</v>
      </c>
    </row>
    <row r="464" spans="1:8" x14ac:dyDescent="0.25">
      <c r="A464" t="s">
        <v>110</v>
      </c>
      <c r="B464">
        <v>130556</v>
      </c>
      <c r="C464" s="2">
        <v>200</v>
      </c>
      <c r="D464" s="1">
        <v>43857</v>
      </c>
      <c r="E464" t="str">
        <f>"202001164637"</f>
        <v>202001164637</v>
      </c>
      <c r="F464" t="str">
        <f>"INTERPRETING SERVICES"</f>
        <v>INTERPRETING SERVICES</v>
      </c>
      <c r="G464" s="2">
        <v>200</v>
      </c>
      <c r="H464" t="str">
        <f>"INTERPRETING SERVICES"</f>
        <v>INTERPRETING SERVICES</v>
      </c>
    </row>
    <row r="465" spans="1:8" x14ac:dyDescent="0.25">
      <c r="A465" t="s">
        <v>111</v>
      </c>
      <c r="B465">
        <v>130388</v>
      </c>
      <c r="C465" s="2">
        <v>31.79</v>
      </c>
      <c r="D465" s="1">
        <v>43843</v>
      </c>
      <c r="E465" t="str">
        <f>"36329"</f>
        <v>36329</v>
      </c>
      <c r="F465" t="str">
        <f>"ACCT#6795/AMMUNITION"</f>
        <v>ACCT#6795/AMMUNITION</v>
      </c>
      <c r="G465" s="2">
        <v>31.79</v>
      </c>
      <c r="H465" t="str">
        <f>"ACCT#6795/AMMUNITION"</f>
        <v>ACCT#6795/AMMUNITION</v>
      </c>
    </row>
    <row r="466" spans="1:8" x14ac:dyDescent="0.25">
      <c r="A466" t="s">
        <v>112</v>
      </c>
      <c r="B466">
        <v>2076</v>
      </c>
      <c r="C466" s="2">
        <v>16.600000000000001</v>
      </c>
      <c r="D466" s="1">
        <v>43858</v>
      </c>
      <c r="E466" t="str">
        <f>"87-15701"</f>
        <v>87-15701</v>
      </c>
      <c r="F466" t="str">
        <f>"CUST#57687/PLUG/WASHER/PCT#4"</f>
        <v>CUST#57687/PLUG/WASHER/PCT#4</v>
      </c>
      <c r="G466" s="2">
        <v>16.600000000000001</v>
      </c>
      <c r="H466" t="str">
        <f>"CUST#57687/PLUG/WASHER/PCT#4"</f>
        <v>CUST#57687/PLUG/WASHER/PCT#4</v>
      </c>
    </row>
    <row r="467" spans="1:8" x14ac:dyDescent="0.25">
      <c r="A467" t="s">
        <v>113</v>
      </c>
      <c r="B467">
        <v>130729</v>
      </c>
      <c r="C467" s="2">
        <v>3207.74</v>
      </c>
      <c r="D467" s="1">
        <v>43861</v>
      </c>
      <c r="E467" t="str">
        <f>"9349 2001 5185 825"</f>
        <v>9349 2001 5185 825</v>
      </c>
      <c r="F467" t="str">
        <f>"CONTRACT #042-1434-2"</f>
        <v>CONTRACT #042-1434-2</v>
      </c>
      <c r="G467" s="2">
        <v>3207.74</v>
      </c>
      <c r="H467" t="str">
        <f>"CONTRACT #042-1434-2"</f>
        <v>CONTRACT #042-1434-2</v>
      </c>
    </row>
    <row r="468" spans="1:8" x14ac:dyDescent="0.25">
      <c r="A468" t="s">
        <v>114</v>
      </c>
      <c r="B468">
        <v>130389</v>
      </c>
      <c r="C468" s="2">
        <v>2949.3</v>
      </c>
      <c r="D468" s="1">
        <v>43843</v>
      </c>
      <c r="E468" t="str">
        <f>"329712"</f>
        <v>329712</v>
      </c>
      <c r="F468" t="str">
        <f>"Sign Shop Signs"</f>
        <v>Sign Shop Signs</v>
      </c>
      <c r="G468" s="2">
        <v>2949.3</v>
      </c>
      <c r="H468" t="str">
        <f>"12 x6  Ref. White"</f>
        <v>12 x6  Ref. White</v>
      </c>
    </row>
    <row r="469" spans="1:8" x14ac:dyDescent="0.25">
      <c r="E469" t="str">
        <f>""</f>
        <v/>
      </c>
      <c r="F469" t="str">
        <f>""</f>
        <v/>
      </c>
      <c r="H469" t="str">
        <f>"24 x9  Ref. White"</f>
        <v>24 x9  Ref. White</v>
      </c>
    </row>
    <row r="470" spans="1:8" x14ac:dyDescent="0.25">
      <c r="E470" t="str">
        <f>""</f>
        <v/>
      </c>
      <c r="F470" t="str">
        <f>""</f>
        <v/>
      </c>
      <c r="H470" t="str">
        <f>"18 x24  Ref. White"</f>
        <v>18 x24  Ref. White</v>
      </c>
    </row>
    <row r="471" spans="1:8" x14ac:dyDescent="0.25">
      <c r="E471" t="str">
        <f>""</f>
        <v/>
      </c>
      <c r="F471" t="str">
        <f>""</f>
        <v/>
      </c>
      <c r="H471" t="str">
        <f>"12 x18  Ref. Yellow"</f>
        <v>12 x18  Ref. Yellow</v>
      </c>
    </row>
    <row r="472" spans="1:8" x14ac:dyDescent="0.25">
      <c r="E472" t="str">
        <f>""</f>
        <v/>
      </c>
      <c r="F472" t="str">
        <f>""</f>
        <v/>
      </c>
      <c r="H472" t="str">
        <f>"6'-1.12# Green U-Cha"</f>
        <v>6'-1.12# Green U-Cha</v>
      </c>
    </row>
    <row r="473" spans="1:8" x14ac:dyDescent="0.25">
      <c r="E473" t="str">
        <f>""</f>
        <v/>
      </c>
      <c r="F473" t="str">
        <f>""</f>
        <v/>
      </c>
      <c r="H473" t="str">
        <f>"10'x2# Green U-Chann"</f>
        <v>10'x2# Green U-Chann</v>
      </c>
    </row>
    <row r="474" spans="1:8" x14ac:dyDescent="0.25">
      <c r="A474" t="s">
        <v>115</v>
      </c>
      <c r="B474">
        <v>130390</v>
      </c>
      <c r="C474" s="2">
        <v>355</v>
      </c>
      <c r="D474" s="1">
        <v>43843</v>
      </c>
      <c r="E474" t="str">
        <f>"202001024377"</f>
        <v>202001024377</v>
      </c>
      <c r="F474" t="str">
        <f>"FERAL HOGS"</f>
        <v>FERAL HOGS</v>
      </c>
      <c r="G474" s="2">
        <v>205</v>
      </c>
      <c r="H474" t="str">
        <f>"FERAL HOGS"</f>
        <v>FERAL HOGS</v>
      </c>
    </row>
    <row r="475" spans="1:8" x14ac:dyDescent="0.25">
      <c r="E475" t="str">
        <f>"202001024378"</f>
        <v>202001024378</v>
      </c>
      <c r="F475" t="str">
        <f>"FERAL HOGS"</f>
        <v>FERAL HOGS</v>
      </c>
      <c r="G475" s="2">
        <v>150</v>
      </c>
      <c r="H475" t="str">
        <f>"FERAL HOGS"</f>
        <v>FERAL HOGS</v>
      </c>
    </row>
    <row r="476" spans="1:8" x14ac:dyDescent="0.25">
      <c r="A476" t="s">
        <v>116</v>
      </c>
      <c r="B476">
        <v>130391</v>
      </c>
      <c r="C476" s="2">
        <v>160</v>
      </c>
      <c r="D476" s="1">
        <v>43843</v>
      </c>
      <c r="E476" t="str">
        <f>"12609"</f>
        <v>12609</v>
      </c>
      <c r="F476" t="str">
        <f>"SERVICE"</f>
        <v>SERVICE</v>
      </c>
      <c r="G476" s="2">
        <v>80</v>
      </c>
      <c r="H476" t="str">
        <f>"SERVICE"</f>
        <v>SERVICE</v>
      </c>
    </row>
    <row r="477" spans="1:8" x14ac:dyDescent="0.25">
      <c r="E477" t="str">
        <f>"13259"</f>
        <v>13259</v>
      </c>
      <c r="F477" t="str">
        <f>"SERVICE"</f>
        <v>SERVICE</v>
      </c>
      <c r="G477" s="2">
        <v>80</v>
      </c>
      <c r="H477" t="str">
        <f>"SERVICE"</f>
        <v>SERVICE</v>
      </c>
    </row>
    <row r="478" spans="1:8" x14ac:dyDescent="0.25">
      <c r="A478" t="s">
        <v>117</v>
      </c>
      <c r="B478">
        <v>130557</v>
      </c>
      <c r="C478" s="2">
        <v>998</v>
      </c>
      <c r="D478" s="1">
        <v>43857</v>
      </c>
      <c r="E478" t="str">
        <f>"INV1181149"</f>
        <v>INV1181149</v>
      </c>
      <c r="F478" t="str">
        <f>"INV1181149"</f>
        <v>INV1181149</v>
      </c>
      <c r="G478" s="2">
        <v>998</v>
      </c>
      <c r="H478" t="str">
        <f>"INV1181149"</f>
        <v>INV1181149</v>
      </c>
    </row>
    <row r="479" spans="1:8" x14ac:dyDescent="0.25">
      <c r="A479" t="s">
        <v>118</v>
      </c>
      <c r="B479">
        <v>130392</v>
      </c>
      <c r="C479" s="2">
        <v>250</v>
      </c>
      <c r="D479" s="1">
        <v>43843</v>
      </c>
      <c r="E479" t="str">
        <f>"7665"</f>
        <v>7665</v>
      </c>
      <c r="F479" t="str">
        <f>"SIGN PAD/SHIPPING &amp; HANDLING"</f>
        <v>SIGN PAD/SHIPPING &amp; HANDLING</v>
      </c>
      <c r="G479" s="2">
        <v>250</v>
      </c>
      <c r="H479" t="str">
        <f>"SIGN PAD/SHIPPING &amp; HANDLING"</f>
        <v>SIGN PAD/SHIPPING &amp; HANDLING</v>
      </c>
    </row>
    <row r="480" spans="1:8" x14ac:dyDescent="0.25">
      <c r="A480" t="s">
        <v>119</v>
      </c>
      <c r="B480">
        <v>130393</v>
      </c>
      <c r="C480" s="2">
        <v>100</v>
      </c>
      <c r="D480" s="1">
        <v>43843</v>
      </c>
      <c r="E480" t="str">
        <f>"202001074436"</f>
        <v>202001074436</v>
      </c>
      <c r="F480" t="str">
        <f>"LEGAL CONSULT SVCS-DECEMBER"</f>
        <v>LEGAL CONSULT SVCS-DECEMBER</v>
      </c>
      <c r="G480" s="2">
        <v>100</v>
      </c>
      <c r="H480" t="str">
        <f>"LEGAL CONSULT SVCS-DECEMBER"</f>
        <v>LEGAL CONSULT SVCS-DECEMBER</v>
      </c>
    </row>
    <row r="481" spans="1:8" x14ac:dyDescent="0.25">
      <c r="A481" t="s">
        <v>120</v>
      </c>
      <c r="B481">
        <v>2067</v>
      </c>
      <c r="C481" s="2">
        <v>2500</v>
      </c>
      <c r="D481" s="1">
        <v>43858</v>
      </c>
      <c r="E481" t="str">
        <f>"371496"</f>
        <v>371496</v>
      </c>
      <c r="F481" t="str">
        <f>"Remodel Bathroom"</f>
        <v>Remodel Bathroom</v>
      </c>
      <c r="G481" s="2">
        <v>2500</v>
      </c>
      <c r="H481" t="str">
        <f>"partial payment"</f>
        <v>partial payment</v>
      </c>
    </row>
    <row r="482" spans="1:8" x14ac:dyDescent="0.25">
      <c r="A482" t="s">
        <v>121</v>
      </c>
      <c r="B482">
        <v>130558</v>
      </c>
      <c r="C482" s="2">
        <v>150</v>
      </c>
      <c r="D482" s="1">
        <v>43857</v>
      </c>
      <c r="E482" t="str">
        <f>"202001164663"</f>
        <v>202001164663</v>
      </c>
      <c r="F482" t="str">
        <f>"TRAVEL ADVANCE-PER DIEM"</f>
        <v>TRAVEL ADVANCE-PER DIEM</v>
      </c>
      <c r="G482" s="2">
        <v>150</v>
      </c>
      <c r="H482" t="str">
        <f>"TRAVEL ADVANCE-PER DIEM"</f>
        <v>TRAVEL ADVANCE-PER DIEM</v>
      </c>
    </row>
    <row r="483" spans="1:8" x14ac:dyDescent="0.25">
      <c r="A483" t="s">
        <v>122</v>
      </c>
      <c r="B483">
        <v>1985</v>
      </c>
      <c r="C483" s="2">
        <v>1657.5</v>
      </c>
      <c r="D483" s="1">
        <v>43844</v>
      </c>
      <c r="E483" t="str">
        <f>"201912274306"</f>
        <v>201912274306</v>
      </c>
      <c r="F483" t="str">
        <f>"423-5800"</f>
        <v>423-5800</v>
      </c>
      <c r="G483" s="2">
        <v>100</v>
      </c>
      <c r="H483" t="str">
        <f>"423-5800"</f>
        <v>423-5800</v>
      </c>
    </row>
    <row r="484" spans="1:8" x14ac:dyDescent="0.25">
      <c r="E484" t="str">
        <f>"202001084523"</f>
        <v>202001084523</v>
      </c>
      <c r="F484" t="str">
        <f>"09-13361"</f>
        <v>09-13361</v>
      </c>
      <c r="G484" s="2">
        <v>100</v>
      </c>
      <c r="H484" t="str">
        <f>"09-13361"</f>
        <v>09-13361</v>
      </c>
    </row>
    <row r="485" spans="1:8" x14ac:dyDescent="0.25">
      <c r="E485" t="str">
        <f>"202001084524"</f>
        <v>202001084524</v>
      </c>
      <c r="F485" t="str">
        <f>"423-3529"</f>
        <v>423-3529</v>
      </c>
      <c r="G485" s="2">
        <v>100</v>
      </c>
      <c r="H485" t="str">
        <f>"423-3529"</f>
        <v>423-3529</v>
      </c>
    </row>
    <row r="486" spans="1:8" x14ac:dyDescent="0.25">
      <c r="E486" t="str">
        <f>"202001084525"</f>
        <v>202001084525</v>
      </c>
      <c r="F486" t="str">
        <f>"423-4498"</f>
        <v>423-4498</v>
      </c>
      <c r="G486" s="2">
        <v>100</v>
      </c>
      <c r="H486" t="str">
        <f>"423-4498"</f>
        <v>423-4498</v>
      </c>
    </row>
    <row r="487" spans="1:8" x14ac:dyDescent="0.25">
      <c r="E487" t="str">
        <f>"202001084527"</f>
        <v>202001084527</v>
      </c>
      <c r="F487" t="str">
        <f>"07-12260"</f>
        <v>07-12260</v>
      </c>
      <c r="G487" s="2">
        <v>100</v>
      </c>
      <c r="H487" t="str">
        <f>"07-12260"</f>
        <v>07-12260</v>
      </c>
    </row>
    <row r="488" spans="1:8" x14ac:dyDescent="0.25">
      <c r="E488" t="str">
        <f>"202001084528"</f>
        <v>202001084528</v>
      </c>
      <c r="F488" t="str">
        <f>"19-19763"</f>
        <v>19-19763</v>
      </c>
      <c r="G488" s="2">
        <v>137.5</v>
      </c>
      <c r="H488" t="str">
        <f>"19-19763"</f>
        <v>19-19763</v>
      </c>
    </row>
    <row r="489" spans="1:8" x14ac:dyDescent="0.25">
      <c r="E489" t="str">
        <f>"202001084529"</f>
        <v>202001084529</v>
      </c>
      <c r="F489" t="str">
        <f>"20-20030"</f>
        <v>20-20030</v>
      </c>
      <c r="G489" s="2">
        <v>75</v>
      </c>
      <c r="H489" t="str">
        <f>"20-20030"</f>
        <v>20-20030</v>
      </c>
    </row>
    <row r="490" spans="1:8" x14ac:dyDescent="0.25">
      <c r="E490" t="str">
        <f>"202001084530"</f>
        <v>202001084530</v>
      </c>
      <c r="F490" t="str">
        <f>"19-19445"</f>
        <v>19-19445</v>
      </c>
      <c r="G490" s="2">
        <v>302.5</v>
      </c>
      <c r="H490" t="str">
        <f>"19-19445"</f>
        <v>19-19445</v>
      </c>
    </row>
    <row r="491" spans="1:8" x14ac:dyDescent="0.25">
      <c r="E491" t="str">
        <f>"202001084531"</f>
        <v>202001084531</v>
      </c>
      <c r="F491" t="str">
        <f>"19-19414"</f>
        <v>19-19414</v>
      </c>
      <c r="G491" s="2">
        <v>60</v>
      </c>
      <c r="H491" t="str">
        <f>"19-19414"</f>
        <v>19-19414</v>
      </c>
    </row>
    <row r="492" spans="1:8" x14ac:dyDescent="0.25">
      <c r="E492" t="str">
        <f>"202001084532"</f>
        <v>202001084532</v>
      </c>
      <c r="F492" t="str">
        <f>"19-19931"</f>
        <v>19-19931</v>
      </c>
      <c r="G492" s="2">
        <v>100</v>
      </c>
      <c r="H492" t="str">
        <f>"19-19931"</f>
        <v>19-19931</v>
      </c>
    </row>
    <row r="493" spans="1:8" x14ac:dyDescent="0.25">
      <c r="E493" t="str">
        <f>"202001084533"</f>
        <v>202001084533</v>
      </c>
      <c r="F493" t="str">
        <f>"19-19967"</f>
        <v>19-19967</v>
      </c>
      <c r="G493" s="2">
        <v>482.5</v>
      </c>
      <c r="H493" t="str">
        <f>"19-19967"</f>
        <v>19-19967</v>
      </c>
    </row>
    <row r="494" spans="1:8" x14ac:dyDescent="0.25">
      <c r="A494" t="s">
        <v>123</v>
      </c>
      <c r="B494">
        <v>130559</v>
      </c>
      <c r="C494" s="2">
        <v>218.35</v>
      </c>
      <c r="D494" s="1">
        <v>43857</v>
      </c>
      <c r="E494" t="str">
        <f>"202001164657"</f>
        <v>202001164657</v>
      </c>
      <c r="F494" t="str">
        <f>"TRAVEL ADV-MEALS/MILEAGE/HOTEL"</f>
        <v>TRAVEL ADV-MEALS/MILEAGE/HOTEL</v>
      </c>
      <c r="G494" s="2">
        <v>218.35</v>
      </c>
      <c r="H494" t="str">
        <f>"TRAVEL ADV-MEALS/MILEAGE/HOTEL"</f>
        <v>TRAVEL ADV-MEALS/MILEAGE/HOTEL</v>
      </c>
    </row>
    <row r="495" spans="1:8" x14ac:dyDescent="0.25">
      <c r="A495" t="s">
        <v>124</v>
      </c>
      <c r="B495">
        <v>130394</v>
      </c>
      <c r="C495" s="2">
        <v>233.88</v>
      </c>
      <c r="D495" s="1">
        <v>43843</v>
      </c>
      <c r="E495" t="str">
        <f>"10362354730"</f>
        <v>10362354730</v>
      </c>
      <c r="F495" t="str">
        <f>"HDM modules"</f>
        <v>HDM modules</v>
      </c>
      <c r="G495" s="2">
        <v>155.88</v>
      </c>
      <c r="H495" t="str">
        <f>"sku# 5N1NY"</f>
        <v>sku# 5N1NY</v>
      </c>
    </row>
    <row r="496" spans="1:8" x14ac:dyDescent="0.25">
      <c r="E496" t="str">
        <f>""</f>
        <v/>
      </c>
      <c r="F496" t="str">
        <f>""</f>
        <v/>
      </c>
      <c r="H496" t="str">
        <f>"sku# 6JPHH"</f>
        <v>sku# 6JPHH</v>
      </c>
    </row>
    <row r="497" spans="1:8" x14ac:dyDescent="0.25">
      <c r="E497" t="str">
        <f>"10364675623"</f>
        <v>10364675623</v>
      </c>
      <c r="F497" t="str">
        <f>"External DVD Drives for J"</f>
        <v>External DVD Drives for J</v>
      </c>
      <c r="G497" s="2">
        <v>78</v>
      </c>
      <c r="H497" t="str">
        <f>"SKU: 429-AAUQ"</f>
        <v>SKU: 429-AAUQ</v>
      </c>
    </row>
    <row r="498" spans="1:8" x14ac:dyDescent="0.25">
      <c r="A498" t="s">
        <v>124</v>
      </c>
      <c r="B498">
        <v>130560</v>
      </c>
      <c r="C498" s="2">
        <v>2823.78</v>
      </c>
      <c r="D498" s="1">
        <v>43857</v>
      </c>
      <c r="E498" t="str">
        <f>"10366677002"</f>
        <v>10366677002</v>
      </c>
      <c r="F498" t="str">
        <f>"Rugged Laptop for ACO"</f>
        <v>Rugged Laptop for ACO</v>
      </c>
      <c r="G498" s="2">
        <v>2823.78</v>
      </c>
      <c r="H498" t="str">
        <f>"Latitude 5420 Rugged"</f>
        <v>Latitude 5420 Rugged</v>
      </c>
    </row>
    <row r="499" spans="1:8" x14ac:dyDescent="0.25">
      <c r="E499" t="str">
        <f>""</f>
        <v/>
      </c>
      <c r="F499" t="str">
        <f>""</f>
        <v/>
      </c>
      <c r="H499" t="str">
        <f>"Discount"</f>
        <v>Discount</v>
      </c>
    </row>
    <row r="500" spans="1:8" x14ac:dyDescent="0.25">
      <c r="A500" t="s">
        <v>125</v>
      </c>
      <c r="B500">
        <v>130395</v>
      </c>
      <c r="C500" s="2">
        <v>50093.279999999999</v>
      </c>
      <c r="D500" s="1">
        <v>43843</v>
      </c>
      <c r="E500" t="str">
        <f>"80244987"</f>
        <v>80244987</v>
      </c>
      <c r="F500" t="str">
        <f>"Dell Lease Quote"</f>
        <v>Dell Lease Quote</v>
      </c>
      <c r="G500" s="2">
        <v>50093.279999999999</v>
      </c>
      <c r="H500" t="str">
        <f>"Dell Latitiude"</f>
        <v>Dell Latitiude</v>
      </c>
    </row>
    <row r="501" spans="1:8" x14ac:dyDescent="0.25">
      <c r="E501" t="str">
        <f>""</f>
        <v/>
      </c>
      <c r="F501" t="str">
        <f>""</f>
        <v/>
      </c>
      <c r="H501" t="str">
        <f>"XPS13"</f>
        <v>XPS13</v>
      </c>
    </row>
    <row r="502" spans="1:8" x14ac:dyDescent="0.25">
      <c r="E502" t="str">
        <f>""</f>
        <v/>
      </c>
      <c r="F502" t="str">
        <f>""</f>
        <v/>
      </c>
      <c r="H502" t="str">
        <f>"Dell Dlatitude 7424"</f>
        <v>Dell Dlatitude 7424</v>
      </c>
    </row>
    <row r="503" spans="1:8" x14ac:dyDescent="0.25">
      <c r="E503" t="str">
        <f>""</f>
        <v/>
      </c>
      <c r="F503" t="str">
        <f>""</f>
        <v/>
      </c>
      <c r="H503" t="str">
        <f>"Optiplex 7070"</f>
        <v>Optiplex 7070</v>
      </c>
    </row>
    <row r="504" spans="1:8" x14ac:dyDescent="0.25">
      <c r="E504" t="str">
        <f>""</f>
        <v/>
      </c>
      <c r="F504" t="str">
        <f>""</f>
        <v/>
      </c>
      <c r="H504" t="str">
        <f>"XPS15 7590"</f>
        <v>XPS15 7590</v>
      </c>
    </row>
    <row r="505" spans="1:8" x14ac:dyDescent="0.25">
      <c r="E505" t="str">
        <f>""</f>
        <v/>
      </c>
      <c r="F505" t="str">
        <f>""</f>
        <v/>
      </c>
      <c r="H505" t="str">
        <f>"Dell 23 monitor"</f>
        <v>Dell 23 monitor</v>
      </c>
    </row>
    <row r="506" spans="1:8" x14ac:dyDescent="0.25">
      <c r="E506" t="str">
        <f>""</f>
        <v/>
      </c>
      <c r="F506" t="str">
        <f>""</f>
        <v/>
      </c>
      <c r="H506" t="str">
        <f>"Dell Docking"</f>
        <v>Dell Docking</v>
      </c>
    </row>
    <row r="507" spans="1:8" x14ac:dyDescent="0.25">
      <c r="A507" t="s">
        <v>126</v>
      </c>
      <c r="B507">
        <v>2081</v>
      </c>
      <c r="C507" s="2">
        <v>1755</v>
      </c>
      <c r="D507" s="1">
        <v>43858</v>
      </c>
      <c r="E507" t="str">
        <f>"BATX016605"</f>
        <v>BATX016605</v>
      </c>
      <c r="F507" t="str">
        <f>"INV BATX016605"</f>
        <v>INV BATX016605</v>
      </c>
      <c r="G507" s="2">
        <v>1755</v>
      </c>
      <c r="H507" t="str">
        <f>"INV BATX016605"</f>
        <v>INV BATX016605</v>
      </c>
    </row>
    <row r="508" spans="1:8" x14ac:dyDescent="0.25">
      <c r="A508" t="s">
        <v>127</v>
      </c>
      <c r="B508">
        <v>130396</v>
      </c>
      <c r="C508" s="2">
        <v>31</v>
      </c>
      <c r="D508" s="1">
        <v>43843</v>
      </c>
      <c r="E508" t="str">
        <f>"20-24340"</f>
        <v>20-24340</v>
      </c>
      <c r="F508" t="str">
        <f>"INV 26216"</f>
        <v>INV 26216</v>
      </c>
      <c r="G508" s="2">
        <v>13.5</v>
      </c>
      <c r="H508" t="str">
        <f>"INV 26216"</f>
        <v>INV 26216</v>
      </c>
    </row>
    <row r="509" spans="1:8" x14ac:dyDescent="0.25">
      <c r="E509" t="str">
        <f>"26191"</f>
        <v>26191</v>
      </c>
      <c r="F509" t="str">
        <f>"INV 26191"</f>
        <v>INV 26191</v>
      </c>
      <c r="G509" s="2">
        <v>17.5</v>
      </c>
      <c r="H509" t="str">
        <f>"INV 26191"</f>
        <v>INV 26191</v>
      </c>
    </row>
    <row r="510" spans="1:8" x14ac:dyDescent="0.25">
      <c r="A510" t="s">
        <v>127</v>
      </c>
      <c r="B510">
        <v>130561</v>
      </c>
      <c r="C510" s="2">
        <v>48</v>
      </c>
      <c r="D510" s="1">
        <v>43857</v>
      </c>
      <c r="E510" t="str">
        <f>"26252"</f>
        <v>26252</v>
      </c>
      <c r="F510" t="str">
        <f>"LOCK SERVICES/PCT#3"</f>
        <v>LOCK SERVICES/PCT#3</v>
      </c>
      <c r="G510" s="2">
        <v>25.5</v>
      </c>
      <c r="H510" t="str">
        <f>"LOCK SERVICES/PCT#3"</f>
        <v>LOCK SERVICES/PCT#3</v>
      </c>
    </row>
    <row r="511" spans="1:8" x14ac:dyDescent="0.25">
      <c r="E511" t="str">
        <f>"26262"</f>
        <v>26262</v>
      </c>
      <c r="F511" t="str">
        <f>"INV 26262"</f>
        <v>INV 26262</v>
      </c>
      <c r="G511" s="2">
        <v>22.5</v>
      </c>
      <c r="H511" t="str">
        <f>"INV 26262"</f>
        <v>INV 26262</v>
      </c>
    </row>
    <row r="512" spans="1:8" x14ac:dyDescent="0.25">
      <c r="A512" t="s">
        <v>128</v>
      </c>
      <c r="B512">
        <v>2077</v>
      </c>
      <c r="C512" s="2">
        <v>874.36</v>
      </c>
      <c r="D512" s="1">
        <v>43858</v>
      </c>
      <c r="E512" t="str">
        <f>"SIN130043"</f>
        <v>SIN130043</v>
      </c>
      <c r="F512" t="str">
        <f>"SUPPLIES/ANIMAL SERVICES"</f>
        <v>SUPPLIES/ANIMAL SERVICES</v>
      </c>
      <c r="G512" s="2">
        <v>874.36</v>
      </c>
      <c r="H512" t="str">
        <f>"SUPPLIES/ANIMAL SERVICES"</f>
        <v>SUPPLIES/ANIMAL SERVICES</v>
      </c>
    </row>
    <row r="513" spans="1:8" x14ac:dyDescent="0.25">
      <c r="A513" t="s">
        <v>129</v>
      </c>
      <c r="B513">
        <v>130397</v>
      </c>
      <c r="C513" s="2">
        <v>4547.6000000000004</v>
      </c>
      <c r="D513" s="1">
        <v>43843</v>
      </c>
      <c r="E513" t="str">
        <f>"20111121N"</f>
        <v>20111121N</v>
      </c>
      <c r="F513" t="str">
        <f>"CUST#PKE5000/NOVEMBER 2019"</f>
        <v>CUST#PKE5000/NOVEMBER 2019</v>
      </c>
      <c r="G513" s="2">
        <v>4547.6000000000004</v>
      </c>
      <c r="H513" t="str">
        <f>"CUST#PKE5000/NOVEMBER 2019"</f>
        <v>CUST#PKE5000/NOVEMBER 2019</v>
      </c>
    </row>
    <row r="514" spans="1:8" x14ac:dyDescent="0.25">
      <c r="E514" t="str">
        <f>""</f>
        <v/>
      </c>
      <c r="F514" t="str">
        <f>""</f>
        <v/>
      </c>
      <c r="H514" t="str">
        <f>"CUST#PKE5000/NOVEMBER 2019"</f>
        <v>CUST#PKE5000/NOVEMBER 2019</v>
      </c>
    </row>
    <row r="515" spans="1:8" x14ac:dyDescent="0.25">
      <c r="A515" t="s">
        <v>130</v>
      </c>
      <c r="B515">
        <v>130398</v>
      </c>
      <c r="C515" s="2">
        <v>325.77</v>
      </c>
      <c r="D515" s="1">
        <v>43843</v>
      </c>
      <c r="E515" t="str">
        <f>"1622"</f>
        <v>1622</v>
      </c>
      <c r="F515" t="str">
        <f>"INV 1622"</f>
        <v>INV 1622</v>
      </c>
      <c r="G515" s="2">
        <v>325.77</v>
      </c>
      <c r="H515" t="str">
        <f>"INV 1622 (K-9)"</f>
        <v>INV 1622 (K-9)</v>
      </c>
    </row>
    <row r="516" spans="1:8" x14ac:dyDescent="0.25">
      <c r="E516" t="str">
        <f>""</f>
        <v/>
      </c>
      <c r="F516" t="str">
        <f>""</f>
        <v/>
      </c>
      <c r="H516" t="str">
        <f>"INV 1622 (ESTRAY)"</f>
        <v>INV 1622 (ESTRAY)</v>
      </c>
    </row>
    <row r="517" spans="1:8" x14ac:dyDescent="0.25">
      <c r="A517" t="s">
        <v>131</v>
      </c>
      <c r="B517">
        <v>130516</v>
      </c>
      <c r="C517" s="2">
        <v>749.4</v>
      </c>
      <c r="D517" s="1">
        <v>43852</v>
      </c>
      <c r="E517" t="str">
        <f>"202001224751"</f>
        <v>202001224751</v>
      </c>
      <c r="F517" t="str">
        <f>"ACCT#405900029213 / 02012020"</f>
        <v>ACCT#405900029213 / 02012020</v>
      </c>
      <c r="G517" s="2">
        <v>374.7</v>
      </c>
      <c r="H517" t="str">
        <f>"ACCT#405900029213 / 02012020"</f>
        <v>ACCT#405900029213 / 02012020</v>
      </c>
    </row>
    <row r="518" spans="1:8" x14ac:dyDescent="0.25">
      <c r="E518" t="str">
        <f>"202001224752"</f>
        <v>202001224752</v>
      </c>
      <c r="F518" t="str">
        <f>"ACCT#405900029225 / 02012020"</f>
        <v>ACCT#405900029225 / 02012020</v>
      </c>
      <c r="G518" s="2">
        <v>187.35</v>
      </c>
      <c r="H518" t="str">
        <f>"ACCT#405900029225 / 02012020"</f>
        <v>ACCT#405900029225 / 02012020</v>
      </c>
    </row>
    <row r="519" spans="1:8" x14ac:dyDescent="0.25">
      <c r="E519" t="str">
        <f>"202001224753"</f>
        <v>202001224753</v>
      </c>
      <c r="F519" t="str">
        <f>"ACCT#405900028789 / 02012020"</f>
        <v>ACCT#405900028789 / 02012020</v>
      </c>
      <c r="G519" s="2">
        <v>187.35</v>
      </c>
      <c r="H519" t="str">
        <f>"ACCT#405900028789 / 02012020"</f>
        <v>ACCT#405900028789 / 02012020</v>
      </c>
    </row>
    <row r="520" spans="1:8" x14ac:dyDescent="0.25">
      <c r="A520" t="s">
        <v>132</v>
      </c>
      <c r="B520">
        <v>1998</v>
      </c>
      <c r="C520" s="2">
        <v>1773.67</v>
      </c>
      <c r="D520" s="1">
        <v>43844</v>
      </c>
      <c r="E520" t="str">
        <f>"29346E"</f>
        <v>29346E</v>
      </c>
      <c r="F520" t="str">
        <f>"INV 29346E"</f>
        <v>INV 29346E</v>
      </c>
      <c r="G520" s="2">
        <v>1773.67</v>
      </c>
      <c r="H520" t="str">
        <f>"INV 29346E"</f>
        <v>INV 29346E</v>
      </c>
    </row>
    <row r="521" spans="1:8" x14ac:dyDescent="0.25">
      <c r="A521" t="s">
        <v>132</v>
      </c>
      <c r="B521">
        <v>2064</v>
      </c>
      <c r="C521" s="2">
        <v>2476</v>
      </c>
      <c r="D521" s="1">
        <v>43858</v>
      </c>
      <c r="E521" t="str">
        <f>"29381 C"</f>
        <v>29381 C</v>
      </c>
      <c r="F521" t="str">
        <f>"INV 29381 C"</f>
        <v>INV 29381 C</v>
      </c>
      <c r="G521" s="2">
        <v>2476</v>
      </c>
      <c r="H521" t="str">
        <f>"INV 29381 C"</f>
        <v>INV 29381 C</v>
      </c>
    </row>
    <row r="522" spans="1:8" x14ac:dyDescent="0.25">
      <c r="A522" t="s">
        <v>133</v>
      </c>
      <c r="B522">
        <v>2033</v>
      </c>
      <c r="C522" s="2">
        <v>2787.5</v>
      </c>
      <c r="D522" s="1">
        <v>43844</v>
      </c>
      <c r="E522" t="str">
        <f>"201912274316"</f>
        <v>201912274316</v>
      </c>
      <c r="F522" t="str">
        <f>"16354"</f>
        <v>16354</v>
      </c>
      <c r="G522" s="2">
        <v>400</v>
      </c>
      <c r="H522" t="str">
        <f>"16354"</f>
        <v>16354</v>
      </c>
    </row>
    <row r="523" spans="1:8" x14ac:dyDescent="0.25">
      <c r="E523" t="str">
        <f>"201912274317"</f>
        <v>201912274317</v>
      </c>
      <c r="F523" t="str">
        <f>"16741"</f>
        <v>16741</v>
      </c>
      <c r="G523" s="2">
        <v>400</v>
      </c>
      <c r="H523" t="str">
        <f>"16741"</f>
        <v>16741</v>
      </c>
    </row>
    <row r="524" spans="1:8" x14ac:dyDescent="0.25">
      <c r="E524" t="str">
        <f>"201912274318"</f>
        <v>201912274318</v>
      </c>
      <c r="F524" t="str">
        <f>"16484"</f>
        <v>16484</v>
      </c>
      <c r="G524" s="2">
        <v>400</v>
      </c>
      <c r="H524" t="str">
        <f>"16484"</f>
        <v>16484</v>
      </c>
    </row>
    <row r="525" spans="1:8" x14ac:dyDescent="0.25">
      <c r="E525" t="str">
        <f>"201912274319"</f>
        <v>201912274319</v>
      </c>
      <c r="F525" t="str">
        <f>"17069  31122019C"</f>
        <v>17069  31122019C</v>
      </c>
      <c r="G525" s="2">
        <v>600</v>
      </c>
      <c r="H525" t="str">
        <f>"17069  31122019C"</f>
        <v>17069  31122019C</v>
      </c>
    </row>
    <row r="526" spans="1:8" x14ac:dyDescent="0.25">
      <c r="E526" t="str">
        <f>"202001084543"</f>
        <v>202001084543</v>
      </c>
      <c r="F526" t="str">
        <f>"19-19963"</f>
        <v>19-19963</v>
      </c>
      <c r="G526" s="2">
        <v>137.5</v>
      </c>
      <c r="H526" t="str">
        <f>"19-19963"</f>
        <v>19-19963</v>
      </c>
    </row>
    <row r="527" spans="1:8" x14ac:dyDescent="0.25">
      <c r="E527" t="str">
        <f>"202001084544"</f>
        <v>202001084544</v>
      </c>
      <c r="F527" t="str">
        <f>"19-19713"</f>
        <v>19-19713</v>
      </c>
      <c r="G527" s="2">
        <v>250</v>
      </c>
      <c r="H527" t="str">
        <f>"19-19713"</f>
        <v>19-19713</v>
      </c>
    </row>
    <row r="528" spans="1:8" x14ac:dyDescent="0.25">
      <c r="E528" t="str">
        <f>"202001084545"</f>
        <v>202001084545</v>
      </c>
      <c r="F528" t="str">
        <f>"19-19445"</f>
        <v>19-19445</v>
      </c>
      <c r="G528" s="2">
        <v>175</v>
      </c>
      <c r="H528" t="str">
        <f>"19-19445"</f>
        <v>19-19445</v>
      </c>
    </row>
    <row r="529" spans="1:8" x14ac:dyDescent="0.25">
      <c r="E529" t="str">
        <f>"202001084546"</f>
        <v>202001084546</v>
      </c>
      <c r="F529" t="str">
        <f>"19-19739"</f>
        <v>19-19739</v>
      </c>
      <c r="G529" s="2">
        <v>175</v>
      </c>
      <c r="H529" t="str">
        <f>"19-19739"</f>
        <v>19-19739</v>
      </c>
    </row>
    <row r="530" spans="1:8" x14ac:dyDescent="0.25">
      <c r="E530" t="str">
        <f>"202001084547"</f>
        <v>202001084547</v>
      </c>
      <c r="F530" t="str">
        <f>"J-3151"</f>
        <v>J-3151</v>
      </c>
      <c r="G530" s="2">
        <v>250</v>
      </c>
      <c r="H530" t="str">
        <f>"J-3151"</f>
        <v>J-3151</v>
      </c>
    </row>
    <row r="531" spans="1:8" x14ac:dyDescent="0.25">
      <c r="A531" t="s">
        <v>133</v>
      </c>
      <c r="B531">
        <v>2110</v>
      </c>
      <c r="C531" s="2">
        <v>4350</v>
      </c>
      <c r="D531" s="1">
        <v>43858</v>
      </c>
      <c r="E531" t="str">
        <f>"202001164646"</f>
        <v>202001164646</v>
      </c>
      <c r="F531" t="str">
        <f>"301142019B"</f>
        <v>301142019B</v>
      </c>
      <c r="G531" s="2">
        <v>400</v>
      </c>
      <c r="H531" t="str">
        <f>"301142019B"</f>
        <v>301142019B</v>
      </c>
    </row>
    <row r="532" spans="1:8" x14ac:dyDescent="0.25">
      <c r="E532" t="str">
        <f>"202001164648"</f>
        <v>202001164648</v>
      </c>
      <c r="F532" t="str">
        <f>"02-1116-1  CC20190630C"</f>
        <v>02-1116-1  CC20190630C</v>
      </c>
      <c r="G532" s="2">
        <v>600</v>
      </c>
      <c r="H532" t="str">
        <f>"02-1116-1  CC20190630C"</f>
        <v>02-1116-1  CC20190630C</v>
      </c>
    </row>
    <row r="533" spans="1:8" x14ac:dyDescent="0.25">
      <c r="E533" t="str">
        <f>"202001164649"</f>
        <v>202001164649</v>
      </c>
      <c r="F533" t="str">
        <f>"16997"</f>
        <v>16997</v>
      </c>
      <c r="G533" s="2">
        <v>400</v>
      </c>
      <c r="H533" t="str">
        <f>"16997"</f>
        <v>16997</v>
      </c>
    </row>
    <row r="534" spans="1:8" x14ac:dyDescent="0.25">
      <c r="E534" t="str">
        <f>"202001164650"</f>
        <v>202001164650</v>
      </c>
      <c r="F534" t="str">
        <f>"16611"</f>
        <v>16611</v>
      </c>
      <c r="G534" s="2">
        <v>400</v>
      </c>
      <c r="H534" t="str">
        <f>"16611"</f>
        <v>16611</v>
      </c>
    </row>
    <row r="535" spans="1:8" x14ac:dyDescent="0.25">
      <c r="E535" t="str">
        <f>"202001164651"</f>
        <v>202001164651</v>
      </c>
      <c r="F535" t="str">
        <f>"16883"</f>
        <v>16883</v>
      </c>
      <c r="G535" s="2">
        <v>400</v>
      </c>
      <c r="H535" t="str">
        <f>"16883"</f>
        <v>16883</v>
      </c>
    </row>
    <row r="536" spans="1:8" x14ac:dyDescent="0.25">
      <c r="E536" t="str">
        <f>"202001174681"</f>
        <v>202001174681</v>
      </c>
      <c r="F536" t="str">
        <f>"17001"</f>
        <v>17001</v>
      </c>
      <c r="G536" s="2">
        <v>400</v>
      </c>
      <c r="H536" t="str">
        <f>"17001"</f>
        <v>17001</v>
      </c>
    </row>
    <row r="537" spans="1:8" x14ac:dyDescent="0.25">
      <c r="E537" t="str">
        <f>"202001224772"</f>
        <v>202001224772</v>
      </c>
      <c r="F537" t="str">
        <f>"57128"</f>
        <v>57128</v>
      </c>
      <c r="G537" s="2">
        <v>250</v>
      </c>
      <c r="H537" t="str">
        <f>"57128"</f>
        <v>57128</v>
      </c>
    </row>
    <row r="538" spans="1:8" x14ac:dyDescent="0.25">
      <c r="E538" t="str">
        <f>"202001224773"</f>
        <v>202001224773</v>
      </c>
      <c r="F538" t="str">
        <f>"57164"</f>
        <v>57164</v>
      </c>
      <c r="G538" s="2">
        <v>250</v>
      </c>
      <c r="H538" t="str">
        <f>"57164"</f>
        <v>57164</v>
      </c>
    </row>
    <row r="539" spans="1:8" x14ac:dyDescent="0.25">
      <c r="E539" t="str">
        <f>"202001224774"</f>
        <v>202001224774</v>
      </c>
      <c r="F539" t="str">
        <f>"57168  02-1116-2  CC20190630D"</f>
        <v>57168  02-1116-2  CC20190630D</v>
      </c>
      <c r="G539" s="2">
        <v>500</v>
      </c>
      <c r="H539" t="str">
        <f>"57168  02-1116-2  CC20190630D"</f>
        <v>57168  02-1116-2  CC20190630D</v>
      </c>
    </row>
    <row r="540" spans="1:8" x14ac:dyDescent="0.25">
      <c r="E540" t="str">
        <f>"202001224775"</f>
        <v>202001224775</v>
      </c>
      <c r="F540" t="str">
        <f>"1JP61618C"</f>
        <v>1JP61618C</v>
      </c>
      <c r="G540" s="2">
        <v>250</v>
      </c>
      <c r="H540" t="str">
        <f>"1JP61618C"</f>
        <v>1JP61618C</v>
      </c>
    </row>
    <row r="541" spans="1:8" x14ac:dyDescent="0.25">
      <c r="E541" t="str">
        <f>"202001224776"</f>
        <v>202001224776</v>
      </c>
      <c r="F541" t="str">
        <f>"CM20191117-D"</f>
        <v>CM20191117-D</v>
      </c>
      <c r="G541" s="2">
        <v>250</v>
      </c>
      <c r="H541" t="str">
        <f>"CM20191117-D"</f>
        <v>CM20191117-D</v>
      </c>
    </row>
    <row r="542" spans="1:8" x14ac:dyDescent="0.25">
      <c r="E542" t="str">
        <f>"202001224777"</f>
        <v>202001224777</v>
      </c>
      <c r="F542" t="str">
        <f>"BC-20190625E"</f>
        <v>BC-20190625E</v>
      </c>
      <c r="G542" s="2">
        <v>250</v>
      </c>
      <c r="H542" t="str">
        <f>"BC-20190625E"</f>
        <v>BC-20190625E</v>
      </c>
    </row>
    <row r="543" spans="1:8" x14ac:dyDescent="0.25">
      <c r="A543" t="s">
        <v>134</v>
      </c>
      <c r="B543">
        <v>130399</v>
      </c>
      <c r="C543" s="2">
        <v>1980</v>
      </c>
      <c r="D543" s="1">
        <v>43843</v>
      </c>
      <c r="E543" t="str">
        <f>"002"</f>
        <v>002</v>
      </c>
      <c r="F543" t="str">
        <f>"9 LOADS ROAD BASE/PCT#3"</f>
        <v>9 LOADS ROAD BASE/PCT#3</v>
      </c>
      <c r="G543" s="2">
        <v>1980</v>
      </c>
      <c r="H543" t="str">
        <f>"9 LOADS ROAD BASE/PCT#3"</f>
        <v>9 LOADS ROAD BASE/PCT#3</v>
      </c>
    </row>
    <row r="544" spans="1:8" x14ac:dyDescent="0.25">
      <c r="A544" t="s">
        <v>134</v>
      </c>
      <c r="B544">
        <v>130562</v>
      </c>
      <c r="C544" s="2">
        <v>880</v>
      </c>
      <c r="D544" s="1">
        <v>43857</v>
      </c>
      <c r="E544" t="str">
        <f>"003"</f>
        <v>003</v>
      </c>
      <c r="F544" t="str">
        <f>"4 LDS ROAD BASE/PCT#3"</f>
        <v>4 LDS ROAD BASE/PCT#3</v>
      </c>
      <c r="G544" s="2">
        <v>880</v>
      </c>
      <c r="H544" t="str">
        <f>"4 LDS ROAD BASE/PCT#3"</f>
        <v>4 LDS ROAD BASE/PCT#3</v>
      </c>
    </row>
    <row r="545" spans="1:8" x14ac:dyDescent="0.25">
      <c r="A545" t="s">
        <v>135</v>
      </c>
      <c r="B545">
        <v>2082</v>
      </c>
      <c r="C545" s="2">
        <v>1190.6600000000001</v>
      </c>
      <c r="D545" s="1">
        <v>43858</v>
      </c>
      <c r="E545" t="str">
        <f>"6253536571"</f>
        <v>6253536571</v>
      </c>
      <c r="F545" t="str">
        <f>"INV 6253536571"</f>
        <v>INV 6253536571</v>
      </c>
      <c r="G545" s="2">
        <v>1190.6600000000001</v>
      </c>
      <c r="H545" t="str">
        <f>"INV 6253536571"</f>
        <v>INV 6253536571</v>
      </c>
    </row>
    <row r="546" spans="1:8" x14ac:dyDescent="0.25">
      <c r="A546" t="s">
        <v>136</v>
      </c>
      <c r="B546">
        <v>130563</v>
      </c>
      <c r="C546" s="2">
        <v>135</v>
      </c>
      <c r="D546" s="1">
        <v>43857</v>
      </c>
      <c r="E546" t="str">
        <f>"202001164666"</f>
        <v>202001164666</v>
      </c>
      <c r="F546" t="str">
        <f>"REIMBURSEMENT-ANNUAL CONFERENC"</f>
        <v>REIMBURSEMENT-ANNUAL CONFERENC</v>
      </c>
      <c r="G546" s="2">
        <v>135</v>
      </c>
      <c r="H546" t="str">
        <f>"REIMBURSEMENT-ANNUAL CONFERENC"</f>
        <v>REIMBURSEMENT-ANNUAL CONFERENC</v>
      </c>
    </row>
    <row r="547" spans="1:8" x14ac:dyDescent="0.25">
      <c r="A547" t="s">
        <v>137</v>
      </c>
      <c r="B547">
        <v>130400</v>
      </c>
      <c r="C547" s="2">
        <v>5</v>
      </c>
      <c r="D547" s="1">
        <v>43843</v>
      </c>
      <c r="E547" t="str">
        <f>"202001024379"</f>
        <v>202001024379</v>
      </c>
      <c r="F547" t="str">
        <f>"FERAL HOGS"</f>
        <v>FERAL HOGS</v>
      </c>
      <c r="G547" s="2">
        <v>5</v>
      </c>
      <c r="H547" t="str">
        <f>"FERAL HOGS"</f>
        <v>FERAL HOGS</v>
      </c>
    </row>
    <row r="548" spans="1:8" x14ac:dyDescent="0.25">
      <c r="A548" t="s">
        <v>138</v>
      </c>
      <c r="B548">
        <v>2010</v>
      </c>
      <c r="C548" s="2">
        <v>323</v>
      </c>
      <c r="D548" s="1">
        <v>43844</v>
      </c>
      <c r="E548" t="str">
        <f>"122019"</f>
        <v>122019</v>
      </c>
      <c r="F548" t="str">
        <f>"1 YR SUBSCRIPTION RENEWAL"</f>
        <v>1 YR SUBSCRIPTION RENEWAL</v>
      </c>
      <c r="G548" s="2">
        <v>41</v>
      </c>
      <c r="H548" t="str">
        <f>"1 YR SUBSCRIPTION RENEWAL"</f>
        <v>1 YR SUBSCRIPTION RENEWAL</v>
      </c>
    </row>
    <row r="549" spans="1:8" x14ac:dyDescent="0.25">
      <c r="E549" t="str">
        <f>"122719"</f>
        <v>122719</v>
      </c>
      <c r="F549" t="str">
        <f>"1 YR SUBSCRIPTION RENEWAL"</f>
        <v>1 YR SUBSCRIPTION RENEWAL</v>
      </c>
      <c r="G549" s="2">
        <v>41</v>
      </c>
      <c r="H549" t="str">
        <f>"1 YR SUBSCRIPTION RENEWAL"</f>
        <v>1 YR SUBSCRIPTION RENEWAL</v>
      </c>
    </row>
    <row r="550" spans="1:8" x14ac:dyDescent="0.25">
      <c r="E550" t="str">
        <f>"52421-21047/48/49"</f>
        <v>52421-21047/48/49</v>
      </c>
      <c r="F550" t="str">
        <f>"Public Notice"</f>
        <v>Public Notice</v>
      </c>
      <c r="G550" s="2">
        <v>111</v>
      </c>
      <c r="H550" t="str">
        <f>"Public Notice 12.4"</f>
        <v>Public Notice 12.4</v>
      </c>
    </row>
    <row r="551" spans="1:8" x14ac:dyDescent="0.25">
      <c r="E551" t="str">
        <f>""</f>
        <v/>
      </c>
      <c r="F551" t="str">
        <f>""</f>
        <v/>
      </c>
      <c r="H551" t="str">
        <f>"Public Notice 12.12"</f>
        <v>Public Notice 12.12</v>
      </c>
    </row>
    <row r="552" spans="1:8" x14ac:dyDescent="0.25">
      <c r="E552" t="str">
        <f>""</f>
        <v/>
      </c>
      <c r="F552" t="str">
        <f>""</f>
        <v/>
      </c>
      <c r="H552" t="str">
        <f>"Public Notice 12.19"</f>
        <v>Public Notice 12.19</v>
      </c>
    </row>
    <row r="553" spans="1:8" x14ac:dyDescent="0.25">
      <c r="E553" t="str">
        <f>"52421-21302"</f>
        <v>52421-21302</v>
      </c>
      <c r="F553" t="str">
        <f>"BLACKLANDS PUBLICATIONS INC"</f>
        <v>BLACKLANDS PUBLICATIONS INC</v>
      </c>
      <c r="G553" s="2">
        <v>65</v>
      </c>
      <c r="H553" t="str">
        <f>"Auction Ad"</f>
        <v>Auction Ad</v>
      </c>
    </row>
    <row r="554" spans="1:8" x14ac:dyDescent="0.25">
      <c r="E554" t="str">
        <f>"52421-21392"</f>
        <v>52421-21392</v>
      </c>
      <c r="F554" t="str">
        <f>"BLACKLANDS PUBLICATIONS INC"</f>
        <v>BLACKLANDS PUBLICATIONS INC</v>
      </c>
      <c r="G554" s="2">
        <v>65</v>
      </c>
      <c r="H554" t="str">
        <f>"CAT Roller"</f>
        <v>CAT Roller</v>
      </c>
    </row>
    <row r="555" spans="1:8" x14ac:dyDescent="0.25">
      <c r="A555" t="s">
        <v>139</v>
      </c>
      <c r="B555">
        <v>130401</v>
      </c>
      <c r="C555" s="2">
        <v>35548.559999999998</v>
      </c>
      <c r="D555" s="1">
        <v>43843</v>
      </c>
      <c r="E555" t="str">
        <f>"93756268"</f>
        <v>93756268</v>
      </c>
      <c r="F555" t="str">
        <f>"ESRI RENEWAL"</f>
        <v>ESRI RENEWAL</v>
      </c>
      <c r="G555" s="2">
        <v>35548.559999999998</v>
      </c>
      <c r="H555" t="str">
        <f>"SPLIT PAYMENT"</f>
        <v>SPLIT PAYMENT</v>
      </c>
    </row>
    <row r="556" spans="1:8" x14ac:dyDescent="0.25">
      <c r="E556" t="str">
        <f>""</f>
        <v/>
      </c>
      <c r="F556" t="str">
        <f>""</f>
        <v/>
      </c>
      <c r="H556" t="str">
        <f>"SPLIT PAYMENT"</f>
        <v>SPLIT PAYMENT</v>
      </c>
    </row>
    <row r="557" spans="1:8" x14ac:dyDescent="0.25">
      <c r="A557" t="s">
        <v>139</v>
      </c>
      <c r="B557">
        <v>130564</v>
      </c>
      <c r="C557" s="2">
        <v>14949.3</v>
      </c>
      <c r="D557" s="1">
        <v>43857</v>
      </c>
      <c r="E557" t="str">
        <f>"93761914"</f>
        <v>93761914</v>
      </c>
      <c r="F557" t="str">
        <f>"Esri upgrades and new lic"</f>
        <v>Esri upgrades and new lic</v>
      </c>
      <c r="G557" s="2">
        <v>14949.3</v>
      </c>
      <c r="H557" t="str">
        <f>"Material# 102583"</f>
        <v>Material# 102583</v>
      </c>
    </row>
    <row r="558" spans="1:8" x14ac:dyDescent="0.25">
      <c r="E558" t="str">
        <f>""</f>
        <v/>
      </c>
      <c r="F558" t="str">
        <f>""</f>
        <v/>
      </c>
      <c r="H558" t="str">
        <f>"Material"</f>
        <v>Material</v>
      </c>
    </row>
    <row r="559" spans="1:8" x14ac:dyDescent="0.25">
      <c r="A559" t="s">
        <v>140</v>
      </c>
      <c r="B559">
        <v>130565</v>
      </c>
      <c r="C559" s="2">
        <v>60.38</v>
      </c>
      <c r="D559" s="1">
        <v>43857</v>
      </c>
      <c r="E559" t="str">
        <f>"202001214739"</f>
        <v>202001214739</v>
      </c>
      <c r="F559" t="str">
        <f>"MILEAGE REIMBURSEMENT"</f>
        <v>MILEAGE REIMBURSEMENT</v>
      </c>
      <c r="G559" s="2">
        <v>60.38</v>
      </c>
      <c r="H559" t="str">
        <f>"MILEAGE REIMBURSEMENT"</f>
        <v>MILEAGE REIMBURSEMENT</v>
      </c>
    </row>
    <row r="560" spans="1:8" x14ac:dyDescent="0.25">
      <c r="A560" t="s">
        <v>141</v>
      </c>
      <c r="B560">
        <v>2011</v>
      </c>
      <c r="C560" s="2">
        <v>7871.3</v>
      </c>
      <c r="D560" s="1">
        <v>43844</v>
      </c>
      <c r="E560" t="str">
        <f>"201912304344"</f>
        <v>201912304344</v>
      </c>
      <c r="F560" t="str">
        <f>"GRANT REIMBURSEMENT"</f>
        <v>GRANT REIMBURSEMENT</v>
      </c>
      <c r="G560" s="2">
        <v>7871.3</v>
      </c>
      <c r="H560" t="str">
        <f>"GRANT REIMBURSEMENT"</f>
        <v>GRANT REIMBURSEMENT</v>
      </c>
    </row>
    <row r="561" spans="1:9" x14ac:dyDescent="0.25">
      <c r="A561" t="s">
        <v>142</v>
      </c>
      <c r="B561">
        <v>130402</v>
      </c>
      <c r="C561" s="2">
        <v>39.69</v>
      </c>
      <c r="D561" s="1">
        <v>43843</v>
      </c>
      <c r="E561" t="str">
        <f>"4523*73*2"</f>
        <v>4523*73*2</v>
      </c>
      <c r="F561" t="str">
        <f>"JAIL MEDICAL"</f>
        <v>JAIL MEDICAL</v>
      </c>
      <c r="G561" s="2">
        <v>39.69</v>
      </c>
      <c r="H561" t="str">
        <f>"JAIL MEDICAL"</f>
        <v>JAIL MEDICAL</v>
      </c>
    </row>
    <row r="562" spans="1:9" x14ac:dyDescent="0.25">
      <c r="A562" t="s">
        <v>142</v>
      </c>
      <c r="B562">
        <v>130566</v>
      </c>
      <c r="C562" s="2">
        <v>33.270000000000003</v>
      </c>
      <c r="D562" s="1">
        <v>43857</v>
      </c>
      <c r="E562" t="str">
        <f>"202001214713"</f>
        <v>202001214713</v>
      </c>
      <c r="F562" t="str">
        <f>"INDIGENT HEALTH"</f>
        <v>INDIGENT HEALTH</v>
      </c>
      <c r="G562" s="2">
        <v>33.270000000000003</v>
      </c>
      <c r="H562" t="str">
        <f>"INDIGENT HEALTH"</f>
        <v>INDIGENT HEALTH</v>
      </c>
    </row>
    <row r="563" spans="1:9" x14ac:dyDescent="0.25">
      <c r="A563" t="s">
        <v>143</v>
      </c>
      <c r="B563">
        <v>130403</v>
      </c>
      <c r="C563" s="2">
        <v>20.5</v>
      </c>
      <c r="D563" s="1">
        <v>43843</v>
      </c>
      <c r="E563" t="str">
        <f>"6-873-23609"</f>
        <v>6-873-23609</v>
      </c>
      <c r="F563" t="str">
        <f>"INV 6-873-23609"</f>
        <v>INV 6-873-23609</v>
      </c>
      <c r="G563" s="2">
        <v>20.5</v>
      </c>
      <c r="H563" t="str">
        <f>"INV 6-873-23609"</f>
        <v>INV 6-873-23609</v>
      </c>
    </row>
    <row r="564" spans="1:9" x14ac:dyDescent="0.25">
      <c r="A564" t="s">
        <v>143</v>
      </c>
      <c r="B564">
        <v>130567</v>
      </c>
      <c r="C564" s="2">
        <v>47.37</v>
      </c>
      <c r="D564" s="1">
        <v>43857</v>
      </c>
      <c r="E564" t="str">
        <f>"6-899-21267"</f>
        <v>6-899-21267</v>
      </c>
      <c r="F564" t="str">
        <f>"SHIPPING / ELECTIONS"</f>
        <v>SHIPPING / ELECTIONS</v>
      </c>
      <c r="G564" s="2">
        <v>22.42</v>
      </c>
      <c r="H564" t="str">
        <f>"SHIPPING / ELECTIONS"</f>
        <v>SHIPPING / ELECTIONS</v>
      </c>
    </row>
    <row r="565" spans="1:9" x14ac:dyDescent="0.25">
      <c r="E565" t="str">
        <f>"6-899-24071"</f>
        <v>6-899-24071</v>
      </c>
      <c r="F565" t="str">
        <f>"INV 6-899-24071"</f>
        <v>INV 6-899-24071</v>
      </c>
      <c r="G565" s="2">
        <v>24.95</v>
      </c>
      <c r="H565" t="str">
        <f>"INV 6-899-24071"</f>
        <v>INV 6-899-24071</v>
      </c>
    </row>
    <row r="566" spans="1:9" x14ac:dyDescent="0.25">
      <c r="A566" t="s">
        <v>144</v>
      </c>
      <c r="B566">
        <v>130568</v>
      </c>
      <c r="C566" s="2">
        <v>164.9</v>
      </c>
      <c r="D566" s="1">
        <v>43857</v>
      </c>
      <c r="E566" t="str">
        <f>"43579472"</f>
        <v>43579472</v>
      </c>
      <c r="F566" t="str">
        <f>"ACCT#80975-001/PCT#3"</f>
        <v>ACCT#80975-001/PCT#3</v>
      </c>
      <c r="G566" s="2">
        <v>164.9</v>
      </c>
      <c r="H566" t="str">
        <f>"ACCT#80975-001/PCT#3"</f>
        <v>ACCT#80975-001/PCT#3</v>
      </c>
    </row>
    <row r="567" spans="1:9" x14ac:dyDescent="0.25">
      <c r="A567" t="s">
        <v>145</v>
      </c>
      <c r="B567">
        <v>130569</v>
      </c>
      <c r="C567" s="2">
        <v>50</v>
      </c>
      <c r="D567" s="1">
        <v>43857</v>
      </c>
      <c r="E567" t="s">
        <v>146</v>
      </c>
      <c r="F567" t="s">
        <v>147</v>
      </c>
      <c r="G567" s="2" t="str">
        <f>"RESTITUTION-D. CORKILL"</f>
        <v>RESTITUTION-D. CORKILL</v>
      </c>
      <c r="H567" t="str">
        <f>"210-0000"</f>
        <v>210-0000</v>
      </c>
      <c r="I567" t="str">
        <f>""</f>
        <v/>
      </c>
    </row>
    <row r="568" spans="1:9" x14ac:dyDescent="0.25">
      <c r="A568" t="s">
        <v>148</v>
      </c>
      <c r="B568">
        <v>2083</v>
      </c>
      <c r="C568" s="2">
        <v>1150</v>
      </c>
      <c r="D568" s="1">
        <v>43858</v>
      </c>
      <c r="E568" t="str">
        <f>"202001164643"</f>
        <v>202001164643</v>
      </c>
      <c r="F568" t="str">
        <f>"16 545  16 546  16 547"</f>
        <v>16 545  16 546  16 547</v>
      </c>
      <c r="G568" s="2">
        <v>800</v>
      </c>
      <c r="H568" t="str">
        <f>"16 545  16 546  16 547"</f>
        <v>16 545  16 546  16 547</v>
      </c>
    </row>
    <row r="569" spans="1:9" x14ac:dyDescent="0.25">
      <c r="E569" t="str">
        <f>"202001224793"</f>
        <v>202001224793</v>
      </c>
      <c r="F569" t="str">
        <f>"0207241"</f>
        <v>0207241</v>
      </c>
      <c r="G569" s="2">
        <v>250</v>
      </c>
      <c r="H569" t="str">
        <f>"0207241"</f>
        <v>0207241</v>
      </c>
    </row>
    <row r="570" spans="1:9" x14ac:dyDescent="0.25">
      <c r="E570" t="str">
        <f>"202001224794"</f>
        <v>202001224794</v>
      </c>
      <c r="F570" t="str">
        <f>"20500312"</f>
        <v>20500312</v>
      </c>
      <c r="G570" s="2">
        <v>100</v>
      </c>
      <c r="H570" t="str">
        <f>"20500312"</f>
        <v>20500312</v>
      </c>
    </row>
    <row r="571" spans="1:9" x14ac:dyDescent="0.25">
      <c r="A571" t="s">
        <v>149</v>
      </c>
      <c r="B571">
        <v>130404</v>
      </c>
      <c r="C571" s="2">
        <v>80</v>
      </c>
      <c r="D571" s="1">
        <v>43843</v>
      </c>
      <c r="E571" t="str">
        <f>"13275"</f>
        <v>13275</v>
      </c>
      <c r="F571" t="str">
        <f>"SERVICE"</f>
        <v>SERVICE</v>
      </c>
      <c r="G571" s="2">
        <v>80</v>
      </c>
      <c r="H571" t="str">
        <f>"SERVICE"</f>
        <v>SERVICE</v>
      </c>
    </row>
    <row r="572" spans="1:9" x14ac:dyDescent="0.25">
      <c r="A572" t="s">
        <v>150</v>
      </c>
      <c r="B572">
        <v>2003</v>
      </c>
      <c r="C572" s="2">
        <v>35</v>
      </c>
      <c r="D572" s="1">
        <v>43844</v>
      </c>
      <c r="E572" t="str">
        <f>"201912274322"</f>
        <v>201912274322</v>
      </c>
      <c r="F572" t="str">
        <f>"TRAVEL ADVANCE-PER DIEM"</f>
        <v>TRAVEL ADVANCE-PER DIEM</v>
      </c>
      <c r="G572" s="2">
        <v>35</v>
      </c>
      <c r="H572" t="str">
        <f>"TRAVEL ADVANCE-PER DIEM"</f>
        <v>TRAVEL ADVANCE-PER DIEM</v>
      </c>
    </row>
    <row r="573" spans="1:9" x14ac:dyDescent="0.25">
      <c r="A573" t="s">
        <v>150</v>
      </c>
      <c r="B573">
        <v>2073</v>
      </c>
      <c r="C573" s="2">
        <v>487.02</v>
      </c>
      <c r="D573" s="1">
        <v>43858</v>
      </c>
      <c r="E573" t="str">
        <f>"202001214705"</f>
        <v>202001214705</v>
      </c>
      <c r="F573" t="str">
        <f>"TRAVEL ADVANCE - PER DIEM"</f>
        <v>TRAVEL ADVANCE - PER DIEM</v>
      </c>
      <c r="G573" s="2">
        <v>90</v>
      </c>
      <c r="H573" t="str">
        <f>"TRAVEL ADVANCE - PER DIEM"</f>
        <v>TRAVEL ADVANCE - PER DIEM</v>
      </c>
    </row>
    <row r="574" spans="1:9" x14ac:dyDescent="0.25">
      <c r="E574" t="str">
        <f>"202001214707"</f>
        <v>202001214707</v>
      </c>
      <c r="F574" t="str">
        <f>"MILEAGE REIMBURSEMENT"</f>
        <v>MILEAGE REIMBURSEMENT</v>
      </c>
      <c r="G574" s="2">
        <v>256.45</v>
      </c>
      <c r="H574" t="str">
        <f>"MILEAGE REIMBURSEMENT"</f>
        <v>MILEAGE REIMBURSEMENT</v>
      </c>
    </row>
    <row r="575" spans="1:9" x14ac:dyDescent="0.25">
      <c r="E575" t="str">
        <f>"202001214708"</f>
        <v>202001214708</v>
      </c>
      <c r="F575" t="str">
        <f>"TRAVEL REIMBURSEMENT"</f>
        <v>TRAVEL REIMBURSEMENT</v>
      </c>
      <c r="G575" s="2">
        <v>140.57</v>
      </c>
      <c r="H575" t="str">
        <f>"TRAVEL REIMBURSEMENT"</f>
        <v>TRAVEL REIMBURSEMENT</v>
      </c>
    </row>
    <row r="576" spans="1:9" x14ac:dyDescent="0.25">
      <c r="A576" t="s">
        <v>151</v>
      </c>
      <c r="B576">
        <v>130570</v>
      </c>
      <c r="C576" s="2">
        <v>3565.88</v>
      </c>
      <c r="D576" s="1">
        <v>43857</v>
      </c>
      <c r="E576" t="str">
        <f>"2020-01"</f>
        <v>2020-01</v>
      </c>
      <c r="F576" t="str">
        <f>"15 915"</f>
        <v>15 915</v>
      </c>
      <c r="G576" s="2">
        <v>3565.88</v>
      </c>
      <c r="H576" t="str">
        <f>"15 915"</f>
        <v>15 915</v>
      </c>
    </row>
    <row r="577" spans="1:8" x14ac:dyDescent="0.25">
      <c r="A577" t="s">
        <v>152</v>
      </c>
      <c r="B577">
        <v>2006</v>
      </c>
      <c r="C577" s="2">
        <v>77.239999999999995</v>
      </c>
      <c r="D577" s="1">
        <v>43844</v>
      </c>
      <c r="E577" t="str">
        <f>"AP415712"</f>
        <v>AP415712</v>
      </c>
      <c r="F577" t="str">
        <f>"ACCT#3324/PCT#3"</f>
        <v>ACCT#3324/PCT#3</v>
      </c>
      <c r="G577" s="2">
        <v>77.239999999999995</v>
      </c>
      <c r="H577" t="str">
        <f>"ACCT#3324/PCT#3"</f>
        <v>ACCT#3324/PCT#3</v>
      </c>
    </row>
    <row r="578" spans="1:8" x14ac:dyDescent="0.25">
      <c r="A578" t="s">
        <v>152</v>
      </c>
      <c r="B578">
        <v>2078</v>
      </c>
      <c r="C578" s="2">
        <v>238.26</v>
      </c>
      <c r="D578" s="1">
        <v>43858</v>
      </c>
      <c r="E578" t="str">
        <f>"32450AP"</f>
        <v>32450AP</v>
      </c>
      <c r="F578" t="str">
        <f>"PARTS / P2"</f>
        <v>PARTS / P2</v>
      </c>
      <c r="G578" s="2">
        <v>70.599999999999994</v>
      </c>
      <c r="H578" t="str">
        <f>"PARTS / P2"</f>
        <v>PARTS / P2</v>
      </c>
    </row>
    <row r="579" spans="1:8" x14ac:dyDescent="0.25">
      <c r="E579" t="str">
        <f>"32830AP"</f>
        <v>32830AP</v>
      </c>
      <c r="F579" t="str">
        <f>"ACCT#3326/PCT#4"</f>
        <v>ACCT#3326/PCT#4</v>
      </c>
      <c r="G579" s="2">
        <v>167.66</v>
      </c>
      <c r="H579" t="str">
        <f>"ACCT#3326/PCT#4"</f>
        <v>ACCT#3326/PCT#4</v>
      </c>
    </row>
    <row r="580" spans="1:8" x14ac:dyDescent="0.25">
      <c r="A580" t="s">
        <v>153</v>
      </c>
      <c r="B580">
        <v>130571</v>
      </c>
      <c r="C580" s="2">
        <v>9980</v>
      </c>
      <c r="D580" s="1">
        <v>43857</v>
      </c>
      <c r="E580" t="str">
        <f>"202001244820"</f>
        <v>202001244820</v>
      </c>
      <c r="F580" t="str">
        <f>"RAWS Maintenance Contract"</f>
        <v>RAWS Maintenance Contract</v>
      </c>
      <c r="G580" s="2">
        <v>9980</v>
      </c>
      <c r="H580" t="str">
        <f>"Invoice #34324"</f>
        <v>Invoice #34324</v>
      </c>
    </row>
    <row r="581" spans="1:8" x14ac:dyDescent="0.25">
      <c r="E581" t="str">
        <f>""</f>
        <v/>
      </c>
      <c r="F581" t="str">
        <f>""</f>
        <v/>
      </c>
      <c r="H581" t="str">
        <f>"Invoice #34323"</f>
        <v>Invoice #34323</v>
      </c>
    </row>
    <row r="582" spans="1:8" x14ac:dyDescent="0.25">
      <c r="E582" t="str">
        <f>""</f>
        <v/>
      </c>
      <c r="F582" t="str">
        <f>""</f>
        <v/>
      </c>
      <c r="H582" t="str">
        <f>"Invoice #34322"</f>
        <v>Invoice #34322</v>
      </c>
    </row>
    <row r="583" spans="1:8" x14ac:dyDescent="0.25">
      <c r="E583" t="str">
        <f>""</f>
        <v/>
      </c>
      <c r="F583" t="str">
        <f>""</f>
        <v/>
      </c>
      <c r="H583" t="str">
        <f>"Invoice #34321"</f>
        <v>Invoice #34321</v>
      </c>
    </row>
    <row r="584" spans="1:8" x14ac:dyDescent="0.25">
      <c r="A584" t="s">
        <v>154</v>
      </c>
      <c r="B584">
        <v>130405</v>
      </c>
      <c r="C584" s="2">
        <v>100</v>
      </c>
      <c r="D584" s="1">
        <v>43843</v>
      </c>
      <c r="E584" t="str">
        <f>"202001074510"</f>
        <v>202001074510</v>
      </c>
      <c r="F584" t="str">
        <f>"EXHIBITOR-EXPLORE BASTROP CNTY"</f>
        <v>EXHIBITOR-EXPLORE BASTROP CNTY</v>
      </c>
      <c r="G584" s="2">
        <v>100</v>
      </c>
      <c r="H584" t="str">
        <f>"EXHIBITOR-EXPLORE BASTROP CNTY"</f>
        <v>EXHIBITOR-EXPLORE BASTROP CNTY</v>
      </c>
    </row>
    <row r="585" spans="1:8" x14ac:dyDescent="0.25">
      <c r="A585" t="s">
        <v>155</v>
      </c>
      <c r="B585">
        <v>2012</v>
      </c>
      <c r="C585" s="2">
        <v>77.22</v>
      </c>
      <c r="D585" s="1">
        <v>43844</v>
      </c>
      <c r="E585" t="str">
        <f>"110719"</f>
        <v>110719</v>
      </c>
      <c r="F585" t="str">
        <f>"BUSINESS CARDS-WILDLIFE BIOLOG"</f>
        <v>BUSINESS CARDS-WILDLIFE BIOLOG</v>
      </c>
      <c r="G585" s="2">
        <v>77.22</v>
      </c>
      <c r="H585" t="str">
        <f>"BUSINESS CARDS-WILDLIFE BIOLOG"</f>
        <v>BUSINESS CARDS-WILDLIFE BIOLOG</v>
      </c>
    </row>
    <row r="586" spans="1:8" x14ac:dyDescent="0.25">
      <c r="A586" t="s">
        <v>155</v>
      </c>
      <c r="B586">
        <v>2084</v>
      </c>
      <c r="C586" s="2">
        <v>359.28</v>
      </c>
      <c r="D586" s="1">
        <v>43858</v>
      </c>
      <c r="E586" t="str">
        <f>"110725"</f>
        <v>110725</v>
      </c>
      <c r="F586" t="str">
        <f>"TINTED REGULAR ENVELOPES"</f>
        <v>TINTED REGULAR ENVELOPES</v>
      </c>
      <c r="G586" s="2">
        <v>112.23</v>
      </c>
      <c r="H586" t="str">
        <f>"TINTED REGULAR ENVELOPES"</f>
        <v>TINTED REGULAR ENVELOPES</v>
      </c>
    </row>
    <row r="587" spans="1:8" x14ac:dyDescent="0.25">
      <c r="E587" t="str">
        <f>"110831"</f>
        <v>110831</v>
      </c>
      <c r="F587" t="str">
        <f>"INV GC 110831"</f>
        <v>INV GC 110831</v>
      </c>
      <c r="G587" s="2">
        <v>40.96</v>
      </c>
      <c r="H587" t="str">
        <f>"INV GC 110831"</f>
        <v>INV GC 110831</v>
      </c>
    </row>
    <row r="588" spans="1:8" x14ac:dyDescent="0.25">
      <c r="E588" t="str">
        <f>"110832"</f>
        <v>110832</v>
      </c>
      <c r="F588" t="str">
        <f>"INV GC 110832"</f>
        <v>INV GC 110832</v>
      </c>
      <c r="G588" s="2">
        <v>206.09</v>
      </c>
      <c r="H588" t="str">
        <f>"INV GC 110832"</f>
        <v>INV GC 110832</v>
      </c>
    </row>
    <row r="589" spans="1:8" x14ac:dyDescent="0.25">
      <c r="A589" t="s">
        <v>156</v>
      </c>
      <c r="B589">
        <v>130572</v>
      </c>
      <c r="C589" s="2">
        <v>100</v>
      </c>
      <c r="D589" s="1">
        <v>43857</v>
      </c>
      <c r="E589" t="str">
        <f>"202001224754"</f>
        <v>202001224754</v>
      </c>
      <c r="F589" t="str">
        <f>"ADOPTION REFUND"</f>
        <v>ADOPTION REFUND</v>
      </c>
      <c r="G589" s="2">
        <v>100</v>
      </c>
      <c r="H589" t="str">
        <f>"ADOPTION REFUND"</f>
        <v>ADOPTION REFUND</v>
      </c>
    </row>
    <row r="590" spans="1:8" x14ac:dyDescent="0.25">
      <c r="A590" t="s">
        <v>157</v>
      </c>
      <c r="B590">
        <v>130406</v>
      </c>
      <c r="C590" s="2">
        <v>1243.1300000000001</v>
      </c>
      <c r="D590" s="1">
        <v>43843</v>
      </c>
      <c r="E590" t="str">
        <f>"014368050 01442689"</f>
        <v>014368050 01442689</v>
      </c>
      <c r="F590" t="str">
        <f>"INV 014368050/014426893/0"</f>
        <v>INV 014368050/014426893/0</v>
      </c>
      <c r="G590" s="2">
        <v>268.45</v>
      </c>
      <c r="H590" t="str">
        <f>"INV 014368050"</f>
        <v>INV 014368050</v>
      </c>
    </row>
    <row r="591" spans="1:8" x14ac:dyDescent="0.25">
      <c r="E591" t="str">
        <f>""</f>
        <v/>
      </c>
      <c r="F591" t="str">
        <f>""</f>
        <v/>
      </c>
      <c r="H591" t="str">
        <f>"INV 014426893"</f>
        <v>INV 014426893</v>
      </c>
    </row>
    <row r="592" spans="1:8" x14ac:dyDescent="0.25">
      <c r="E592" t="str">
        <f>""</f>
        <v/>
      </c>
      <c r="F592" t="str">
        <f>""</f>
        <v/>
      </c>
      <c r="H592" t="str">
        <f>"INV 014525507"</f>
        <v>INV 014525507</v>
      </c>
    </row>
    <row r="593" spans="1:8" x14ac:dyDescent="0.25">
      <c r="E593" t="str">
        <f>"014498860 01449886"</f>
        <v>014498860 01449886</v>
      </c>
      <c r="F593" t="str">
        <f>"INV 014498860/014498868"</f>
        <v>INV 014498860/014498868</v>
      </c>
      <c r="G593" s="2">
        <v>519</v>
      </c>
      <c r="H593" t="str">
        <f>"INV 014498860"</f>
        <v>INV 014498860</v>
      </c>
    </row>
    <row r="594" spans="1:8" x14ac:dyDescent="0.25">
      <c r="E594" t="str">
        <f>""</f>
        <v/>
      </c>
      <c r="F594" t="str">
        <f>""</f>
        <v/>
      </c>
      <c r="H594" t="str">
        <f>"INV 014498868"</f>
        <v>INV 014498868</v>
      </c>
    </row>
    <row r="595" spans="1:8" x14ac:dyDescent="0.25">
      <c r="E595" t="str">
        <f>"014498861"</f>
        <v>014498861</v>
      </c>
      <c r="F595" t="str">
        <f>"INV 014498861"</f>
        <v>INV 014498861</v>
      </c>
      <c r="G595" s="2">
        <v>359.18</v>
      </c>
      <c r="H595" t="str">
        <f>"INV 014498861"</f>
        <v>INV 014498861</v>
      </c>
    </row>
    <row r="596" spans="1:8" x14ac:dyDescent="0.25">
      <c r="E596" t="str">
        <f>"014561336"</f>
        <v>014561336</v>
      </c>
      <c r="F596" t="str">
        <f>"INV 014561336"</f>
        <v>INV 014561336</v>
      </c>
      <c r="G596" s="2">
        <v>96.5</v>
      </c>
      <c r="H596" t="str">
        <f>"INV 014561336"</f>
        <v>INV 014561336</v>
      </c>
    </row>
    <row r="597" spans="1:8" x14ac:dyDescent="0.25">
      <c r="A597" t="s">
        <v>157</v>
      </c>
      <c r="B597">
        <v>130573</v>
      </c>
      <c r="C597" s="2">
        <v>354.47</v>
      </c>
      <c r="D597" s="1">
        <v>43857</v>
      </c>
      <c r="E597" t="str">
        <f>"014705423"</f>
        <v>014705423</v>
      </c>
      <c r="F597" t="str">
        <f>"INV 014705423"</f>
        <v>INV 014705423</v>
      </c>
      <c r="G597" s="2">
        <v>69.98</v>
      </c>
      <c r="H597" t="str">
        <f>"INV 014705423"</f>
        <v>INV 014705423</v>
      </c>
    </row>
    <row r="598" spans="1:8" x14ac:dyDescent="0.25">
      <c r="E598" t="str">
        <f>"014715415"</f>
        <v>014715415</v>
      </c>
      <c r="F598" t="str">
        <f>"INV 014715415"</f>
        <v>INV 014715415</v>
      </c>
      <c r="G598" s="2">
        <v>36</v>
      </c>
      <c r="H598" t="str">
        <f>"INV 014715415"</f>
        <v>INV 014715415</v>
      </c>
    </row>
    <row r="599" spans="1:8" x14ac:dyDescent="0.25">
      <c r="E599" t="str">
        <f>"014730435"</f>
        <v>014730435</v>
      </c>
      <c r="F599" t="str">
        <f>"INV 014730435"</f>
        <v>INV 014730435</v>
      </c>
      <c r="G599" s="2">
        <v>15</v>
      </c>
      <c r="H599" t="str">
        <f>"INV 014730435"</f>
        <v>INV 014730435</v>
      </c>
    </row>
    <row r="600" spans="1:8" x14ac:dyDescent="0.25">
      <c r="E600" t="str">
        <f>"202001214741"</f>
        <v>202001214741</v>
      </c>
      <c r="F600" t="str">
        <f>"INV 014368034/014368003/."</f>
        <v>INV 014368034/014368003/.</v>
      </c>
      <c r="G600" s="2">
        <v>233.49</v>
      </c>
      <c r="H600" t="str">
        <f>"INV 014368034"</f>
        <v>INV 014368034</v>
      </c>
    </row>
    <row r="601" spans="1:8" x14ac:dyDescent="0.25">
      <c r="E601" t="str">
        <f>""</f>
        <v/>
      </c>
      <c r="F601" t="str">
        <f>""</f>
        <v/>
      </c>
      <c r="H601" t="str">
        <f>"INV 014368003"</f>
        <v>INV 014368003</v>
      </c>
    </row>
    <row r="602" spans="1:8" x14ac:dyDescent="0.25">
      <c r="E602" t="str">
        <f>""</f>
        <v/>
      </c>
      <c r="F602" t="str">
        <f>""</f>
        <v/>
      </c>
      <c r="H602" t="str">
        <f>"INV 014573430"</f>
        <v>INV 014573430</v>
      </c>
    </row>
    <row r="603" spans="1:8" x14ac:dyDescent="0.25">
      <c r="E603" t="str">
        <f>""</f>
        <v/>
      </c>
      <c r="F603" t="str">
        <f>""</f>
        <v/>
      </c>
      <c r="H603" t="str">
        <f>"INV 014151272"</f>
        <v>INV 014151272</v>
      </c>
    </row>
    <row r="604" spans="1:8" x14ac:dyDescent="0.25">
      <c r="E604" t="str">
        <f>""</f>
        <v/>
      </c>
      <c r="F604" t="str">
        <f>""</f>
        <v/>
      </c>
      <c r="H604" t="str">
        <f>"INV 014705412"</f>
        <v>INV 014705412</v>
      </c>
    </row>
    <row r="605" spans="1:8" x14ac:dyDescent="0.25">
      <c r="A605" t="s">
        <v>158</v>
      </c>
      <c r="B605">
        <v>130407</v>
      </c>
      <c r="C605" s="2">
        <v>616.95000000000005</v>
      </c>
      <c r="D605" s="1">
        <v>43843</v>
      </c>
      <c r="E605" t="str">
        <f>"366397"</f>
        <v>366397</v>
      </c>
      <c r="F605" t="str">
        <f>"INV 366397"</f>
        <v>INV 366397</v>
      </c>
      <c r="G605" s="2">
        <v>616.95000000000005</v>
      </c>
      <c r="H605" t="str">
        <f>"INV 366397"</f>
        <v>INV 366397</v>
      </c>
    </row>
    <row r="606" spans="1:8" x14ac:dyDescent="0.25">
      <c r="A606" t="s">
        <v>159</v>
      </c>
      <c r="B606">
        <v>130408</v>
      </c>
      <c r="C606" s="2">
        <v>650</v>
      </c>
      <c r="D606" s="1">
        <v>43843</v>
      </c>
      <c r="E606" t="str">
        <f>"202001064403"</f>
        <v>202001064403</v>
      </c>
      <c r="F606" t="str">
        <f>"TRANSPORT-E. GRUMMERT"</f>
        <v>TRANSPORT-E. GRUMMERT</v>
      </c>
      <c r="G606" s="2">
        <v>650</v>
      </c>
      <c r="H606" t="str">
        <f>"TRANSPORT-E. GRUMMERT"</f>
        <v>TRANSPORT-E. GRUMMERT</v>
      </c>
    </row>
    <row r="607" spans="1:8" x14ac:dyDescent="0.25">
      <c r="A607" t="s">
        <v>160</v>
      </c>
      <c r="B607">
        <v>130409</v>
      </c>
      <c r="C607" s="2">
        <v>1142</v>
      </c>
      <c r="D607" s="1">
        <v>43843</v>
      </c>
      <c r="E607" t="str">
        <f>"0318554"</f>
        <v>0318554</v>
      </c>
      <c r="F607" t="str">
        <f>"JOB#017825/LASER CHECKS"</f>
        <v>JOB#017825/LASER CHECKS</v>
      </c>
      <c r="G607" s="2">
        <v>1142</v>
      </c>
      <c r="H607" t="str">
        <f>"JOB#017825/LASER CHECKS"</f>
        <v>JOB#017825/LASER CHECKS</v>
      </c>
    </row>
    <row r="608" spans="1:8" x14ac:dyDescent="0.25">
      <c r="E608" t="str">
        <f>""</f>
        <v/>
      </c>
      <c r="F608" t="str">
        <f>""</f>
        <v/>
      </c>
      <c r="H608" t="str">
        <f>"JOB#017825/LASER CHECKS"</f>
        <v>JOB#017825/LASER CHECKS</v>
      </c>
    </row>
    <row r="609" spans="1:8" x14ac:dyDescent="0.25">
      <c r="A609" t="s">
        <v>161</v>
      </c>
      <c r="B609">
        <v>130410</v>
      </c>
      <c r="C609" s="2">
        <v>226.37</v>
      </c>
      <c r="D609" s="1">
        <v>43843</v>
      </c>
      <c r="E609" t="str">
        <f>"47689"</f>
        <v>47689</v>
      </c>
      <c r="F609" t="str">
        <f>"ACCT#10118/ANIMAL SHELTER"</f>
        <v>ACCT#10118/ANIMAL SHELTER</v>
      </c>
      <c r="G609" s="2">
        <v>226.37</v>
      </c>
      <c r="H609" t="str">
        <f>"ACCT#10118/ANIMAL SHELTER"</f>
        <v>ACCT#10118/ANIMAL SHELTER</v>
      </c>
    </row>
    <row r="610" spans="1:8" x14ac:dyDescent="0.25">
      <c r="A610" t="s">
        <v>162</v>
      </c>
      <c r="B610">
        <v>130411</v>
      </c>
      <c r="C610" s="2">
        <v>815.83</v>
      </c>
      <c r="D610" s="1">
        <v>43843</v>
      </c>
      <c r="E610" t="str">
        <f>"9393807046"</f>
        <v>9393807046</v>
      </c>
      <c r="F610" t="str">
        <f>"INV 9393807046"</f>
        <v>INV 9393807046</v>
      </c>
      <c r="G610" s="2">
        <v>815.83</v>
      </c>
      <c r="H610" t="str">
        <f>"INV 9393807046"</f>
        <v>INV 9393807046</v>
      </c>
    </row>
    <row r="611" spans="1:8" x14ac:dyDescent="0.25">
      <c r="A611" t="s">
        <v>162</v>
      </c>
      <c r="B611">
        <v>130574</v>
      </c>
      <c r="C611" s="2">
        <v>1803.04</v>
      </c>
      <c r="D611" s="1">
        <v>43857</v>
      </c>
      <c r="E611" t="str">
        <f>"9419256376"</f>
        <v>9419256376</v>
      </c>
      <c r="F611" t="str">
        <f>"ACCT#814780730 / GENERAL SVS"</f>
        <v>ACCT#814780730 / GENERAL SVS</v>
      </c>
      <c r="G611" s="2">
        <v>-462.57</v>
      </c>
      <c r="H611" t="str">
        <f>"ACCT#814780730 / GENERAL SVS"</f>
        <v>ACCT#814780730 / GENERAL SVS</v>
      </c>
    </row>
    <row r="612" spans="1:8" x14ac:dyDescent="0.25">
      <c r="E612" t="str">
        <f>"9419256384"</f>
        <v>9419256384</v>
      </c>
      <c r="F612" t="str">
        <f>"ACCT# 814780730 / GENERAL SVS"</f>
        <v>ACCT# 814780730 / GENERAL SVS</v>
      </c>
      <c r="G612" s="2">
        <v>-86.3</v>
      </c>
      <c r="H612" t="str">
        <f>"ACCT# 814780730 / GENERAL SVS"</f>
        <v>ACCT# 814780730 / GENERAL SVS</v>
      </c>
    </row>
    <row r="613" spans="1:8" x14ac:dyDescent="0.25">
      <c r="E613" t="str">
        <f>"9407137927"</f>
        <v>9407137927</v>
      </c>
      <c r="F613" t="str">
        <f>"INV 9407137927"</f>
        <v>INV 9407137927</v>
      </c>
      <c r="G613" s="2">
        <v>133.91999999999999</v>
      </c>
      <c r="H613" t="str">
        <f>"INV 9407137927"</f>
        <v>INV 9407137927</v>
      </c>
    </row>
    <row r="614" spans="1:8" x14ac:dyDescent="0.25">
      <c r="E614" t="str">
        <f>"9410392691"</f>
        <v>9410392691</v>
      </c>
      <c r="F614" t="str">
        <f>"ACCT#814780730/GEN SVCS"</f>
        <v>ACCT#814780730/GEN SVCS</v>
      </c>
      <c r="G614" s="2">
        <v>519.16</v>
      </c>
      <c r="H614" t="str">
        <f>"ACCT#814780730/GEN SVCS"</f>
        <v>ACCT#814780730/GEN SVCS</v>
      </c>
    </row>
    <row r="615" spans="1:8" x14ac:dyDescent="0.25">
      <c r="E615" t="str">
        <f>"9410392709"</f>
        <v>9410392709</v>
      </c>
      <c r="F615" t="str">
        <f>"ACCT#814780730/GEN SVCS"</f>
        <v>ACCT#814780730/GEN SVCS</v>
      </c>
      <c r="G615" s="2">
        <v>35.6</v>
      </c>
      <c r="H615" t="str">
        <f>"ACCT#814780730/GEN SVCS"</f>
        <v>ACCT#814780730/GEN SVCS</v>
      </c>
    </row>
    <row r="616" spans="1:8" x14ac:dyDescent="0.25">
      <c r="E616" t="str">
        <f>"9410415880"</f>
        <v>9410415880</v>
      </c>
      <c r="F616" t="str">
        <f>"ACCT#814780730/GEN SVCS"</f>
        <v>ACCT#814780730/GEN SVCS</v>
      </c>
      <c r="G616" s="2">
        <v>86.3</v>
      </c>
      <c r="H616" t="str">
        <f>"ACCT#814780730/GEN SVCS"</f>
        <v>ACCT#814780730/GEN SVCS</v>
      </c>
    </row>
    <row r="617" spans="1:8" x14ac:dyDescent="0.25">
      <c r="E617" t="str">
        <f>"9411128136"</f>
        <v>9411128136</v>
      </c>
      <c r="F617" t="str">
        <f>"INV 9411128136"</f>
        <v>INV 9411128136</v>
      </c>
      <c r="G617" s="2">
        <v>14</v>
      </c>
      <c r="H617" t="str">
        <f>"INV 9411128136"</f>
        <v>INV 9411128136</v>
      </c>
    </row>
    <row r="618" spans="1:8" x14ac:dyDescent="0.25">
      <c r="E618" t="str">
        <f>"9411170120"</f>
        <v>9411170120</v>
      </c>
      <c r="F618" t="str">
        <f>"ACCT#814780730/GEN SVCS"</f>
        <v>ACCT#814780730/GEN SVCS</v>
      </c>
      <c r="G618" s="2">
        <v>1562.93</v>
      </c>
      <c r="H618" t="str">
        <f>"ACCT#814780730/GEN SVCS"</f>
        <v>ACCT#814780730/GEN SVCS</v>
      </c>
    </row>
    <row r="619" spans="1:8" x14ac:dyDescent="0.25">
      <c r="A619" t="s">
        <v>163</v>
      </c>
      <c r="B619">
        <v>130412</v>
      </c>
      <c r="C619" s="2">
        <v>30917</v>
      </c>
      <c r="D619" s="1">
        <v>43843</v>
      </c>
      <c r="E619" t="str">
        <f>"202001064408"</f>
        <v>202001064408</v>
      </c>
      <c r="F619" t="str">
        <f>"GRAPEVINE DODGE CHRYSLER JEEP"</f>
        <v>GRAPEVINE DODGE CHRYSLER JEEP</v>
      </c>
      <c r="G619" s="2">
        <v>30917</v>
      </c>
      <c r="H619" t="str">
        <f>"2019 Dodge 2500"</f>
        <v>2019 Dodge 2500</v>
      </c>
    </row>
    <row r="620" spans="1:8" x14ac:dyDescent="0.25">
      <c r="E620" t="str">
        <f>""</f>
        <v/>
      </c>
      <c r="F620" t="str">
        <f>""</f>
        <v/>
      </c>
      <c r="H620" t="str">
        <f>"Goodbuy Fee"</f>
        <v>Goodbuy Fee</v>
      </c>
    </row>
    <row r="621" spans="1:8" x14ac:dyDescent="0.25">
      <c r="A621" t="s">
        <v>164</v>
      </c>
      <c r="B621">
        <v>130413</v>
      </c>
      <c r="C621" s="2">
        <v>50</v>
      </c>
      <c r="D621" s="1">
        <v>43843</v>
      </c>
      <c r="E621" t="str">
        <f>"5215"</f>
        <v>5215</v>
      </c>
      <c r="F621" t="str">
        <f>"2020 MEMBERSHIP FEES"</f>
        <v>2020 MEMBERSHIP FEES</v>
      </c>
      <c r="G621" s="2">
        <v>50</v>
      </c>
      <c r="H621" t="str">
        <f>"2020 MEMBERSHIP FEES"</f>
        <v>2020 MEMBERSHIP FEES</v>
      </c>
    </row>
    <row r="622" spans="1:8" x14ac:dyDescent="0.25">
      <c r="A622" t="s">
        <v>165</v>
      </c>
      <c r="B622">
        <v>130414</v>
      </c>
      <c r="C622" s="2">
        <v>4497.5</v>
      </c>
      <c r="D622" s="1">
        <v>43843</v>
      </c>
      <c r="E622" t="str">
        <f>"11"</f>
        <v>11</v>
      </c>
      <c r="F622" t="str">
        <f>"EXPERT SVCS 10/01-12/31"</f>
        <v>EXPERT SVCS 10/01-12/31</v>
      </c>
      <c r="G622" s="2">
        <v>4497.5</v>
      </c>
      <c r="H622" t="str">
        <f>"EXPERT SVCS 10/01-12/31"</f>
        <v>EXPERT SVCS 10/01-12/31</v>
      </c>
    </row>
    <row r="623" spans="1:8" x14ac:dyDescent="0.25">
      <c r="A623" t="s">
        <v>166</v>
      </c>
      <c r="B623">
        <v>2013</v>
      </c>
      <c r="C623" s="2">
        <v>3880.47</v>
      </c>
      <c r="D623" s="1">
        <v>43844</v>
      </c>
      <c r="E623" t="str">
        <f>"0742558"</f>
        <v>0742558</v>
      </c>
      <c r="F623" t="str">
        <f>"INV 0742558"</f>
        <v>INV 0742558</v>
      </c>
      <c r="G623" s="2">
        <v>606</v>
      </c>
      <c r="H623" t="str">
        <f>"INV 0742558"</f>
        <v>INV 0742558</v>
      </c>
    </row>
    <row r="624" spans="1:8" x14ac:dyDescent="0.25">
      <c r="E624" t="str">
        <f>"0744156"</f>
        <v>0744156</v>
      </c>
      <c r="F624" t="str">
        <f>"INV 0744156"</f>
        <v>INV 0744156</v>
      </c>
      <c r="G624" s="2">
        <v>30.13</v>
      </c>
      <c r="H624" t="str">
        <f>"INV 0744156"</f>
        <v>INV 0744156</v>
      </c>
    </row>
    <row r="625" spans="1:8" x14ac:dyDescent="0.25">
      <c r="E625" t="str">
        <f>"0744158"</f>
        <v>0744158</v>
      </c>
      <c r="F625" t="str">
        <f>"INV 0744158"</f>
        <v>INV 0744158</v>
      </c>
      <c r="G625" s="2">
        <v>67.489999999999995</v>
      </c>
      <c r="H625" t="str">
        <f>"INV 0744158"</f>
        <v>INV 0744158</v>
      </c>
    </row>
    <row r="626" spans="1:8" x14ac:dyDescent="0.25">
      <c r="E626" t="str">
        <f>"0744437"</f>
        <v>0744437</v>
      </c>
      <c r="F626" t="str">
        <f>"INV 0744437"</f>
        <v>INV 0744437</v>
      </c>
      <c r="G626" s="2">
        <v>850</v>
      </c>
      <c r="H626" t="str">
        <f>"INV 0744437"</f>
        <v>INV 0744437</v>
      </c>
    </row>
    <row r="627" spans="1:8" x14ac:dyDescent="0.25">
      <c r="E627" t="str">
        <f>""</f>
        <v/>
      </c>
      <c r="F627" t="str">
        <f>""</f>
        <v/>
      </c>
      <c r="H627" t="str">
        <f>"INV 0744437"</f>
        <v>INV 0744437</v>
      </c>
    </row>
    <row r="628" spans="1:8" x14ac:dyDescent="0.25">
      <c r="E628" t="str">
        <f>"0744440"</f>
        <v>0744440</v>
      </c>
      <c r="F628" t="str">
        <f>"INV 0744440"</f>
        <v>INV 0744440</v>
      </c>
      <c r="G628" s="2">
        <v>850</v>
      </c>
      <c r="H628" t="str">
        <f>"INV 0744440"</f>
        <v>INV 0744440</v>
      </c>
    </row>
    <row r="629" spans="1:8" x14ac:dyDescent="0.25">
      <c r="E629" t="str">
        <f>""</f>
        <v/>
      </c>
      <c r="F629" t="str">
        <f>""</f>
        <v/>
      </c>
      <c r="H629" t="str">
        <f>"INV 0744440"</f>
        <v>INV 0744440</v>
      </c>
    </row>
    <row r="630" spans="1:8" x14ac:dyDescent="0.25">
      <c r="E630" t="str">
        <f>"0745212"</f>
        <v>0745212</v>
      </c>
      <c r="F630" t="str">
        <f>"INV 0745212"</f>
        <v>INV 0745212</v>
      </c>
      <c r="G630" s="2">
        <v>850</v>
      </c>
      <c r="H630" t="str">
        <f>"INV 0745212"</f>
        <v>INV 0745212</v>
      </c>
    </row>
    <row r="631" spans="1:8" x14ac:dyDescent="0.25">
      <c r="E631" t="str">
        <f>""</f>
        <v/>
      </c>
      <c r="F631" t="str">
        <f>""</f>
        <v/>
      </c>
      <c r="H631" t="str">
        <f>"INV 0745212"</f>
        <v>INV 0745212</v>
      </c>
    </row>
    <row r="632" spans="1:8" x14ac:dyDescent="0.25">
      <c r="E632" t="str">
        <f>"INV0745140"</f>
        <v>INV0745140</v>
      </c>
      <c r="F632" t="str">
        <f>"INV0745140"</f>
        <v>INV0745140</v>
      </c>
      <c r="G632" s="2">
        <v>626.85</v>
      </c>
      <c r="H632" t="str">
        <f>"INV0745140"</f>
        <v>INV0745140</v>
      </c>
    </row>
    <row r="633" spans="1:8" x14ac:dyDescent="0.25">
      <c r="A633" t="s">
        <v>166</v>
      </c>
      <c r="B633">
        <v>2085</v>
      </c>
      <c r="C633" s="2">
        <v>89.5</v>
      </c>
      <c r="D633" s="1">
        <v>43858</v>
      </c>
      <c r="E633" t="str">
        <f>"INV0746564"</f>
        <v>INV0746564</v>
      </c>
      <c r="F633" t="str">
        <f>"Deputy Badge"</f>
        <v>Deputy Badge</v>
      </c>
      <c r="G633" s="2">
        <v>89.5</v>
      </c>
      <c r="H633" t="str">
        <f>"item# SMWAR-S527C-G*"</f>
        <v>item# SMWAR-S527C-G*</v>
      </c>
    </row>
    <row r="634" spans="1:8" x14ac:dyDescent="0.25">
      <c r="E634" t="str">
        <f>""</f>
        <v/>
      </c>
      <c r="F634" t="str">
        <f>""</f>
        <v/>
      </c>
      <c r="H634" t="str">
        <f>"freight"</f>
        <v>freight</v>
      </c>
    </row>
    <row r="635" spans="1:8" x14ac:dyDescent="0.25">
      <c r="A635" t="s">
        <v>167</v>
      </c>
      <c r="B635">
        <v>2063</v>
      </c>
      <c r="C635" s="2">
        <v>18465.88</v>
      </c>
      <c r="D635" s="1">
        <v>43858</v>
      </c>
      <c r="E635" t="str">
        <f>"INV0036107"</f>
        <v>INV0036107</v>
      </c>
      <c r="F635" t="str">
        <f>"License Plate Reader"</f>
        <v>License Plate Reader</v>
      </c>
      <c r="G635" s="2">
        <v>18465.88</v>
      </c>
      <c r="H635" t="str">
        <f>"MOBILE LPR-SYS1"</f>
        <v>MOBILE LPR-SYS1</v>
      </c>
    </row>
    <row r="636" spans="1:8" x14ac:dyDescent="0.25">
      <c r="E636" t="str">
        <f>""</f>
        <v/>
      </c>
      <c r="F636" t="str">
        <f>""</f>
        <v/>
      </c>
      <c r="H636" t="str">
        <f>"VSBSCSVC--H"</f>
        <v>VSBSCSVC--H</v>
      </c>
    </row>
    <row r="637" spans="1:8" x14ac:dyDescent="0.25">
      <c r="E637" t="str">
        <f>""</f>
        <v/>
      </c>
      <c r="F637" t="str">
        <f>""</f>
        <v/>
      </c>
      <c r="H637" t="str">
        <f>"VSPK1SVC-01"</f>
        <v>VSPK1SVC-01</v>
      </c>
    </row>
    <row r="638" spans="1:8" x14ac:dyDescent="0.25">
      <c r="E638" t="str">
        <f>""</f>
        <v/>
      </c>
      <c r="F638" t="str">
        <f>""</f>
        <v/>
      </c>
      <c r="H638" t="str">
        <f>"SSU-SYS-COM"</f>
        <v>SSU-SYS-COM</v>
      </c>
    </row>
    <row r="639" spans="1:8" x14ac:dyDescent="0.25">
      <c r="E639" t="str">
        <f>""</f>
        <v/>
      </c>
      <c r="F639" t="str">
        <f>""</f>
        <v/>
      </c>
      <c r="H639" t="str">
        <f>"VS-TRVL-01"</f>
        <v>VS-TRVL-01</v>
      </c>
    </row>
    <row r="640" spans="1:8" x14ac:dyDescent="0.25">
      <c r="E640" t="str">
        <f>""</f>
        <v/>
      </c>
      <c r="F640" t="str">
        <f>""</f>
        <v/>
      </c>
      <c r="H640" t="str">
        <f>"VS INSTALLS"</f>
        <v>VS INSTALLS</v>
      </c>
    </row>
    <row r="641" spans="1:8" x14ac:dyDescent="0.25">
      <c r="A641" t="s">
        <v>168</v>
      </c>
      <c r="B641">
        <v>2025</v>
      </c>
      <c r="C641" s="2">
        <v>794.07</v>
      </c>
      <c r="D641" s="1">
        <v>43844</v>
      </c>
      <c r="E641" t="str">
        <f>"1785067"</f>
        <v>1785067</v>
      </c>
      <c r="F641" t="str">
        <f>"Janitorial supplies"</f>
        <v>Janitorial supplies</v>
      </c>
      <c r="G641" s="2">
        <v>712.2</v>
      </c>
      <c r="H641" t="str">
        <f>"GP50439"</f>
        <v>GP50439</v>
      </c>
    </row>
    <row r="642" spans="1:8" x14ac:dyDescent="0.25">
      <c r="E642" t="str">
        <f>""</f>
        <v/>
      </c>
      <c r="F642" t="str">
        <f>""</f>
        <v/>
      </c>
      <c r="H642" t="str">
        <f>"GP50440"</f>
        <v>GP50440</v>
      </c>
    </row>
    <row r="643" spans="1:8" x14ac:dyDescent="0.25">
      <c r="E643" t="str">
        <f>"1785069"</f>
        <v>1785069</v>
      </c>
      <c r="F643" t="str">
        <f>"INV 1785069"</f>
        <v>INV 1785069</v>
      </c>
      <c r="G643" s="2">
        <v>81.87</v>
      </c>
      <c r="H643" t="str">
        <f>"INV 1785069"</f>
        <v>INV 1785069</v>
      </c>
    </row>
    <row r="644" spans="1:8" x14ac:dyDescent="0.25">
      <c r="A644" t="s">
        <v>168</v>
      </c>
      <c r="B644">
        <v>2099</v>
      </c>
      <c r="C644" s="2">
        <v>5824.42</v>
      </c>
      <c r="D644" s="1">
        <v>43858</v>
      </c>
      <c r="E644" t="str">
        <f>"1781373 1785068 17"</f>
        <v>1781373 1785068 17</v>
      </c>
      <c r="F644" t="str">
        <f>"Supply Order"</f>
        <v>Supply Order</v>
      </c>
      <c r="G644" s="2">
        <v>2074.75</v>
      </c>
      <c r="H644" t="str">
        <f>"GP89480"</f>
        <v>GP89480</v>
      </c>
    </row>
    <row r="645" spans="1:8" x14ac:dyDescent="0.25">
      <c r="E645" t="str">
        <f>""</f>
        <v/>
      </c>
      <c r="F645" t="str">
        <f>""</f>
        <v/>
      </c>
      <c r="H645" t="str">
        <f>"GP89420"</f>
        <v>GP89420</v>
      </c>
    </row>
    <row r="646" spans="1:8" x14ac:dyDescent="0.25">
      <c r="E646" t="str">
        <f>""</f>
        <v/>
      </c>
      <c r="F646" t="str">
        <f>""</f>
        <v/>
      </c>
      <c r="H646" t="str">
        <f>"GP19371"</f>
        <v>GP19371</v>
      </c>
    </row>
    <row r="647" spans="1:8" x14ac:dyDescent="0.25">
      <c r="E647" t="str">
        <f>""</f>
        <v/>
      </c>
      <c r="F647" t="str">
        <f>""</f>
        <v/>
      </c>
      <c r="H647" t="str">
        <f>"GP42714"</f>
        <v>GP42714</v>
      </c>
    </row>
    <row r="648" spans="1:8" x14ac:dyDescent="0.25">
      <c r="E648" t="str">
        <f>""</f>
        <v/>
      </c>
      <c r="F648" t="str">
        <f>""</f>
        <v/>
      </c>
      <c r="H648" t="str">
        <f>"63CL"</f>
        <v>63CL</v>
      </c>
    </row>
    <row r="649" spans="1:8" x14ac:dyDescent="0.25">
      <c r="E649" t="str">
        <f>""</f>
        <v/>
      </c>
      <c r="F649" t="str">
        <f>""</f>
        <v/>
      </c>
      <c r="H649" t="str">
        <f>"32ROUNDC"</f>
        <v>32ROUNDC</v>
      </c>
    </row>
    <row r="650" spans="1:8" x14ac:dyDescent="0.25">
      <c r="E650" t="str">
        <f>""</f>
        <v/>
      </c>
      <c r="F650" t="str">
        <f>""</f>
        <v/>
      </c>
      <c r="H650" t="str">
        <f>"13TOFFC"</f>
        <v>13TOFFC</v>
      </c>
    </row>
    <row r="651" spans="1:8" x14ac:dyDescent="0.25">
      <c r="E651" t="str">
        <f>""</f>
        <v/>
      </c>
      <c r="F651" t="str">
        <f>""</f>
        <v/>
      </c>
      <c r="H651" t="str">
        <f>"HS6141"</f>
        <v>HS6141</v>
      </c>
    </row>
    <row r="652" spans="1:8" x14ac:dyDescent="0.25">
      <c r="E652" t="str">
        <f>""</f>
        <v/>
      </c>
      <c r="F652" t="str">
        <f>""</f>
        <v/>
      </c>
      <c r="H652" t="str">
        <f>"NABC"</f>
        <v>NABC</v>
      </c>
    </row>
    <row r="653" spans="1:8" x14ac:dyDescent="0.25">
      <c r="E653" t="str">
        <f>""</f>
        <v/>
      </c>
      <c r="F653" t="str">
        <f>""</f>
        <v/>
      </c>
      <c r="H653" t="str">
        <f>"CREWBOWLCLN"</f>
        <v>CREWBOWLCLN</v>
      </c>
    </row>
    <row r="654" spans="1:8" x14ac:dyDescent="0.25">
      <c r="E654" t="str">
        <f>""</f>
        <v/>
      </c>
      <c r="F654" t="str">
        <f>""</f>
        <v/>
      </c>
      <c r="H654" t="str">
        <f>"20C"</f>
        <v>20C</v>
      </c>
    </row>
    <row r="655" spans="1:8" x14ac:dyDescent="0.25">
      <c r="E655" t="str">
        <f>""</f>
        <v/>
      </c>
      <c r="F655" t="str">
        <f>""</f>
        <v/>
      </c>
      <c r="H655" t="str">
        <f>"LD3044"</f>
        <v>LD3044</v>
      </c>
    </row>
    <row r="656" spans="1:8" x14ac:dyDescent="0.25">
      <c r="E656" t="str">
        <f>"1792202"</f>
        <v>1792202</v>
      </c>
      <c r="F656" t="str">
        <f>"INV 1792202"</f>
        <v>INV 1792202</v>
      </c>
      <c r="G656" s="2">
        <v>53.36</v>
      </c>
      <c r="H656" t="str">
        <f>"INV 1792202"</f>
        <v>INV 1792202</v>
      </c>
    </row>
    <row r="657" spans="1:8" x14ac:dyDescent="0.25">
      <c r="E657" t="str">
        <f>"1792205"</f>
        <v>1792205</v>
      </c>
      <c r="F657" t="str">
        <f>"INV 1792205"</f>
        <v>INV 1792205</v>
      </c>
      <c r="G657" s="2">
        <v>2108.1999999999998</v>
      </c>
      <c r="H657" t="str">
        <f>"INV 1792205"</f>
        <v>INV 1792205</v>
      </c>
    </row>
    <row r="658" spans="1:8" x14ac:dyDescent="0.25">
      <c r="E658" t="str">
        <f>"1796100"</f>
        <v>1796100</v>
      </c>
      <c r="F658" t="str">
        <f>"Cleaning Supplies"</f>
        <v>Cleaning Supplies</v>
      </c>
      <c r="G658" s="2">
        <v>1588.11</v>
      </c>
      <c r="H658" t="str">
        <f>"GP89480"</f>
        <v>GP89480</v>
      </c>
    </row>
    <row r="659" spans="1:8" x14ac:dyDescent="0.25">
      <c r="E659" t="str">
        <f>""</f>
        <v/>
      </c>
      <c r="F659" t="str">
        <f>""</f>
        <v/>
      </c>
      <c r="H659" t="str">
        <f>"GP89420"</f>
        <v>GP89420</v>
      </c>
    </row>
    <row r="660" spans="1:8" x14ac:dyDescent="0.25">
      <c r="E660" t="str">
        <f>""</f>
        <v/>
      </c>
      <c r="F660" t="str">
        <f>""</f>
        <v/>
      </c>
      <c r="H660" t="str">
        <f>"GP19371"</f>
        <v>GP19371</v>
      </c>
    </row>
    <row r="661" spans="1:8" x14ac:dyDescent="0.25">
      <c r="E661" t="str">
        <f>""</f>
        <v/>
      </c>
      <c r="F661" t="str">
        <f>""</f>
        <v/>
      </c>
      <c r="H661" t="str">
        <f>"GP42714"</f>
        <v>GP42714</v>
      </c>
    </row>
    <row r="662" spans="1:8" x14ac:dyDescent="0.25">
      <c r="E662" t="str">
        <f>""</f>
        <v/>
      </c>
      <c r="F662" t="str">
        <f>""</f>
        <v/>
      </c>
      <c r="H662" t="str">
        <f>"GP20389"</f>
        <v>GP20389</v>
      </c>
    </row>
    <row r="663" spans="1:8" x14ac:dyDescent="0.25">
      <c r="E663" t="str">
        <f>""</f>
        <v/>
      </c>
      <c r="F663" t="str">
        <f>""</f>
        <v/>
      </c>
      <c r="H663" t="str">
        <f>"63CL"</f>
        <v>63CL</v>
      </c>
    </row>
    <row r="664" spans="1:8" x14ac:dyDescent="0.25">
      <c r="E664" t="str">
        <f>""</f>
        <v/>
      </c>
      <c r="F664" t="str">
        <f>""</f>
        <v/>
      </c>
      <c r="H664" t="str">
        <f>"32ROUNDC"</f>
        <v>32ROUNDC</v>
      </c>
    </row>
    <row r="665" spans="1:8" x14ac:dyDescent="0.25">
      <c r="E665" t="str">
        <f>""</f>
        <v/>
      </c>
      <c r="F665" t="str">
        <f>""</f>
        <v/>
      </c>
      <c r="H665" t="str">
        <f>"13TOFFC"</f>
        <v>13TOFFC</v>
      </c>
    </row>
    <row r="666" spans="1:8" x14ac:dyDescent="0.25">
      <c r="A666" t="s">
        <v>169</v>
      </c>
      <c r="B666">
        <v>2023</v>
      </c>
      <c r="C666" s="2">
        <v>50</v>
      </c>
      <c r="D666" s="1">
        <v>43844</v>
      </c>
      <c r="E666" t="str">
        <f>"933855"</f>
        <v>933855</v>
      </c>
      <c r="F666" t="str">
        <f>"ORD#713362/PCT#4"</f>
        <v>ORD#713362/PCT#4</v>
      </c>
      <c r="G666" s="2">
        <v>50</v>
      </c>
      <c r="H666" t="str">
        <f>"ORD#713362/PCT#4"</f>
        <v>ORD#713362/PCT#4</v>
      </c>
    </row>
    <row r="667" spans="1:8" x14ac:dyDescent="0.25">
      <c r="A667" t="s">
        <v>170</v>
      </c>
      <c r="B667">
        <v>2097</v>
      </c>
      <c r="C667" s="2">
        <v>39098.25</v>
      </c>
      <c r="D667" s="1">
        <v>43858</v>
      </c>
      <c r="E667" t="str">
        <f>"10032733"</f>
        <v>10032733</v>
      </c>
      <c r="F667" t="str">
        <f>"PROJ#035837.001"</f>
        <v>PROJ#035837.001</v>
      </c>
      <c r="G667" s="2">
        <v>27250</v>
      </c>
      <c r="H667" t="str">
        <f>"PROJ#035837.001"</f>
        <v>PROJ#035837.001</v>
      </c>
    </row>
    <row r="668" spans="1:8" x14ac:dyDescent="0.25">
      <c r="E668" t="str">
        <f>"10032800"</f>
        <v>10032800</v>
      </c>
      <c r="F668" t="str">
        <f>"PROJ032285.008/PCT#1"</f>
        <v>PROJ032285.008/PCT#1</v>
      </c>
      <c r="G668" s="2">
        <v>11848.25</v>
      </c>
      <c r="H668" t="str">
        <f>"PROJ032285.008/PCT#1"</f>
        <v>PROJ032285.008/PCT#1</v>
      </c>
    </row>
    <row r="669" spans="1:8" x14ac:dyDescent="0.25">
      <c r="A669" t="s">
        <v>171</v>
      </c>
      <c r="B669">
        <v>2086</v>
      </c>
      <c r="C669" s="2">
        <v>159.91999999999999</v>
      </c>
      <c r="D669" s="1">
        <v>43858</v>
      </c>
      <c r="E669" t="str">
        <f>"568243"</f>
        <v>568243</v>
      </c>
      <c r="F669" t="str">
        <f>"INV 568243"</f>
        <v>INV 568243</v>
      </c>
      <c r="G669" s="2">
        <v>159.91999999999999</v>
      </c>
      <c r="H669" t="str">
        <f>"INV 568243"</f>
        <v>INV 568243</v>
      </c>
    </row>
    <row r="670" spans="1:8" x14ac:dyDescent="0.25">
      <c r="A670" t="s">
        <v>172</v>
      </c>
      <c r="B670">
        <v>130415</v>
      </c>
      <c r="C670" s="2">
        <v>1265.5999999999999</v>
      </c>
      <c r="D670" s="1">
        <v>43843</v>
      </c>
      <c r="E670" t="str">
        <f>"18509"</f>
        <v>18509</v>
      </c>
      <c r="F670" t="str">
        <f>"INV 18509"</f>
        <v>INV 18509</v>
      </c>
      <c r="G670" s="2">
        <v>1265.5999999999999</v>
      </c>
      <c r="H670" t="str">
        <f>"INV 18509"</f>
        <v>INV 18509</v>
      </c>
    </row>
    <row r="671" spans="1:8" x14ac:dyDescent="0.25">
      <c r="A671" t="s">
        <v>173</v>
      </c>
      <c r="B671">
        <v>130575</v>
      </c>
      <c r="C671" s="2">
        <v>1387.5</v>
      </c>
      <c r="D671" s="1">
        <v>43857</v>
      </c>
      <c r="E671" t="str">
        <f>"202001214696"</f>
        <v>202001214696</v>
      </c>
      <c r="F671" t="str">
        <f>"15 915"</f>
        <v>15 915</v>
      </c>
      <c r="G671" s="2">
        <v>1387.5</v>
      </c>
      <c r="H671" t="str">
        <f>"15 915"</f>
        <v>15 915</v>
      </c>
    </row>
    <row r="672" spans="1:8" x14ac:dyDescent="0.25">
      <c r="A672" t="s">
        <v>174</v>
      </c>
      <c r="B672">
        <v>130416</v>
      </c>
      <c r="C672" s="2">
        <v>75</v>
      </c>
      <c r="D672" s="1">
        <v>43843</v>
      </c>
      <c r="E672" t="str">
        <f>"12609"</f>
        <v>12609</v>
      </c>
      <c r="F672" t="str">
        <f>"SERVICE"</f>
        <v>SERVICE</v>
      </c>
      <c r="G672" s="2">
        <v>75</v>
      </c>
      <c r="H672" t="str">
        <f>"SERVICE"</f>
        <v>SERVICE</v>
      </c>
    </row>
    <row r="673" spans="1:9" x14ac:dyDescent="0.25">
      <c r="A673" t="s">
        <v>175</v>
      </c>
      <c r="B673">
        <v>130576</v>
      </c>
      <c r="C673" s="2">
        <v>25</v>
      </c>
      <c r="D673" s="1">
        <v>43857</v>
      </c>
      <c r="E673" t="str">
        <f>"202001214744"</f>
        <v>202001214744</v>
      </c>
      <c r="F673" t="str">
        <f>"HEATHER FAVOCCIA"</f>
        <v>HEATHER FAVOCCIA</v>
      </c>
      <c r="G673" s="2">
        <v>25</v>
      </c>
      <c r="H673" t="str">
        <f>""</f>
        <v/>
      </c>
    </row>
    <row r="674" spans="1:9" x14ac:dyDescent="0.25">
      <c r="A674" t="s">
        <v>176</v>
      </c>
      <c r="B674">
        <v>130577</v>
      </c>
      <c r="C674" s="2">
        <v>304.10000000000002</v>
      </c>
      <c r="D674" s="1">
        <v>43857</v>
      </c>
      <c r="E674" t="str">
        <f>"567924-01"</f>
        <v>567924-01</v>
      </c>
      <c r="F674" t="str">
        <f>"CUST#180474-C/PCT#3"</f>
        <v>CUST#180474-C/PCT#3</v>
      </c>
      <c r="G674" s="2">
        <v>304.10000000000002</v>
      </c>
      <c r="H674" t="str">
        <f>"CUST#180474-C/PCT#3"</f>
        <v>CUST#180474-C/PCT#3</v>
      </c>
    </row>
    <row r="675" spans="1:9" x14ac:dyDescent="0.25">
      <c r="A675" t="s">
        <v>177</v>
      </c>
      <c r="B675">
        <v>130578</v>
      </c>
      <c r="C675" s="2">
        <v>110</v>
      </c>
      <c r="D675" s="1">
        <v>43857</v>
      </c>
      <c r="E675" t="str">
        <f>"45063"</f>
        <v>45063</v>
      </c>
      <c r="F675" t="str">
        <f>"SCHEDULE OF FINES"</f>
        <v>SCHEDULE OF FINES</v>
      </c>
      <c r="G675" s="2">
        <v>110</v>
      </c>
      <c r="H675" t="str">
        <f>"SCHEDULE OF FINES"</f>
        <v>SCHEDULE OF FINES</v>
      </c>
    </row>
    <row r="676" spans="1:9" x14ac:dyDescent="0.25">
      <c r="E676" t="str">
        <f>""</f>
        <v/>
      </c>
      <c r="F676" t="str">
        <f>""</f>
        <v/>
      </c>
      <c r="H676" t="str">
        <f>"SCHEDULE OF FINES"</f>
        <v>SCHEDULE OF FINES</v>
      </c>
    </row>
    <row r="677" spans="1:9" x14ac:dyDescent="0.25">
      <c r="E677" t="str">
        <f>""</f>
        <v/>
      </c>
      <c r="F677" t="str">
        <f>""</f>
        <v/>
      </c>
      <c r="H677" t="str">
        <f>"SCHEDULE OF FINES"</f>
        <v>SCHEDULE OF FINES</v>
      </c>
    </row>
    <row r="678" spans="1:9" x14ac:dyDescent="0.25">
      <c r="E678" t="str">
        <f>""</f>
        <v/>
      </c>
      <c r="F678" t="str">
        <f>""</f>
        <v/>
      </c>
      <c r="H678" t="str">
        <f>"SCHEDULE OF FINES"</f>
        <v>SCHEDULE OF FINES</v>
      </c>
    </row>
    <row r="679" spans="1:9" x14ac:dyDescent="0.25">
      <c r="A679" t="s">
        <v>178</v>
      </c>
      <c r="B679">
        <v>130417</v>
      </c>
      <c r="C679" s="2">
        <v>346.65</v>
      </c>
      <c r="D679" s="1">
        <v>43843</v>
      </c>
      <c r="E679" t="str">
        <f>"0006343438-IN"</f>
        <v>0006343438-IN</v>
      </c>
      <c r="F679" t="str">
        <f>"INV 0006343438-IN"</f>
        <v>INV 0006343438-IN</v>
      </c>
      <c r="G679" s="2">
        <v>346.65</v>
      </c>
      <c r="H679" t="str">
        <f>"INV 0006343438-IN"</f>
        <v>INV 0006343438-IN</v>
      </c>
    </row>
    <row r="680" spans="1:9" x14ac:dyDescent="0.25">
      <c r="A680" t="s">
        <v>179</v>
      </c>
      <c r="B680">
        <v>130579</v>
      </c>
      <c r="C680" s="2">
        <v>100</v>
      </c>
      <c r="D680" s="1">
        <v>43857</v>
      </c>
      <c r="E680" t="s">
        <v>180</v>
      </c>
      <c r="F680" t="s">
        <v>181</v>
      </c>
      <c r="G680" s="2" t="str">
        <f>"RESTITUTION-M. FELTS"</f>
        <v>RESTITUTION-M. FELTS</v>
      </c>
      <c r="H680" t="str">
        <f>"210-0000"</f>
        <v>210-0000</v>
      </c>
      <c r="I680" t="str">
        <f>""</f>
        <v/>
      </c>
    </row>
    <row r="681" spans="1:9" x14ac:dyDescent="0.25">
      <c r="A681" t="s">
        <v>182</v>
      </c>
      <c r="B681">
        <v>130418</v>
      </c>
      <c r="C681" s="2">
        <v>294.39</v>
      </c>
      <c r="D681" s="1">
        <v>43843</v>
      </c>
      <c r="E681" t="str">
        <f>"10748320"</f>
        <v>10748320</v>
      </c>
      <c r="F681" t="str">
        <f>"CUST#3324/PCT#4"</f>
        <v>CUST#3324/PCT#4</v>
      </c>
      <c r="G681" s="2">
        <v>294.39</v>
      </c>
      <c r="H681" t="str">
        <f>"CUST#3324/PCT#4"</f>
        <v>CUST#3324/PCT#4</v>
      </c>
    </row>
    <row r="682" spans="1:9" x14ac:dyDescent="0.25">
      <c r="A682" t="s">
        <v>183</v>
      </c>
      <c r="B682">
        <v>2015</v>
      </c>
      <c r="C682" s="2">
        <v>650</v>
      </c>
      <c r="D682" s="1">
        <v>43844</v>
      </c>
      <c r="E682" t="str">
        <f>"202001074515"</f>
        <v>202001074515</v>
      </c>
      <c r="F682" t="str">
        <f>"BASCOM L HODGES JR"</f>
        <v>BASCOM L HODGES JR</v>
      </c>
      <c r="G682" s="2">
        <v>650</v>
      </c>
      <c r="H682" t="str">
        <f>""</f>
        <v/>
      </c>
    </row>
    <row r="683" spans="1:9" x14ac:dyDescent="0.25">
      <c r="A683" t="s">
        <v>184</v>
      </c>
      <c r="B683">
        <v>130419</v>
      </c>
      <c r="C683" s="2">
        <v>700</v>
      </c>
      <c r="D683" s="1">
        <v>43843</v>
      </c>
      <c r="E683" t="str">
        <f>"202001084539"</f>
        <v>202001084539</v>
      </c>
      <c r="F683" t="str">
        <f>"19-19456"</f>
        <v>19-19456</v>
      </c>
      <c r="G683" s="2">
        <v>250</v>
      </c>
      <c r="H683" t="str">
        <f>"19-19456"</f>
        <v>19-19456</v>
      </c>
    </row>
    <row r="684" spans="1:9" x14ac:dyDescent="0.25">
      <c r="E684" t="str">
        <f>"202001084540"</f>
        <v>202001084540</v>
      </c>
      <c r="F684" t="str">
        <f>"19-19718"</f>
        <v>19-19718</v>
      </c>
      <c r="G684" s="2">
        <v>175</v>
      </c>
      <c r="H684" t="str">
        <f>"19-19718"</f>
        <v>19-19718</v>
      </c>
    </row>
    <row r="685" spans="1:9" x14ac:dyDescent="0.25">
      <c r="E685" t="str">
        <f>"202001084541"</f>
        <v>202001084541</v>
      </c>
      <c r="F685" t="str">
        <f>"19-19954"</f>
        <v>19-19954</v>
      </c>
      <c r="G685" s="2">
        <v>175</v>
      </c>
      <c r="H685" t="str">
        <f>"19-19954"</f>
        <v>19-19954</v>
      </c>
    </row>
    <row r="686" spans="1:9" x14ac:dyDescent="0.25">
      <c r="E686" t="str">
        <f>"202001084542"</f>
        <v>202001084542</v>
      </c>
      <c r="F686" t="str">
        <f>"07-11417"</f>
        <v>07-11417</v>
      </c>
      <c r="G686" s="2">
        <v>100</v>
      </c>
      <c r="H686" t="str">
        <f>"07-11417"</f>
        <v>07-11417</v>
      </c>
    </row>
    <row r="687" spans="1:9" x14ac:dyDescent="0.25">
      <c r="A687" t="s">
        <v>184</v>
      </c>
      <c r="B687">
        <v>130580</v>
      </c>
      <c r="C687" s="2">
        <v>400</v>
      </c>
      <c r="D687" s="1">
        <v>43857</v>
      </c>
      <c r="E687" t="str">
        <f>"202001224759"</f>
        <v>202001224759</v>
      </c>
      <c r="F687" t="str">
        <f>"423-4"</f>
        <v>423-4</v>
      </c>
      <c r="G687" s="2">
        <v>100</v>
      </c>
      <c r="H687" t="str">
        <f>"423-4"</f>
        <v>423-4</v>
      </c>
    </row>
    <row r="688" spans="1:9" x14ac:dyDescent="0.25">
      <c r="E688" t="str">
        <f>"202001224760"</f>
        <v>202001224760</v>
      </c>
      <c r="F688" t="str">
        <f>"423-5522"</f>
        <v>423-5522</v>
      </c>
      <c r="G688" s="2">
        <v>100</v>
      </c>
      <c r="H688" t="str">
        <f>"423-5522"</f>
        <v>423-5522</v>
      </c>
    </row>
    <row r="689" spans="1:8" x14ac:dyDescent="0.25">
      <c r="E689" t="str">
        <f>"202001224761"</f>
        <v>202001224761</v>
      </c>
      <c r="F689" t="str">
        <f>"423-4874"</f>
        <v>423-4874</v>
      </c>
      <c r="G689" s="2">
        <v>100</v>
      </c>
      <c r="H689" t="str">
        <f>"423-4874"</f>
        <v>423-4874</v>
      </c>
    </row>
    <row r="690" spans="1:8" x14ac:dyDescent="0.25">
      <c r="E690" t="str">
        <f>"202001224762"</f>
        <v>202001224762</v>
      </c>
      <c r="F690" t="str">
        <f>"423-5134"</f>
        <v>423-5134</v>
      </c>
      <c r="G690" s="2">
        <v>100</v>
      </c>
      <c r="H690" t="str">
        <f>"423-5134"</f>
        <v>423-5134</v>
      </c>
    </row>
    <row r="691" spans="1:8" x14ac:dyDescent="0.25">
      <c r="A691" t="s">
        <v>185</v>
      </c>
      <c r="B691">
        <v>2014</v>
      </c>
      <c r="C691" s="2">
        <v>3661.45</v>
      </c>
      <c r="D691" s="1">
        <v>43844</v>
      </c>
      <c r="E691" t="str">
        <f>"PIMA0322113"</f>
        <v>PIMA0322113</v>
      </c>
      <c r="F691" t="str">
        <f>"CUST#0129100/PCT#2"</f>
        <v>CUST#0129100/PCT#2</v>
      </c>
      <c r="G691" s="2">
        <v>184.63</v>
      </c>
      <c r="H691" t="str">
        <f>"CUST#0129100/PCT#2"</f>
        <v>CUST#0129100/PCT#2</v>
      </c>
    </row>
    <row r="692" spans="1:8" x14ac:dyDescent="0.25">
      <c r="E692" t="str">
        <f>"PIMA0322459"</f>
        <v>PIMA0322459</v>
      </c>
      <c r="F692" t="str">
        <f>"CUST#0129150/PCT#3"</f>
        <v>CUST#0129150/PCT#3</v>
      </c>
      <c r="G692" s="2">
        <v>442.52</v>
      </c>
      <c r="H692" t="str">
        <f>"CUST#0129150/PCT#3"</f>
        <v>CUST#0129150/PCT#3</v>
      </c>
    </row>
    <row r="693" spans="1:8" x14ac:dyDescent="0.25">
      <c r="E693" t="str">
        <f>"WIMA0127964"</f>
        <v>WIMA0127964</v>
      </c>
      <c r="F693" t="str">
        <f>"CUST#0129100/PCT#2"</f>
        <v>CUST#0129100/PCT#2</v>
      </c>
      <c r="G693" s="2">
        <v>1556.96</v>
      </c>
      <c r="H693" t="str">
        <f>"CUST#0129100/PCT#2"</f>
        <v>CUST#0129100/PCT#2</v>
      </c>
    </row>
    <row r="694" spans="1:8" x14ac:dyDescent="0.25">
      <c r="E694" t="str">
        <f>"WIMA0128998"</f>
        <v>WIMA0128998</v>
      </c>
      <c r="F694" t="str">
        <f>"CUST#0129200/PCT#4"</f>
        <v>CUST#0129200/PCT#4</v>
      </c>
      <c r="G694" s="2">
        <v>948.34</v>
      </c>
      <c r="H694" t="str">
        <f>"CUST#0129200/PCT#4"</f>
        <v>CUST#0129200/PCT#4</v>
      </c>
    </row>
    <row r="695" spans="1:8" x14ac:dyDescent="0.25">
      <c r="E695" t="str">
        <f>"WIMA0129171"</f>
        <v>WIMA0129171</v>
      </c>
      <c r="F695" t="str">
        <f>"CUST#0129100/PCT#2"</f>
        <v>CUST#0129100/PCT#2</v>
      </c>
      <c r="G695" s="2">
        <v>529</v>
      </c>
      <c r="H695" t="str">
        <f>"CUST#0129100/PCT#2"</f>
        <v>CUST#0129100/PCT#2</v>
      </c>
    </row>
    <row r="696" spans="1:8" x14ac:dyDescent="0.25">
      <c r="A696" t="s">
        <v>186</v>
      </c>
      <c r="B696">
        <v>130420</v>
      </c>
      <c r="C696" s="2">
        <v>427.06</v>
      </c>
      <c r="D696" s="1">
        <v>43843</v>
      </c>
      <c r="E696" t="str">
        <f>"6035322532040130"</f>
        <v>6035322532040130</v>
      </c>
      <c r="F696" t="str">
        <f>"Acct# 6035322532040130"</f>
        <v>Acct# 6035322532040130</v>
      </c>
      <c r="G696" s="2">
        <v>427.06</v>
      </c>
      <c r="H696" t="str">
        <f>"Inv# 4543584"</f>
        <v>Inv# 4543584</v>
      </c>
    </row>
    <row r="697" spans="1:8" x14ac:dyDescent="0.25">
      <c r="E697" t="str">
        <f>""</f>
        <v/>
      </c>
      <c r="F697" t="str">
        <f>""</f>
        <v/>
      </c>
      <c r="H697" t="str">
        <f>"Inv# 8525257"</f>
        <v>Inv# 8525257</v>
      </c>
    </row>
    <row r="698" spans="1:8" x14ac:dyDescent="0.25">
      <c r="E698" t="str">
        <f>""</f>
        <v/>
      </c>
      <c r="F698" t="str">
        <f>""</f>
        <v/>
      </c>
      <c r="H698" t="str">
        <f>"Inv# 9532469"</f>
        <v>Inv# 9532469</v>
      </c>
    </row>
    <row r="699" spans="1:8" x14ac:dyDescent="0.25">
      <c r="E699" t="str">
        <f>""</f>
        <v/>
      </c>
      <c r="F699" t="str">
        <f>""</f>
        <v/>
      </c>
      <c r="H699" t="str">
        <f>"Inv# 9023241"</f>
        <v>Inv# 9023241</v>
      </c>
    </row>
    <row r="700" spans="1:8" x14ac:dyDescent="0.25">
      <c r="E700" t="str">
        <f>""</f>
        <v/>
      </c>
      <c r="F700" t="str">
        <f>""</f>
        <v/>
      </c>
      <c r="H700" t="str">
        <f>"Inv# 7543324"</f>
        <v>Inv# 7543324</v>
      </c>
    </row>
    <row r="701" spans="1:8" x14ac:dyDescent="0.25">
      <c r="E701" t="str">
        <f>""</f>
        <v/>
      </c>
      <c r="F701" t="str">
        <f>""</f>
        <v/>
      </c>
      <c r="H701" t="str">
        <f>"Inv# 9025314"</f>
        <v>Inv# 9025314</v>
      </c>
    </row>
    <row r="702" spans="1:8" x14ac:dyDescent="0.25">
      <c r="E702" t="str">
        <f>""</f>
        <v/>
      </c>
      <c r="F702" t="str">
        <f>""</f>
        <v/>
      </c>
      <c r="H702" t="str">
        <f>"Inv# 4512595"</f>
        <v>Inv# 4512595</v>
      </c>
    </row>
    <row r="703" spans="1:8" x14ac:dyDescent="0.25">
      <c r="E703" t="str">
        <f>""</f>
        <v/>
      </c>
      <c r="F703" t="str">
        <f>""</f>
        <v/>
      </c>
      <c r="H703" t="str">
        <f>"Inv# 9024369"</f>
        <v>Inv# 9024369</v>
      </c>
    </row>
    <row r="704" spans="1:8" x14ac:dyDescent="0.25">
      <c r="E704" t="str">
        <f>""</f>
        <v/>
      </c>
      <c r="F704" t="str">
        <f>""</f>
        <v/>
      </c>
      <c r="H704" t="str">
        <f>"Inv# 9512987"</f>
        <v>Inv# 9512987</v>
      </c>
    </row>
    <row r="705" spans="1:8" x14ac:dyDescent="0.25">
      <c r="E705" t="str">
        <f>""</f>
        <v/>
      </c>
      <c r="F705" t="str">
        <f>""</f>
        <v/>
      </c>
      <c r="H705" t="str">
        <f>"Inv# 2024967"</f>
        <v>Inv# 2024967</v>
      </c>
    </row>
    <row r="706" spans="1:8" x14ac:dyDescent="0.25">
      <c r="A706" t="s">
        <v>187</v>
      </c>
      <c r="B706">
        <v>130581</v>
      </c>
      <c r="C706" s="2">
        <v>430</v>
      </c>
      <c r="D706" s="1">
        <v>43857</v>
      </c>
      <c r="E706" t="str">
        <f>"0551382396"</f>
        <v>0551382396</v>
      </c>
      <c r="F706" t="str">
        <f>"CUST#212645/RENTAL/PCT#1"</f>
        <v>CUST#212645/RENTAL/PCT#1</v>
      </c>
      <c r="G706" s="2">
        <v>215</v>
      </c>
      <c r="H706" t="str">
        <f>"CUST#212645/RENTAL/PCT#1"</f>
        <v>CUST#212645/RENTAL/PCT#1</v>
      </c>
    </row>
    <row r="707" spans="1:8" x14ac:dyDescent="0.25">
      <c r="E707" t="str">
        <f>"0551384325"</f>
        <v>0551384325</v>
      </c>
      <c r="F707" t="str">
        <f>"CUST#212645/375 RIVERSIDE LAUN"</f>
        <v>CUST#212645/375 RIVERSIDE LAUN</v>
      </c>
      <c r="G707" s="2">
        <v>215</v>
      </c>
      <c r="H707" t="str">
        <f>"CUST#212645/375 RIVERSIDE LAUN"</f>
        <v>CUST#212645/375 RIVERSIDE LAUN</v>
      </c>
    </row>
    <row r="708" spans="1:8" x14ac:dyDescent="0.25">
      <c r="A708" t="s">
        <v>188</v>
      </c>
      <c r="B708">
        <v>130421</v>
      </c>
      <c r="C708" s="2">
        <v>542.5</v>
      </c>
      <c r="D708" s="1">
        <v>43843</v>
      </c>
      <c r="E708" t="str">
        <f>"SL2019-12_00004"</f>
        <v>SL2019-12_00004</v>
      </c>
      <c r="F708" t="str">
        <f>"SHELTERLUV SOFTWARE/ANIMAL SVC"</f>
        <v>SHELTERLUV SOFTWARE/ANIMAL SVC</v>
      </c>
      <c r="G708" s="2">
        <v>542.5</v>
      </c>
      <c r="H708" t="str">
        <f>"SHELTERLUV SOFTWARE/ANIMAL SVC"</f>
        <v>SHELTERLUV SOFTWARE/ANIMAL SVC</v>
      </c>
    </row>
    <row r="709" spans="1:8" x14ac:dyDescent="0.25">
      <c r="A709" t="s">
        <v>189</v>
      </c>
      <c r="B709">
        <v>1986</v>
      </c>
      <c r="C709" s="2">
        <v>318.12</v>
      </c>
      <c r="D709" s="1">
        <v>43844</v>
      </c>
      <c r="E709" t="str">
        <f>"202461"</f>
        <v>202461</v>
      </c>
      <c r="F709" t="str">
        <f>"HYDRAULIC CYLINDER REPAIR/P3"</f>
        <v>HYDRAULIC CYLINDER REPAIR/P3</v>
      </c>
      <c r="G709" s="2">
        <v>318.12</v>
      </c>
      <c r="H709" t="str">
        <f>"HYDRAULIC CYLINDER REPAIR/P3"</f>
        <v>HYDRAULIC CYLINDER REPAIR/P3</v>
      </c>
    </row>
    <row r="710" spans="1:8" x14ac:dyDescent="0.25">
      <c r="A710" t="s">
        <v>189</v>
      </c>
      <c r="B710">
        <v>2051</v>
      </c>
      <c r="C710" s="2">
        <v>1077.47</v>
      </c>
      <c r="D710" s="1">
        <v>43858</v>
      </c>
      <c r="E710" t="str">
        <f>"202525"</f>
        <v>202525</v>
      </c>
      <c r="F710" t="str">
        <f>"WIRE BRAID HOSE/PCT#3"</f>
        <v>WIRE BRAID HOSE/PCT#3</v>
      </c>
      <c r="G710" s="2">
        <v>106.05</v>
      </c>
      <c r="H710" t="str">
        <f>"WIRE BRAID HOSE/PCT#3"</f>
        <v>WIRE BRAID HOSE/PCT#3</v>
      </c>
    </row>
    <row r="711" spans="1:8" x14ac:dyDescent="0.25">
      <c r="E711" t="str">
        <f>"202649"</f>
        <v>202649</v>
      </c>
      <c r="F711" t="str">
        <f>"PARTS / P1"</f>
        <v>PARTS / P1</v>
      </c>
      <c r="G711" s="2">
        <v>971.42</v>
      </c>
      <c r="H711" t="str">
        <f>"PARTS / P1"</f>
        <v>PARTS / P1</v>
      </c>
    </row>
    <row r="712" spans="1:8" x14ac:dyDescent="0.25">
      <c r="A712" t="s">
        <v>190</v>
      </c>
      <c r="B712">
        <v>2021</v>
      </c>
      <c r="C712" s="2">
        <v>2430</v>
      </c>
      <c r="D712" s="1">
        <v>43844</v>
      </c>
      <c r="E712" t="str">
        <f>"69034"</f>
        <v>69034</v>
      </c>
      <c r="F712" t="str">
        <f>"PROF SVCS-FEBRUARY 2020"</f>
        <v>PROF SVCS-FEBRUARY 2020</v>
      </c>
      <c r="G712" s="2">
        <v>2430</v>
      </c>
      <c r="H712" t="str">
        <f>"PROF SVCS-FEBRUARY 2020"</f>
        <v>PROF SVCS-FEBRUARY 2020</v>
      </c>
    </row>
    <row r="713" spans="1:8" x14ac:dyDescent="0.25">
      <c r="E713" t="str">
        <f>""</f>
        <v/>
      </c>
      <c r="F713" t="str">
        <f>""</f>
        <v/>
      </c>
      <c r="H713" t="str">
        <f>"PROF SVCS-FEBRUARY 2020"</f>
        <v>PROF SVCS-FEBRUARY 2020</v>
      </c>
    </row>
    <row r="714" spans="1:8" x14ac:dyDescent="0.25">
      <c r="A714" t="s">
        <v>191</v>
      </c>
      <c r="B714">
        <v>130582</v>
      </c>
      <c r="C714" s="2">
        <v>455</v>
      </c>
      <c r="D714" s="1">
        <v>43857</v>
      </c>
      <c r="E714" t="str">
        <f>"202001214703"</f>
        <v>202001214703</v>
      </c>
      <c r="F714" t="str">
        <f>"MEMBERSHIP APPLICATION-A. LEWI"</f>
        <v>MEMBERSHIP APPLICATION-A. LEWI</v>
      </c>
      <c r="G714" s="2">
        <v>455</v>
      </c>
      <c r="H714" t="str">
        <f>"MEMBERSHIP APPLICATION-A. LEWI"</f>
        <v>MEMBERSHIP APPLICATION-A. LEWI</v>
      </c>
    </row>
    <row r="715" spans="1:8" x14ac:dyDescent="0.25">
      <c r="A715" t="s">
        <v>192</v>
      </c>
      <c r="B715">
        <v>130422</v>
      </c>
      <c r="C715" s="2">
        <v>79.03</v>
      </c>
      <c r="D715" s="1">
        <v>43843</v>
      </c>
      <c r="E715" t="str">
        <f>"CGRG477"</f>
        <v>CGRG477</v>
      </c>
      <c r="F715" t="str">
        <f>"CUST ID:AX773/COUNTY CLERK"</f>
        <v>CUST ID:AX773/COUNTY CLERK</v>
      </c>
      <c r="G715" s="2">
        <v>79.03</v>
      </c>
      <c r="H715" t="str">
        <f>"CUST ID:AX773/COUNTY CLERK"</f>
        <v>CUST ID:AX773/COUNTY CLERK</v>
      </c>
    </row>
    <row r="716" spans="1:8" x14ac:dyDescent="0.25">
      <c r="A716" t="s">
        <v>193</v>
      </c>
      <c r="B716">
        <v>130583</v>
      </c>
      <c r="C716" s="2">
        <v>225</v>
      </c>
      <c r="D716" s="1">
        <v>43857</v>
      </c>
      <c r="E716" t="str">
        <f>"202001164658"</f>
        <v>202001164658</v>
      </c>
      <c r="F716" t="str">
        <f>"REFUND-DEVELOPMENT PERMIT"</f>
        <v>REFUND-DEVELOPMENT PERMIT</v>
      </c>
      <c r="G716" s="2">
        <v>225</v>
      </c>
      <c r="H716" t="str">
        <f>"REFUND-DEVELOPMENT PERMIT"</f>
        <v>REFUND-DEVELOPMENT PERMIT</v>
      </c>
    </row>
    <row r="717" spans="1:8" x14ac:dyDescent="0.25">
      <c r="A717" t="s">
        <v>194</v>
      </c>
      <c r="B717">
        <v>130423</v>
      </c>
      <c r="C717" s="2">
        <v>25</v>
      </c>
      <c r="D717" s="1">
        <v>43843</v>
      </c>
      <c r="E717" t="str">
        <f>"202001074517"</f>
        <v>202001074517</v>
      </c>
      <c r="F717" t="str">
        <f>"JAMES MOORE"</f>
        <v>JAMES MOORE</v>
      </c>
      <c r="G717" s="2">
        <v>25</v>
      </c>
      <c r="H717" t="str">
        <f>""</f>
        <v/>
      </c>
    </row>
    <row r="718" spans="1:8" x14ac:dyDescent="0.25">
      <c r="A718" t="s">
        <v>195</v>
      </c>
      <c r="B718">
        <v>130584</v>
      </c>
      <c r="C718" s="2">
        <v>500</v>
      </c>
      <c r="D718" s="1">
        <v>43857</v>
      </c>
      <c r="E718" t="str">
        <f>"202001224778"</f>
        <v>202001224778</v>
      </c>
      <c r="F718" t="str">
        <f>"408249.2"</f>
        <v>408249.2</v>
      </c>
      <c r="G718" s="2">
        <v>250</v>
      </c>
      <c r="H718" t="str">
        <f>"408249.2"</f>
        <v>408249.2</v>
      </c>
    </row>
    <row r="719" spans="1:8" x14ac:dyDescent="0.25">
      <c r="E719" t="str">
        <f>"202001224780"</f>
        <v>202001224780</v>
      </c>
      <c r="F719" t="str">
        <f>"410169.4"</f>
        <v>410169.4</v>
      </c>
      <c r="G719" s="2">
        <v>250</v>
      </c>
      <c r="H719" t="str">
        <f>"410169.4"</f>
        <v>410169.4</v>
      </c>
    </row>
    <row r="720" spans="1:8" x14ac:dyDescent="0.25">
      <c r="A720" t="s">
        <v>196</v>
      </c>
      <c r="B720">
        <v>130424</v>
      </c>
      <c r="C720" s="2">
        <v>41.76</v>
      </c>
      <c r="D720" s="1">
        <v>43843</v>
      </c>
      <c r="E720" t="str">
        <f>"201912304336"</f>
        <v>201912304336</v>
      </c>
      <c r="F720" t="str">
        <f>"MILEAGE REIMBURSEMENT"</f>
        <v>MILEAGE REIMBURSEMENT</v>
      </c>
      <c r="G720" s="2">
        <v>41.76</v>
      </c>
      <c r="H720" t="str">
        <f>"MILEAGE REIMBURSEMENT"</f>
        <v>MILEAGE REIMBURSEMENT</v>
      </c>
    </row>
    <row r="721" spans="1:9" x14ac:dyDescent="0.25">
      <c r="A721" t="s">
        <v>196</v>
      </c>
      <c r="B721">
        <v>130585</v>
      </c>
      <c r="C721" s="2">
        <v>208.8</v>
      </c>
      <c r="D721" s="1">
        <v>43857</v>
      </c>
      <c r="E721" t="str">
        <f>"202001214697"</f>
        <v>202001214697</v>
      </c>
      <c r="F721" t="str">
        <f>"COURT REPORTING MILEAGE"</f>
        <v>COURT REPORTING MILEAGE</v>
      </c>
      <c r="G721" s="2">
        <v>208.8</v>
      </c>
      <c r="H721" t="str">
        <f>"COURT REPORTING MILEAGE"</f>
        <v>COURT REPORTING MILEAGE</v>
      </c>
    </row>
    <row r="722" spans="1:9" x14ac:dyDescent="0.25">
      <c r="A722" t="s">
        <v>197</v>
      </c>
      <c r="B722">
        <v>130425</v>
      </c>
      <c r="C722" s="2">
        <v>185</v>
      </c>
      <c r="D722" s="1">
        <v>43843</v>
      </c>
      <c r="E722" t="str">
        <f>"202001024380"</f>
        <v>202001024380</v>
      </c>
      <c r="F722" t="str">
        <f>"FERAL HOGS"</f>
        <v>FERAL HOGS</v>
      </c>
      <c r="G722" s="2">
        <v>185</v>
      </c>
      <c r="H722" t="str">
        <f>"FERAL HOGS"</f>
        <v>FERAL HOGS</v>
      </c>
    </row>
    <row r="723" spans="1:9" x14ac:dyDescent="0.25">
      <c r="A723" t="s">
        <v>198</v>
      </c>
      <c r="B723">
        <v>2031</v>
      </c>
      <c r="C723" s="2">
        <v>1675</v>
      </c>
      <c r="D723" s="1">
        <v>43844</v>
      </c>
      <c r="E723" t="s">
        <v>50</v>
      </c>
      <c r="F723" t="s">
        <v>51</v>
      </c>
      <c r="G723" s="2" t="str">
        <f>"AD LITEM"</f>
        <v>AD LITEM</v>
      </c>
      <c r="H723" t="str">
        <f>"995-4110"</f>
        <v>995-4110</v>
      </c>
      <c r="I723" t="str">
        <f>""</f>
        <v/>
      </c>
    </row>
    <row r="724" spans="1:9" x14ac:dyDescent="0.25">
      <c r="E724" t="str">
        <f>"12329"</f>
        <v>12329</v>
      </c>
      <c r="F724" t="str">
        <f>"AD LITEM"</f>
        <v>AD LITEM</v>
      </c>
      <c r="G724" s="2">
        <v>150</v>
      </c>
      <c r="H724" t="str">
        <f>"AD LITEM"</f>
        <v>AD LITEM</v>
      </c>
    </row>
    <row r="725" spans="1:9" x14ac:dyDescent="0.25">
      <c r="E725" t="str">
        <f>"12830"</f>
        <v>12830</v>
      </c>
      <c r="F725" t="str">
        <f>"AD LITEM FEE"</f>
        <v>AD LITEM FEE</v>
      </c>
      <c r="G725" s="2">
        <v>150</v>
      </c>
      <c r="H725" t="str">
        <f>"AD LITEM FEE"</f>
        <v>AD LITEM FEE</v>
      </c>
    </row>
    <row r="726" spans="1:9" x14ac:dyDescent="0.25">
      <c r="E726" t="str">
        <f>"13091"</f>
        <v>13091</v>
      </c>
      <c r="F726" t="str">
        <f>"AD LITEM"</f>
        <v>AD LITEM</v>
      </c>
      <c r="G726" s="2">
        <v>150</v>
      </c>
      <c r="H726" t="str">
        <f>"AD LITEM"</f>
        <v>AD LITEM</v>
      </c>
    </row>
    <row r="727" spans="1:9" x14ac:dyDescent="0.25">
      <c r="E727" t="str">
        <f>"13178"</f>
        <v>13178</v>
      </c>
      <c r="F727" t="str">
        <f>"AD LITEM"</f>
        <v>AD LITEM</v>
      </c>
      <c r="G727" s="2">
        <v>150</v>
      </c>
      <c r="H727" t="str">
        <f>"AD LITEM"</f>
        <v>AD LITEM</v>
      </c>
    </row>
    <row r="728" spans="1:9" x14ac:dyDescent="0.25">
      <c r="E728" t="str">
        <f>"202001084534"</f>
        <v>202001084534</v>
      </c>
      <c r="F728" t="str">
        <f>"19-19740"</f>
        <v>19-19740</v>
      </c>
      <c r="G728" s="2">
        <v>100</v>
      </c>
      <c r="H728" t="str">
        <f>"19-19740"</f>
        <v>19-19740</v>
      </c>
    </row>
    <row r="729" spans="1:9" x14ac:dyDescent="0.25">
      <c r="E729" t="str">
        <f>"202001084535"</f>
        <v>202001084535</v>
      </c>
      <c r="F729" t="str">
        <f>"17-18119"</f>
        <v>17-18119</v>
      </c>
      <c r="G729" s="2">
        <v>100</v>
      </c>
      <c r="H729" t="str">
        <f>"17-18119"</f>
        <v>17-18119</v>
      </c>
    </row>
    <row r="730" spans="1:9" x14ac:dyDescent="0.25">
      <c r="E730" t="str">
        <f>"202001084536"</f>
        <v>202001084536</v>
      </c>
      <c r="F730" t="str">
        <f>"19-19954"</f>
        <v>19-19954</v>
      </c>
      <c r="G730" s="2">
        <v>100</v>
      </c>
      <c r="H730" t="str">
        <f>"19-19954"</f>
        <v>19-19954</v>
      </c>
    </row>
    <row r="731" spans="1:9" x14ac:dyDescent="0.25">
      <c r="E731" t="str">
        <f>"202001084537"</f>
        <v>202001084537</v>
      </c>
      <c r="F731" t="str">
        <f>"JP108272018L  19S04691"</f>
        <v>JP108272018L  19S04691</v>
      </c>
      <c r="G731" s="2">
        <v>375</v>
      </c>
      <c r="H731" t="str">
        <f>"JP108272018L  19S04691"</f>
        <v>JP108272018L  19S04691</v>
      </c>
    </row>
    <row r="732" spans="1:9" x14ac:dyDescent="0.25">
      <c r="E732" t="str">
        <f>"202001084538"</f>
        <v>202001084538</v>
      </c>
      <c r="F732" t="str">
        <f>"3112520175  9253874912"</f>
        <v>3112520175  9253874912</v>
      </c>
      <c r="G732" s="2">
        <v>250</v>
      </c>
      <c r="H732" t="str">
        <f>"3112520175  9253874912"</f>
        <v>3112520175  9253874912</v>
      </c>
    </row>
    <row r="733" spans="1:9" x14ac:dyDescent="0.25">
      <c r="A733" t="s">
        <v>198</v>
      </c>
      <c r="B733">
        <v>2106</v>
      </c>
      <c r="C733" s="2">
        <v>875</v>
      </c>
      <c r="D733" s="1">
        <v>43858</v>
      </c>
      <c r="E733" t="str">
        <f>"202001224808"</f>
        <v>202001224808</v>
      </c>
      <c r="F733" t="str">
        <f>"57 063"</f>
        <v>57 063</v>
      </c>
      <c r="G733" s="2">
        <v>250</v>
      </c>
      <c r="H733" t="str">
        <f>"57 063"</f>
        <v>57 063</v>
      </c>
    </row>
    <row r="734" spans="1:9" x14ac:dyDescent="0.25">
      <c r="E734" t="str">
        <f>"202001224809"</f>
        <v>202001224809</v>
      </c>
      <c r="F734" t="str">
        <f>"57 091"</f>
        <v>57 091</v>
      </c>
      <c r="G734" s="2">
        <v>250</v>
      </c>
      <c r="H734" t="str">
        <f>"57 091"</f>
        <v>57 091</v>
      </c>
    </row>
    <row r="735" spans="1:9" x14ac:dyDescent="0.25">
      <c r="E735" t="str">
        <f>"202001224810"</f>
        <v>202001224810</v>
      </c>
      <c r="F735" t="str">
        <f>"57 226"</f>
        <v>57 226</v>
      </c>
      <c r="G735" s="2">
        <v>375</v>
      </c>
      <c r="H735" t="str">
        <f>"57 226"</f>
        <v>57 226</v>
      </c>
    </row>
    <row r="736" spans="1:9" x14ac:dyDescent="0.25">
      <c r="A736" t="s">
        <v>199</v>
      </c>
      <c r="B736">
        <v>130426</v>
      </c>
      <c r="C736" s="2">
        <v>195</v>
      </c>
      <c r="D736" s="1">
        <v>43843</v>
      </c>
      <c r="E736" t="str">
        <f>"202001024381"</f>
        <v>202001024381</v>
      </c>
      <c r="F736" t="str">
        <f>"FERAL HOGS"</f>
        <v>FERAL HOGS</v>
      </c>
      <c r="G736" s="2">
        <v>195</v>
      </c>
      <c r="H736" t="str">
        <f>"FERAL HOGS"</f>
        <v>FERAL HOGS</v>
      </c>
    </row>
    <row r="737" spans="1:8" x14ac:dyDescent="0.25">
      <c r="A737" t="s">
        <v>200</v>
      </c>
      <c r="B737">
        <v>130427</v>
      </c>
      <c r="C737" s="2">
        <v>650</v>
      </c>
      <c r="D737" s="1">
        <v>43843</v>
      </c>
      <c r="E737" t="str">
        <f>"1187"</f>
        <v>1187</v>
      </c>
      <c r="F737" t="str">
        <f>"INV 1187 / UNIT 1663"</f>
        <v>INV 1187 / UNIT 1663</v>
      </c>
      <c r="G737" s="2">
        <v>150</v>
      </c>
      <c r="H737" t="str">
        <f>"INV 1187 / UNIT 1663"</f>
        <v>INV 1187 / UNIT 1663</v>
      </c>
    </row>
    <row r="738" spans="1:8" x14ac:dyDescent="0.25">
      <c r="E738" t="str">
        <f>"1193"</f>
        <v>1193</v>
      </c>
      <c r="F738" t="str">
        <f>"INV 1193 / UNIT 1673"</f>
        <v>INV 1193 / UNIT 1673</v>
      </c>
      <c r="G738" s="2">
        <v>500</v>
      </c>
      <c r="H738" t="str">
        <f>"INV 1193 / UNIT 1673"</f>
        <v>INV 1193 / UNIT 1673</v>
      </c>
    </row>
    <row r="739" spans="1:8" x14ac:dyDescent="0.25">
      <c r="A739" t="s">
        <v>201</v>
      </c>
      <c r="B739">
        <v>130428</v>
      </c>
      <c r="C739" s="2">
        <v>12933.09</v>
      </c>
      <c r="D739" s="1">
        <v>43843</v>
      </c>
      <c r="E739" t="str">
        <f>"ORD#219454"</f>
        <v>ORD#219454</v>
      </c>
      <c r="F739" t="str">
        <f>"ACCT#7205008/PCT#1"</f>
        <v>ACCT#7205008/PCT#1</v>
      </c>
      <c r="G739" s="2">
        <v>78.28</v>
      </c>
      <c r="H739" t="str">
        <f>"ACCT#7205008/PCT#1"</f>
        <v>ACCT#7205008/PCT#1</v>
      </c>
    </row>
    <row r="740" spans="1:8" x14ac:dyDescent="0.25">
      <c r="E740" t="str">
        <f>"W07403"</f>
        <v>W07403</v>
      </c>
      <c r="F740" t="str">
        <f>"INV# W07403"</f>
        <v>INV# W07403</v>
      </c>
      <c r="G740" s="2">
        <v>12854.81</v>
      </c>
      <c r="H740" t="str">
        <f>"PAYMENT"</f>
        <v>PAYMENT</v>
      </c>
    </row>
    <row r="741" spans="1:8" x14ac:dyDescent="0.25">
      <c r="A741" t="s">
        <v>202</v>
      </c>
      <c r="B741">
        <v>130429</v>
      </c>
      <c r="C741" s="2">
        <v>1325</v>
      </c>
      <c r="D741" s="1">
        <v>43843</v>
      </c>
      <c r="E741" t="str">
        <f>"201912274307"</f>
        <v>201912274307</v>
      </c>
      <c r="F741" t="str">
        <f>"423-4499"</f>
        <v>423-4499</v>
      </c>
      <c r="G741" s="2">
        <v>225</v>
      </c>
      <c r="H741" t="str">
        <f>"423-4499"</f>
        <v>423-4499</v>
      </c>
    </row>
    <row r="742" spans="1:8" x14ac:dyDescent="0.25">
      <c r="E742" t="str">
        <f>"202001084548"</f>
        <v>202001084548</v>
      </c>
      <c r="F742" t="str">
        <f>"19-19632"</f>
        <v>19-19632</v>
      </c>
      <c r="G742" s="2">
        <v>225</v>
      </c>
      <c r="H742" t="str">
        <f>"19-19632"</f>
        <v>19-19632</v>
      </c>
    </row>
    <row r="743" spans="1:8" x14ac:dyDescent="0.25">
      <c r="E743" t="str">
        <f>"202001084549"</f>
        <v>202001084549</v>
      </c>
      <c r="F743" t="str">
        <f>"19-19741"</f>
        <v>19-19741</v>
      </c>
      <c r="G743" s="2">
        <v>225</v>
      </c>
      <c r="H743" t="str">
        <f>"19-19741"</f>
        <v>19-19741</v>
      </c>
    </row>
    <row r="744" spans="1:8" x14ac:dyDescent="0.25">
      <c r="E744" t="str">
        <f>"202001084550"</f>
        <v>202001084550</v>
      </c>
      <c r="F744" t="str">
        <f>"19-19537"</f>
        <v>19-19537</v>
      </c>
      <c r="G744" s="2">
        <v>150</v>
      </c>
      <c r="H744" t="str">
        <f>"19-19537"</f>
        <v>19-19537</v>
      </c>
    </row>
    <row r="745" spans="1:8" x14ac:dyDescent="0.25">
      <c r="E745" t="str">
        <f>"202001084551"</f>
        <v>202001084551</v>
      </c>
      <c r="F745" t="str">
        <f>"19-19963"</f>
        <v>19-19963</v>
      </c>
      <c r="G745" s="2">
        <v>250</v>
      </c>
      <c r="H745" t="str">
        <f>"19-19963"</f>
        <v>19-19963</v>
      </c>
    </row>
    <row r="746" spans="1:8" x14ac:dyDescent="0.25">
      <c r="E746" t="str">
        <f>"202001084552"</f>
        <v>202001084552</v>
      </c>
      <c r="F746" t="str">
        <f>"19680"</f>
        <v>19680</v>
      </c>
      <c r="G746" s="2">
        <v>250</v>
      </c>
      <c r="H746" t="str">
        <f>"19680"</f>
        <v>19680</v>
      </c>
    </row>
    <row r="747" spans="1:8" x14ac:dyDescent="0.25">
      <c r="A747" t="s">
        <v>202</v>
      </c>
      <c r="B747">
        <v>130586</v>
      </c>
      <c r="C747" s="2">
        <v>1585</v>
      </c>
      <c r="D747" s="1">
        <v>43857</v>
      </c>
      <c r="E747" t="str">
        <f>"202001224798"</f>
        <v>202001224798</v>
      </c>
      <c r="F747" t="str">
        <f>"J-3177"</f>
        <v>J-3177</v>
      </c>
      <c r="G747" s="2">
        <v>150</v>
      </c>
      <c r="H747" t="str">
        <f>"J-3177"</f>
        <v>J-3177</v>
      </c>
    </row>
    <row r="748" spans="1:8" x14ac:dyDescent="0.25">
      <c r="E748" t="str">
        <f>"202001224799"</f>
        <v>202001224799</v>
      </c>
      <c r="F748" t="str">
        <f>"19-19741"</f>
        <v>19-19741</v>
      </c>
      <c r="G748" s="2">
        <v>150</v>
      </c>
      <c r="H748" t="str">
        <f>"19-19741"</f>
        <v>19-19741</v>
      </c>
    </row>
    <row r="749" spans="1:8" x14ac:dyDescent="0.25">
      <c r="E749" t="str">
        <f>"202001224800"</f>
        <v>202001224800</v>
      </c>
      <c r="F749" t="str">
        <f>"19-19862"</f>
        <v>19-19862</v>
      </c>
      <c r="G749" s="2">
        <v>150</v>
      </c>
      <c r="H749" t="str">
        <f>"19-19862"</f>
        <v>19-19862</v>
      </c>
    </row>
    <row r="750" spans="1:8" x14ac:dyDescent="0.25">
      <c r="E750" t="str">
        <f>"202001224801"</f>
        <v>202001224801</v>
      </c>
      <c r="F750" t="str">
        <f>"19-19537"</f>
        <v>19-19537</v>
      </c>
      <c r="G750" s="2">
        <v>210</v>
      </c>
      <c r="H750" t="str">
        <f>"19-19537"</f>
        <v>19-19537</v>
      </c>
    </row>
    <row r="751" spans="1:8" x14ac:dyDescent="0.25">
      <c r="E751" t="str">
        <f>"202001224802"</f>
        <v>202001224802</v>
      </c>
      <c r="F751" t="str">
        <f>"19-19864"</f>
        <v>19-19864</v>
      </c>
      <c r="G751" s="2">
        <v>300</v>
      </c>
      <c r="H751" t="str">
        <f>"19-19864"</f>
        <v>19-19864</v>
      </c>
    </row>
    <row r="752" spans="1:8" x14ac:dyDescent="0.25">
      <c r="E752" t="str">
        <f>"202001224803"</f>
        <v>202001224803</v>
      </c>
      <c r="F752" t="str">
        <f>"19-19963"</f>
        <v>19-19963</v>
      </c>
      <c r="G752" s="2">
        <v>150</v>
      </c>
      <c r="H752" t="str">
        <f>"19-19963"</f>
        <v>19-19963</v>
      </c>
    </row>
    <row r="753" spans="1:8" x14ac:dyDescent="0.25">
      <c r="E753" t="str">
        <f>"202001224804"</f>
        <v>202001224804</v>
      </c>
      <c r="F753" t="str">
        <f>"19-19632"</f>
        <v>19-19632</v>
      </c>
      <c r="G753" s="2">
        <v>225</v>
      </c>
      <c r="H753" t="str">
        <f>"19-19632"</f>
        <v>19-19632</v>
      </c>
    </row>
    <row r="754" spans="1:8" x14ac:dyDescent="0.25">
      <c r="E754" t="str">
        <f>"202001224805"</f>
        <v>202001224805</v>
      </c>
      <c r="F754" t="str">
        <f>"JP1082820196"</f>
        <v>JP1082820196</v>
      </c>
      <c r="G754" s="2">
        <v>250</v>
      </c>
      <c r="H754" t="str">
        <f>"JP1082820196"</f>
        <v>JP1082820196</v>
      </c>
    </row>
    <row r="755" spans="1:8" x14ac:dyDescent="0.25">
      <c r="A755" t="s">
        <v>203</v>
      </c>
      <c r="B755">
        <v>130509</v>
      </c>
      <c r="C755" s="2">
        <v>521.08000000000004</v>
      </c>
      <c r="D755" s="1">
        <v>43843</v>
      </c>
      <c r="E755" t="str">
        <f>"202001134625"</f>
        <v>202001134625</v>
      </c>
      <c r="F755" t="str">
        <f>"REIMBURSEMENT - SCREEN DOOR"</f>
        <v>REIMBURSEMENT - SCREEN DOOR</v>
      </c>
      <c r="G755" s="2">
        <v>521.08000000000004</v>
      </c>
      <c r="H755" t="str">
        <f>"REIMBURSEMENT - SCREEN DOOR"</f>
        <v>REIMBURSEMENT - SCREEN DOOR</v>
      </c>
    </row>
    <row r="756" spans="1:8" x14ac:dyDescent="0.25">
      <c r="A756" t="s">
        <v>204</v>
      </c>
      <c r="B756">
        <v>130430</v>
      </c>
      <c r="C756" s="2">
        <v>605.27</v>
      </c>
      <c r="D756" s="1">
        <v>43843</v>
      </c>
      <c r="E756" t="str">
        <f>"202001084570"</f>
        <v>202001084570</v>
      </c>
      <c r="F756" t="str">
        <f>"18-19336"</f>
        <v>18-19336</v>
      </c>
      <c r="G756" s="2">
        <v>605.27</v>
      </c>
      <c r="H756" t="str">
        <f>"18-19336"</f>
        <v>18-19336</v>
      </c>
    </row>
    <row r="757" spans="1:8" x14ac:dyDescent="0.25">
      <c r="A757" t="s">
        <v>205</v>
      </c>
      <c r="B757">
        <v>2087</v>
      </c>
      <c r="C757" s="2">
        <v>76.150000000000006</v>
      </c>
      <c r="D757" s="1">
        <v>43858</v>
      </c>
      <c r="E757" t="str">
        <f>"202001164665"</f>
        <v>202001164665</v>
      </c>
      <c r="F757" t="str">
        <f>"TRAVEL REIMBURSEMENT"</f>
        <v>TRAVEL REIMBURSEMENT</v>
      </c>
      <c r="G757" s="2">
        <v>76.150000000000006</v>
      </c>
      <c r="H757" t="str">
        <f>"TRAVEL REIMBURSEMENT"</f>
        <v>TRAVEL REIMBURSEMENT</v>
      </c>
    </row>
    <row r="758" spans="1:8" x14ac:dyDescent="0.25">
      <c r="A758" t="s">
        <v>206</v>
      </c>
      <c r="B758">
        <v>2024</v>
      </c>
      <c r="C758" s="2">
        <v>500</v>
      </c>
      <c r="D758" s="1">
        <v>43844</v>
      </c>
      <c r="E758" t="str">
        <f>"201912274309"</f>
        <v>201912274309</v>
      </c>
      <c r="F758" t="str">
        <f>"1383-21"</f>
        <v>1383-21</v>
      </c>
      <c r="G758" s="2">
        <v>100</v>
      </c>
      <c r="H758" t="str">
        <f>"1383-21"</f>
        <v>1383-21</v>
      </c>
    </row>
    <row r="759" spans="1:8" x14ac:dyDescent="0.25">
      <c r="E759" t="str">
        <f>"201912274310"</f>
        <v>201912274310</v>
      </c>
      <c r="F759" t="str">
        <f>"16868"</f>
        <v>16868</v>
      </c>
      <c r="G759" s="2">
        <v>400</v>
      </c>
      <c r="H759" t="str">
        <f>"16868"</f>
        <v>16868</v>
      </c>
    </row>
    <row r="760" spans="1:8" x14ac:dyDescent="0.25">
      <c r="A760" t="s">
        <v>206</v>
      </c>
      <c r="B760">
        <v>2098</v>
      </c>
      <c r="C760" s="2">
        <v>1900</v>
      </c>
      <c r="D760" s="1">
        <v>43858</v>
      </c>
      <c r="E760" t="str">
        <f>"202001164644"</f>
        <v>202001164644</v>
      </c>
      <c r="F760" t="str">
        <f>"16938"</f>
        <v>16938</v>
      </c>
      <c r="G760" s="2">
        <v>400</v>
      </c>
      <c r="H760" t="str">
        <f>"16938"</f>
        <v>16938</v>
      </c>
    </row>
    <row r="761" spans="1:8" x14ac:dyDescent="0.25">
      <c r="E761" t="str">
        <f>"202001174683"</f>
        <v>202001174683</v>
      </c>
      <c r="F761" t="str">
        <f>"17060  311192019G"</f>
        <v>17060  311192019G</v>
      </c>
      <c r="G761" s="2">
        <v>600</v>
      </c>
      <c r="H761" t="str">
        <f>"17060  311192019G"</f>
        <v>17060  311192019G</v>
      </c>
    </row>
    <row r="762" spans="1:8" x14ac:dyDescent="0.25">
      <c r="E762" t="str">
        <f>"202001174684"</f>
        <v>202001174684</v>
      </c>
      <c r="F762" t="str">
        <f>"C18-0036"</f>
        <v>C18-0036</v>
      </c>
      <c r="G762" s="2">
        <v>200</v>
      </c>
      <c r="H762" t="str">
        <f>"C18-0036"</f>
        <v>C18-0036</v>
      </c>
    </row>
    <row r="763" spans="1:8" x14ac:dyDescent="0.25">
      <c r="E763" t="str">
        <f>"202001174685"</f>
        <v>202001174685</v>
      </c>
      <c r="F763" t="str">
        <f>"423-7035  423-7038"</f>
        <v>423-7035  423-7038</v>
      </c>
      <c r="G763" s="2">
        <v>200</v>
      </c>
      <c r="H763" t="str">
        <f>"423-7035  423-7038"</f>
        <v>423-7035  423-7038</v>
      </c>
    </row>
    <row r="764" spans="1:8" x14ac:dyDescent="0.25">
      <c r="E764" t="str">
        <f>"202001174686"</f>
        <v>202001174686</v>
      </c>
      <c r="F764" t="str">
        <f>"1406-21"</f>
        <v>1406-21</v>
      </c>
      <c r="G764" s="2">
        <v>100</v>
      </c>
      <c r="H764" t="str">
        <f>"1406-21"</f>
        <v>1406-21</v>
      </c>
    </row>
    <row r="765" spans="1:8" x14ac:dyDescent="0.25">
      <c r="E765" t="str">
        <f>"202001174687"</f>
        <v>202001174687</v>
      </c>
      <c r="F765" t="str">
        <f>"DCPC-19-122  DCPC19-123 DCPC-1"</f>
        <v>DCPC-19-122  DCPC19-123 DCPC-1</v>
      </c>
      <c r="G765" s="2">
        <v>400</v>
      </c>
      <c r="H765" t="str">
        <f>"DCPC-19-122  DCPC19-123 DCPC-1"</f>
        <v>DCPC-19-122  DCPC19-123 DCPC-1</v>
      </c>
    </row>
    <row r="766" spans="1:8" x14ac:dyDescent="0.25">
      <c r="A766" t="s">
        <v>207</v>
      </c>
      <c r="B766">
        <v>130587</v>
      </c>
      <c r="C766" s="2">
        <v>3168.79</v>
      </c>
      <c r="D766" s="1">
        <v>43857</v>
      </c>
      <c r="E766" t="str">
        <f>"202001214700"</f>
        <v>202001214700</v>
      </c>
      <c r="F766" t="str">
        <f>"423-2327"</f>
        <v>423-2327</v>
      </c>
      <c r="G766" s="2">
        <v>2172.59</v>
      </c>
      <c r="H766" t="str">
        <f>"423-2327"</f>
        <v>423-2327</v>
      </c>
    </row>
    <row r="767" spans="1:8" x14ac:dyDescent="0.25">
      <c r="E767" t="str">
        <f>"202001224781"</f>
        <v>202001224781</v>
      </c>
      <c r="F767" t="str">
        <f>"19-20022"</f>
        <v>19-20022</v>
      </c>
      <c r="G767" s="2">
        <v>257.5</v>
      </c>
      <c r="H767" t="str">
        <f>"19-20022"</f>
        <v>19-20022</v>
      </c>
    </row>
    <row r="768" spans="1:8" x14ac:dyDescent="0.25">
      <c r="E768" t="str">
        <f>"202001224782"</f>
        <v>202001224782</v>
      </c>
      <c r="F768" t="str">
        <f>"19-19465"</f>
        <v>19-19465</v>
      </c>
      <c r="G768" s="2">
        <v>233.7</v>
      </c>
      <c r="H768" t="str">
        <f>"19-19465"</f>
        <v>19-19465</v>
      </c>
    </row>
    <row r="769" spans="1:8" x14ac:dyDescent="0.25">
      <c r="E769" t="str">
        <f>"202001224783"</f>
        <v>202001224783</v>
      </c>
      <c r="F769" t="str">
        <f>"19-19739"</f>
        <v>19-19739</v>
      </c>
      <c r="G769" s="2">
        <v>505</v>
      </c>
      <c r="H769" t="str">
        <f>"19-19739"</f>
        <v>19-19739</v>
      </c>
    </row>
    <row r="770" spans="1:8" x14ac:dyDescent="0.25">
      <c r="A770" t="s">
        <v>208</v>
      </c>
      <c r="B770">
        <v>130588</v>
      </c>
      <c r="C770" s="2">
        <v>42502.5</v>
      </c>
      <c r="D770" s="1">
        <v>43857</v>
      </c>
      <c r="E770" t="str">
        <f>"202001214698"</f>
        <v>202001214698</v>
      </c>
      <c r="F770" t="str">
        <f>"15-914  08/01-08/31"</f>
        <v>15-914  08/01-08/31</v>
      </c>
      <c r="G770" s="2">
        <v>21510</v>
      </c>
      <c r="H770" t="str">
        <f>"15-914"</f>
        <v>15-914</v>
      </c>
    </row>
    <row r="771" spans="1:8" x14ac:dyDescent="0.25">
      <c r="E771" t="str">
        <f>"202001214699"</f>
        <v>202001214699</v>
      </c>
      <c r="F771" t="str">
        <f>"15-914  07/01-07/31"</f>
        <v>15-914  07/01-07/31</v>
      </c>
      <c r="G771" s="2">
        <v>20992.5</v>
      </c>
      <c r="H771" t="str">
        <f>"15-914"</f>
        <v>15-914</v>
      </c>
    </row>
    <row r="772" spans="1:8" x14ac:dyDescent="0.25">
      <c r="A772" t="s">
        <v>209</v>
      </c>
      <c r="B772">
        <v>2016</v>
      </c>
      <c r="C772" s="2">
        <v>2617</v>
      </c>
      <c r="D772" s="1">
        <v>43844</v>
      </c>
      <c r="E772" t="str">
        <f>"270"</f>
        <v>270</v>
      </c>
      <c r="F772" t="str">
        <f>"TOWER RENT"</f>
        <v>TOWER RENT</v>
      </c>
      <c r="G772" s="2">
        <v>2617</v>
      </c>
      <c r="H772" t="str">
        <f>"TOWER RENT"</f>
        <v>TOWER RENT</v>
      </c>
    </row>
    <row r="773" spans="1:8" x14ac:dyDescent="0.25">
      <c r="A773" t="s">
        <v>210</v>
      </c>
      <c r="B773">
        <v>130431</v>
      </c>
      <c r="C773" s="2">
        <v>210</v>
      </c>
      <c r="D773" s="1">
        <v>43843</v>
      </c>
      <c r="E773" t="str">
        <f>"2240"</f>
        <v>2240</v>
      </c>
      <c r="F773" t="str">
        <f>"CONSTRUCTION UNIT RENTAL"</f>
        <v>CONSTRUCTION UNIT RENTAL</v>
      </c>
      <c r="G773" s="2">
        <v>210</v>
      </c>
      <c r="H773" t="str">
        <f>"CONSTRUCTION UNIT RENTAL"</f>
        <v>CONSTRUCTION UNIT RENTAL</v>
      </c>
    </row>
    <row r="774" spans="1:8" x14ac:dyDescent="0.25">
      <c r="A774" t="s">
        <v>211</v>
      </c>
      <c r="B774">
        <v>130432</v>
      </c>
      <c r="C774" s="2">
        <v>7360.73</v>
      </c>
      <c r="D774" s="1">
        <v>43843</v>
      </c>
      <c r="E774" t="str">
        <f>"16647"</f>
        <v>16647</v>
      </c>
      <c r="F774" t="str">
        <f>"Reader Addition"</f>
        <v>Reader Addition</v>
      </c>
      <c r="G774" s="2">
        <v>3484.73</v>
      </c>
      <c r="H774" t="str">
        <f>"%50 of payment"</f>
        <v>%50 of payment</v>
      </c>
    </row>
    <row r="775" spans="1:8" x14ac:dyDescent="0.25">
      <c r="E775" t="str">
        <f>"815710"</f>
        <v>815710</v>
      </c>
      <c r="F775" t="str">
        <f>"inv# 815710"</f>
        <v>inv# 815710</v>
      </c>
      <c r="G775" s="2">
        <v>3876</v>
      </c>
      <c r="H775" t="str">
        <f>"09/20 to 11/20"</f>
        <v>09/20 to 11/20</v>
      </c>
    </row>
    <row r="776" spans="1:8" x14ac:dyDescent="0.25">
      <c r="E776" t="str">
        <f>""</f>
        <v/>
      </c>
      <c r="F776" t="str">
        <f>""</f>
        <v/>
      </c>
      <c r="H776" t="str">
        <f>"12/19 to 09/20"</f>
        <v>12/19 to 09/20</v>
      </c>
    </row>
    <row r="777" spans="1:8" x14ac:dyDescent="0.25">
      <c r="A777" t="s">
        <v>211</v>
      </c>
      <c r="B777">
        <v>130589</v>
      </c>
      <c r="C777" s="2">
        <v>3636.46</v>
      </c>
      <c r="D777" s="1">
        <v>43857</v>
      </c>
      <c r="E777" t="str">
        <f>"816547"</f>
        <v>816547</v>
      </c>
      <c r="F777" t="str">
        <f>"CUST#10222/IT DEPT"</f>
        <v>CUST#10222/IT DEPT</v>
      </c>
      <c r="G777" s="2">
        <v>154.5</v>
      </c>
    </row>
    <row r="778" spans="1:8" x14ac:dyDescent="0.25">
      <c r="E778" t="str">
        <f>"816881"</f>
        <v>816881</v>
      </c>
      <c r="F778" t="str">
        <f>"inv# 816881"</f>
        <v>inv# 816881</v>
      </c>
      <c r="G778" s="2">
        <v>3481.96</v>
      </c>
    </row>
    <row r="779" spans="1:8" x14ac:dyDescent="0.25">
      <c r="A779" t="s">
        <v>212</v>
      </c>
      <c r="B779">
        <v>1989</v>
      </c>
      <c r="C779" s="2">
        <v>240</v>
      </c>
      <c r="D779" s="1">
        <v>43844</v>
      </c>
      <c r="E779" t="str">
        <f>"273599"</f>
        <v>273599</v>
      </c>
      <c r="F779" t="str">
        <f>"ORD#17756440"</f>
        <v>ORD#17756440</v>
      </c>
      <c r="G779" s="2">
        <v>240</v>
      </c>
      <c r="H779" t="str">
        <f>"ORD#17756440"</f>
        <v>ORD#17756440</v>
      </c>
    </row>
    <row r="780" spans="1:8" x14ac:dyDescent="0.25">
      <c r="A780" t="s">
        <v>213</v>
      </c>
      <c r="B780">
        <v>130433</v>
      </c>
      <c r="C780" s="2">
        <v>665.56</v>
      </c>
      <c r="D780" s="1">
        <v>43843</v>
      </c>
      <c r="E780" t="str">
        <f>"R301009987-01"</f>
        <v>R301009987-01</v>
      </c>
      <c r="F780" t="str">
        <f>"ACCT#104992/PCT#1"</f>
        <v>ACCT#104992/PCT#1</v>
      </c>
      <c r="G780" s="2">
        <v>665.56</v>
      </c>
      <c r="H780" t="str">
        <f>"ACCT#104992/PCT#1"</f>
        <v>ACCT#104992/PCT#1</v>
      </c>
    </row>
    <row r="781" spans="1:8" x14ac:dyDescent="0.25">
      <c r="A781" t="s">
        <v>214</v>
      </c>
      <c r="B781">
        <v>130434</v>
      </c>
      <c r="C781" s="2">
        <v>953.39</v>
      </c>
      <c r="D781" s="1">
        <v>43843</v>
      </c>
      <c r="E781" t="str">
        <f>"202001074421"</f>
        <v>202001074421</v>
      </c>
      <c r="F781" t="str">
        <f>"ACCT#1645//WILDFIRE MITIGATION"</f>
        <v>ACCT#1645//WILDFIRE MITIGATION</v>
      </c>
      <c r="G781" s="2">
        <v>128.19</v>
      </c>
      <c r="H781" t="str">
        <f>"ACCT#1645//WILDFIRE MITIGATION"</f>
        <v>ACCT#1645//WILDFIRE MITIGATION</v>
      </c>
    </row>
    <row r="782" spans="1:8" x14ac:dyDescent="0.25">
      <c r="E782" t="str">
        <f>"202001074426"</f>
        <v>202001074426</v>
      </c>
      <c r="F782" t="str">
        <f>"ACCT#1800/PCT#4"</f>
        <v>ACCT#1800/PCT#4</v>
      </c>
      <c r="G782" s="2">
        <v>4.5</v>
      </c>
      <c r="H782" t="str">
        <f>"ACCT#1800/PCT#4"</f>
        <v>ACCT#1800/PCT#4</v>
      </c>
    </row>
    <row r="783" spans="1:8" x14ac:dyDescent="0.25">
      <c r="E783" t="str">
        <f>"202001084526"</f>
        <v>202001084526</v>
      </c>
      <c r="F783" t="str">
        <f>"ACCT#1750/PCT#3"</f>
        <v>ACCT#1750/PCT#3</v>
      </c>
      <c r="G783" s="2">
        <v>381.34</v>
      </c>
      <c r="H783" t="str">
        <f>"ACCT#1750/PCT#3"</f>
        <v>ACCT#1750/PCT#3</v>
      </c>
    </row>
    <row r="784" spans="1:8" x14ac:dyDescent="0.25">
      <c r="E784" t="str">
        <f>"202001084555"</f>
        <v>202001084555</v>
      </c>
      <c r="F784" t="str">
        <f>"ACCT#1650/PCT#1"</f>
        <v>ACCT#1650/PCT#1</v>
      </c>
      <c r="G784" s="2">
        <v>439.36</v>
      </c>
      <c r="H784" t="str">
        <f>"ACCT#1650/PCT#1"</f>
        <v>ACCT#1650/PCT#1</v>
      </c>
    </row>
    <row r="785" spans="1:8" x14ac:dyDescent="0.25">
      <c r="A785" t="s">
        <v>215</v>
      </c>
      <c r="B785">
        <v>130435</v>
      </c>
      <c r="C785" s="2">
        <v>2935.07</v>
      </c>
      <c r="D785" s="1">
        <v>43843</v>
      </c>
      <c r="E785" t="str">
        <f>"12189067 12258543"</f>
        <v>12189067 12258543</v>
      </c>
      <c r="F785" t="str">
        <f>"INV 12189067"</f>
        <v>INV 12189067</v>
      </c>
      <c r="G785" s="2">
        <v>2935.07</v>
      </c>
      <c r="H785" t="str">
        <f>"INV 12189067"</f>
        <v>INV 12189067</v>
      </c>
    </row>
    <row r="786" spans="1:8" x14ac:dyDescent="0.25">
      <c r="E786" t="str">
        <f>""</f>
        <v/>
      </c>
      <c r="F786" t="str">
        <f>""</f>
        <v/>
      </c>
      <c r="H786" t="str">
        <f>"INV 12258543"</f>
        <v>INV 12258543</v>
      </c>
    </row>
    <row r="787" spans="1:8" x14ac:dyDescent="0.25">
      <c r="E787" t="str">
        <f>""</f>
        <v/>
      </c>
      <c r="F787" t="str">
        <f>""</f>
        <v/>
      </c>
      <c r="H787" t="str">
        <f>"INV 01017343"</f>
        <v>INV 01017343</v>
      </c>
    </row>
    <row r="788" spans="1:8" x14ac:dyDescent="0.25">
      <c r="A788" t="s">
        <v>215</v>
      </c>
      <c r="B788">
        <v>130590</v>
      </c>
      <c r="C788" s="2">
        <v>3752.39</v>
      </c>
      <c r="D788" s="1">
        <v>43857</v>
      </c>
      <c r="E788" t="str">
        <f>"01156300/01086248"</f>
        <v>01156300/01086248</v>
      </c>
      <c r="F788" t="str">
        <f>"INV 01156300"</f>
        <v>INV 01156300</v>
      </c>
      <c r="G788" s="2">
        <v>3752.39</v>
      </c>
      <c r="H788" t="str">
        <f>"INV 01156300"</f>
        <v>INV 01156300</v>
      </c>
    </row>
    <row r="789" spans="1:8" x14ac:dyDescent="0.25">
      <c r="E789" t="str">
        <f>""</f>
        <v/>
      </c>
      <c r="F789" t="str">
        <f>""</f>
        <v/>
      </c>
      <c r="H789" t="str">
        <f>"INV 01086248"</f>
        <v>INV 01086248</v>
      </c>
    </row>
    <row r="790" spans="1:8" x14ac:dyDescent="0.25">
      <c r="A790" t="s">
        <v>216</v>
      </c>
      <c r="B790">
        <v>2004</v>
      </c>
      <c r="C790" s="2">
        <v>150</v>
      </c>
      <c r="D790" s="1">
        <v>43844</v>
      </c>
      <c r="E790" t="str">
        <f>"201912304338"</f>
        <v>201912304338</v>
      </c>
      <c r="F790" t="str">
        <f>"CLEANING SERVICE 12/29/19"</f>
        <v>CLEANING SERVICE 12/29/19</v>
      </c>
      <c r="G790" s="2">
        <v>150</v>
      </c>
      <c r="H790" t="str">
        <f>"CLEANING SERVICE 12/29/19"</f>
        <v>CLEANING SERVICE 12/29/19</v>
      </c>
    </row>
    <row r="791" spans="1:8" x14ac:dyDescent="0.25">
      <c r="A791" t="s">
        <v>216</v>
      </c>
      <c r="B791">
        <v>2074</v>
      </c>
      <c r="C791" s="2">
        <v>150</v>
      </c>
      <c r="D791" s="1">
        <v>43858</v>
      </c>
      <c r="E791" t="str">
        <f>"202001224811"</f>
        <v>202001224811</v>
      </c>
      <c r="F791" t="str">
        <f>"CLEANING SERVICE 01/11/2020"</f>
        <v>CLEANING SERVICE 01/11/2020</v>
      </c>
      <c r="G791" s="2">
        <v>150</v>
      </c>
      <c r="H791" t="str">
        <f>"CLEANING SERVICE 01/11/2020"</f>
        <v>CLEANING SERVICE 01/11/2020</v>
      </c>
    </row>
    <row r="792" spans="1:8" x14ac:dyDescent="0.25">
      <c r="A792" t="s">
        <v>217</v>
      </c>
      <c r="B792">
        <v>130436</v>
      </c>
      <c r="C792" s="2">
        <v>5890</v>
      </c>
      <c r="D792" s="1">
        <v>43843</v>
      </c>
      <c r="E792" t="str">
        <f>"202001064406"</f>
        <v>202001064406</v>
      </c>
      <c r="F792" t="str">
        <f>"inv# 253646"</f>
        <v>inv# 253646</v>
      </c>
      <c r="G792" s="2">
        <v>5890</v>
      </c>
      <c r="H792" t="str">
        <f>"split payment"</f>
        <v>split payment</v>
      </c>
    </row>
    <row r="793" spans="1:8" x14ac:dyDescent="0.25">
      <c r="E793" t="str">
        <f>""</f>
        <v/>
      </c>
      <c r="F793" t="str">
        <f>""</f>
        <v/>
      </c>
      <c r="H793" t="str">
        <f>"Split Payment"</f>
        <v>Split Payment</v>
      </c>
    </row>
    <row r="794" spans="1:8" x14ac:dyDescent="0.25">
      <c r="A794" t="s">
        <v>218</v>
      </c>
      <c r="B794">
        <v>130437</v>
      </c>
      <c r="C794" s="2">
        <v>67</v>
      </c>
      <c r="D794" s="1">
        <v>43843</v>
      </c>
      <c r="E794" t="str">
        <f>"202001074432"</f>
        <v>202001074432</v>
      </c>
      <c r="F794" t="str">
        <f>"TIRE SVCS/PCT#4"</f>
        <v>TIRE SVCS/PCT#4</v>
      </c>
      <c r="G794" s="2">
        <v>67</v>
      </c>
      <c r="H794" t="str">
        <f>"TIRE SVCS/PCT#4"</f>
        <v>TIRE SVCS/PCT#4</v>
      </c>
    </row>
    <row r="795" spans="1:8" x14ac:dyDescent="0.25">
      <c r="A795" t="s">
        <v>219</v>
      </c>
      <c r="B795">
        <v>130438</v>
      </c>
      <c r="C795" s="2">
        <v>29.16</v>
      </c>
      <c r="D795" s="1">
        <v>43843</v>
      </c>
      <c r="E795" t="str">
        <f>"INV0186149"</f>
        <v>INV0186149</v>
      </c>
      <c r="F795" t="str">
        <f>"CUST ID:20571/PCT#4"</f>
        <v>CUST ID:20571/PCT#4</v>
      </c>
      <c r="G795" s="2">
        <v>29.16</v>
      </c>
      <c r="H795" t="str">
        <f>"CUST ID:20571/PCT#4"</f>
        <v>CUST ID:20571/PCT#4</v>
      </c>
    </row>
    <row r="796" spans="1:8" x14ac:dyDescent="0.25">
      <c r="A796" t="s">
        <v>220</v>
      </c>
      <c r="B796">
        <v>130728</v>
      </c>
      <c r="C796" s="2">
        <v>80.099999999999994</v>
      </c>
      <c r="D796" s="1">
        <v>43860</v>
      </c>
      <c r="E796" t="str">
        <f>"202001304929"</f>
        <v>202001304929</v>
      </c>
      <c r="F796" t="str">
        <f>"ACCT#1-09-00072-02 1 /01242020"</f>
        <v>ACCT#1-09-00072-02 1 /01242020</v>
      </c>
      <c r="G796" s="2">
        <v>80.099999999999994</v>
      </c>
      <c r="H796" t="str">
        <f>"ACCT#1-09-00072-02 1 /01242020"</f>
        <v>ACCT#1-09-00072-02 1 /01242020</v>
      </c>
    </row>
    <row r="797" spans="1:8" x14ac:dyDescent="0.25">
      <c r="A797" t="s">
        <v>221</v>
      </c>
      <c r="B797">
        <v>130439</v>
      </c>
      <c r="C797" s="2">
        <v>4540.2700000000004</v>
      </c>
      <c r="D797" s="1">
        <v>43843</v>
      </c>
      <c r="E797" t="str">
        <f>"0558293237"</f>
        <v>0558293237</v>
      </c>
      <c r="F797" t="str">
        <f>"INV 0558293237"</f>
        <v>INV 0558293237</v>
      </c>
      <c r="G797" s="2">
        <v>4540.2700000000004</v>
      </c>
      <c r="H797" t="str">
        <f>"INV 0558293237"</f>
        <v>INV 0558293237</v>
      </c>
    </row>
    <row r="798" spans="1:8" x14ac:dyDescent="0.25">
      <c r="A798" t="s">
        <v>222</v>
      </c>
      <c r="B798">
        <v>130591</v>
      </c>
      <c r="C798" s="2">
        <v>841.55</v>
      </c>
      <c r="D798" s="1">
        <v>43857</v>
      </c>
      <c r="E798" t="str">
        <f>"1211621-20191231"</f>
        <v>1211621-20191231</v>
      </c>
      <c r="F798" t="str">
        <f>"BILL ID:1211621/HEALTH SVCS"</f>
        <v>BILL ID:1211621/HEALTH SVCS</v>
      </c>
      <c r="G798" s="2">
        <v>293.35000000000002</v>
      </c>
      <c r="H798" t="str">
        <f>"BILL ID:1211621/HEALTH SVCS"</f>
        <v>BILL ID:1211621/HEALTH SVCS</v>
      </c>
    </row>
    <row r="799" spans="1:8" x14ac:dyDescent="0.25">
      <c r="E799" t="str">
        <f>"1361725-2191231"</f>
        <v>1361725-2191231</v>
      </c>
      <c r="F799" t="str">
        <f>"BILL ID:1361725/INDIGENT HEALT"</f>
        <v>BILL ID:1361725/INDIGENT HEALT</v>
      </c>
      <c r="G799" s="2">
        <v>150</v>
      </c>
      <c r="H799" t="str">
        <f>"BILL ID:1361725/INDIGENT HEALT"</f>
        <v>BILL ID:1361725/INDIGENT HEALT</v>
      </c>
    </row>
    <row r="800" spans="1:8" x14ac:dyDescent="0.25">
      <c r="E800" t="str">
        <f>"1394645-20191231"</f>
        <v>1394645-20191231</v>
      </c>
      <c r="F800" t="str">
        <f>"BILL ID:1394645/COUNTY CLERK"</f>
        <v>BILL ID:1394645/COUNTY CLERK</v>
      </c>
      <c r="G800" s="2">
        <v>90.5</v>
      </c>
      <c r="H800" t="str">
        <f>"BILL ID:1394645/COUNTY CLERK"</f>
        <v>BILL ID:1394645/COUNTY CLERK</v>
      </c>
    </row>
    <row r="801" spans="1:8" x14ac:dyDescent="0.25">
      <c r="E801" t="str">
        <f>"1420944-20191231"</f>
        <v>1420944-20191231</v>
      </c>
      <c r="F801" t="str">
        <f>"BILL ID:1420944/SHERIFF'S OFF"</f>
        <v>BILL ID:1420944/SHERIFF'S OFF</v>
      </c>
      <c r="G801" s="2">
        <v>307.7</v>
      </c>
      <c r="H801" t="str">
        <f>"BILL ID:1420944/SHERIFF'S OFF"</f>
        <v>BILL ID:1420944/SHERIFF'S OFF</v>
      </c>
    </row>
    <row r="802" spans="1:8" x14ac:dyDescent="0.25">
      <c r="A802" t="s">
        <v>223</v>
      </c>
      <c r="B802">
        <v>130440</v>
      </c>
      <c r="C802" s="2">
        <v>336</v>
      </c>
      <c r="D802" s="1">
        <v>43843</v>
      </c>
      <c r="E802" t="str">
        <f>"91623"</f>
        <v>91623</v>
      </c>
      <c r="F802" t="str">
        <f>"American Flags"</f>
        <v>American Flags</v>
      </c>
      <c r="G802" s="2">
        <v>336</v>
      </c>
      <c r="H802" t="str">
        <f>"USP035"</f>
        <v>USP035</v>
      </c>
    </row>
    <row r="803" spans="1:8" x14ac:dyDescent="0.25">
      <c r="A803" t="s">
        <v>224</v>
      </c>
      <c r="B803">
        <v>130592</v>
      </c>
      <c r="C803" s="2">
        <v>685.95</v>
      </c>
      <c r="D803" s="1">
        <v>43857</v>
      </c>
      <c r="E803" t="str">
        <f>"1743462"</f>
        <v>1743462</v>
      </c>
      <c r="F803" t="str">
        <f>"ACCT#15717/TIRE SVCS"</f>
        <v>ACCT#15717/TIRE SVCS</v>
      </c>
      <c r="G803" s="2">
        <v>685.95</v>
      </c>
      <c r="H803" t="str">
        <f>"ACCT#15717/TIRE SVCS"</f>
        <v>ACCT#15717/TIRE SVCS</v>
      </c>
    </row>
    <row r="804" spans="1:8" x14ac:dyDescent="0.25">
      <c r="A804" t="s">
        <v>225</v>
      </c>
      <c r="B804">
        <v>2019</v>
      </c>
      <c r="C804" s="2">
        <v>176.5</v>
      </c>
      <c r="D804" s="1">
        <v>43844</v>
      </c>
      <c r="E804" t="str">
        <f>"201912304340"</f>
        <v>201912304340</v>
      </c>
      <c r="F804" t="str">
        <f>"VEHICLE REGISTRATIONS/PCT#3"</f>
        <v>VEHICLE REGISTRATIONS/PCT#3</v>
      </c>
      <c r="G804" s="2">
        <v>66.5</v>
      </c>
      <c r="H804" t="str">
        <f>"VEHICLE REGISTRATIONS/PCT#3"</f>
        <v>VEHICLE REGISTRATIONS/PCT#3</v>
      </c>
    </row>
    <row r="805" spans="1:8" x14ac:dyDescent="0.25">
      <c r="E805" t="str">
        <f>"202001064411"</f>
        <v>202001064411</v>
      </c>
      <c r="F805" t="str">
        <f>"VEHICLE REGISTRATIONS/PCT#2"</f>
        <v>VEHICLE REGISTRATIONS/PCT#2</v>
      </c>
      <c r="G805" s="2">
        <v>67.5</v>
      </c>
      <c r="H805" t="str">
        <f>"VEHICLE REGISTRATIONS/PCT#2"</f>
        <v>VEHICLE REGISTRATIONS/PCT#2</v>
      </c>
    </row>
    <row r="806" spans="1:8" x14ac:dyDescent="0.25">
      <c r="E806" t="str">
        <f>"202001074508"</f>
        <v>202001074508</v>
      </c>
      <c r="F806" t="str">
        <f>"TITLE TRANSFER-2019 RAM"</f>
        <v>TITLE TRANSFER-2019 RAM</v>
      </c>
      <c r="G806" s="2">
        <v>12.5</v>
      </c>
      <c r="H806" t="str">
        <f>"TITLE TRANSFER-2019 RAM"</f>
        <v>TITLE TRANSFER-2019 RAM</v>
      </c>
    </row>
    <row r="807" spans="1:8" x14ac:dyDescent="0.25">
      <c r="E807" t="str">
        <f>"202001074511"</f>
        <v>202001074511</v>
      </c>
      <c r="F807" t="str">
        <f>"VEHICLE REGISTRATIONS"</f>
        <v>VEHICLE REGISTRATIONS</v>
      </c>
      <c r="G807" s="2">
        <v>30</v>
      </c>
      <c r="H807" t="str">
        <f>"VEHICLE REGISTRATIONS"</f>
        <v>VEHICLE REGISTRATIONS</v>
      </c>
    </row>
    <row r="808" spans="1:8" x14ac:dyDescent="0.25">
      <c r="A808" t="s">
        <v>225</v>
      </c>
      <c r="B808">
        <v>2091</v>
      </c>
      <c r="C808" s="2">
        <v>65</v>
      </c>
      <c r="D808" s="1">
        <v>43858</v>
      </c>
      <c r="E808" t="str">
        <f>"202001174676"</f>
        <v>202001174676</v>
      </c>
      <c r="F808" t="str">
        <f>"2007 FRHT REGISTRATION/PCT#2"</f>
        <v>2007 FRHT REGISTRATION/PCT#2</v>
      </c>
      <c r="G808" s="2">
        <v>7.5</v>
      </c>
      <c r="H808" t="str">
        <f>"2007 FRHT REGISTRATION/PCT#2"</f>
        <v>2007 FRHT REGISTRATION/PCT#2</v>
      </c>
    </row>
    <row r="809" spans="1:8" x14ac:dyDescent="0.25">
      <c r="E809" t="str">
        <f>"202001174695"</f>
        <v>202001174695</v>
      </c>
      <c r="F809" t="str">
        <f>"VEHICLE REGISTRATION-DEV SVCS"</f>
        <v>VEHICLE REGISTRATION-DEV SVCS</v>
      </c>
      <c r="G809" s="2">
        <v>7.5</v>
      </c>
      <c r="H809" t="str">
        <f>"VEHICLE REGISTRATION-DEV SVCS"</f>
        <v>VEHICLE REGISTRATION-DEV SVCS</v>
      </c>
    </row>
    <row r="810" spans="1:8" x14ac:dyDescent="0.25">
      <c r="E810" t="str">
        <f>"202001214728"</f>
        <v>202001214728</v>
      </c>
      <c r="F810" t="str">
        <f>"2017 RAM REGISTRATION"</f>
        <v>2017 RAM REGISTRATION</v>
      </c>
      <c r="G810" s="2">
        <v>7.5</v>
      </c>
      <c r="H810" t="str">
        <f>"2017 RAM REGISTRATION"</f>
        <v>2017 RAM REGISTRATION</v>
      </c>
    </row>
    <row r="811" spans="1:8" x14ac:dyDescent="0.25">
      <c r="E811" t="str">
        <f>"202001214738"</f>
        <v>202001214738</v>
      </c>
      <c r="F811" t="str">
        <f>"VEHICLE REGISTRATIONS"</f>
        <v>VEHICLE REGISTRATIONS</v>
      </c>
      <c r="G811" s="2">
        <v>30</v>
      </c>
      <c r="H811" t="str">
        <f>"VEHICLE REGISTRATIONS"</f>
        <v>VEHICLE REGISTRATIONS</v>
      </c>
    </row>
    <row r="812" spans="1:8" x14ac:dyDescent="0.25">
      <c r="E812" t="str">
        <f>"202001224756"</f>
        <v>202001224756</v>
      </c>
      <c r="F812" t="str">
        <f>"VEHICLE TRANSFER - PCT#4"</f>
        <v>VEHICLE TRANSFER - PCT#4</v>
      </c>
      <c r="G812" s="2">
        <v>12.5</v>
      </c>
      <c r="H812" t="str">
        <f>"VEHICLE TRANSFER - PCT#4"</f>
        <v>VEHICLE TRANSFER - PCT#4</v>
      </c>
    </row>
    <row r="813" spans="1:8" x14ac:dyDescent="0.25">
      <c r="A813" t="s">
        <v>226</v>
      </c>
      <c r="B813">
        <v>130441</v>
      </c>
      <c r="C813" s="2">
        <v>65</v>
      </c>
      <c r="D813" s="1">
        <v>43843</v>
      </c>
      <c r="E813" t="str">
        <f>"202001024382"</f>
        <v>202001024382</v>
      </c>
      <c r="F813" t="str">
        <f>"FERAL HOGS"</f>
        <v>FERAL HOGS</v>
      </c>
      <c r="G813" s="2">
        <v>65</v>
      </c>
      <c r="H813" t="str">
        <f>"FERAL HOGS"</f>
        <v>FERAL HOGS</v>
      </c>
    </row>
    <row r="814" spans="1:8" x14ac:dyDescent="0.25">
      <c r="A814" t="s">
        <v>227</v>
      </c>
      <c r="B814">
        <v>2060</v>
      </c>
      <c r="C814" s="2">
        <v>28250.1</v>
      </c>
      <c r="D814" s="1">
        <v>43858</v>
      </c>
      <c r="E814" t="str">
        <f>"202001164667"</f>
        <v>202001164667</v>
      </c>
      <c r="F814" t="str">
        <f>"GRANT REIMBURSEMENT"</f>
        <v>GRANT REIMBURSEMENT</v>
      </c>
      <c r="G814" s="2">
        <v>28250.1</v>
      </c>
      <c r="H814" t="str">
        <f>"GRANT REIMBURSEMENT"</f>
        <v>GRANT REIMBURSEMENT</v>
      </c>
    </row>
    <row r="815" spans="1:8" x14ac:dyDescent="0.25">
      <c r="A815" t="s">
        <v>228</v>
      </c>
      <c r="B815">
        <v>2058</v>
      </c>
      <c r="C815" s="2">
        <v>2002.57</v>
      </c>
      <c r="D815" s="1">
        <v>43858</v>
      </c>
      <c r="E815" t="str">
        <f>"202001214740"</f>
        <v>202001214740</v>
      </c>
      <c r="F815" t="str">
        <f>"INV LS-2016EXPL-4719-BCSO"</f>
        <v>INV LS-2016EXPL-4719-BCSO</v>
      </c>
      <c r="G815" s="2">
        <v>2002.57</v>
      </c>
      <c r="H815" t="str">
        <f>"INV LS-2016EXPL-4719-BCSO"</f>
        <v>INV LS-2016EXPL-4719-BCSO</v>
      </c>
    </row>
    <row r="816" spans="1:8" x14ac:dyDescent="0.25">
      <c r="A816" t="s">
        <v>229</v>
      </c>
      <c r="B816">
        <v>2000</v>
      </c>
      <c r="C816" s="2">
        <v>1001</v>
      </c>
      <c r="D816" s="1">
        <v>43844</v>
      </c>
      <c r="E816" t="str">
        <f>"202001074443"</f>
        <v>202001074443</v>
      </c>
      <c r="F816" t="str">
        <f>"TRASH REMOVAL12/23/19-12/31/19"</f>
        <v>TRASH REMOVAL12/23/19-12/31/19</v>
      </c>
      <c r="G816" s="2">
        <v>409.5</v>
      </c>
      <c r="H816" t="str">
        <f>"TRASH REMOVAL12/23/19-12/31/19"</f>
        <v>TRASH REMOVAL12/23/19-12/31/19</v>
      </c>
    </row>
    <row r="817" spans="1:8" x14ac:dyDescent="0.25">
      <c r="E817" t="str">
        <f>"202001074444"</f>
        <v>202001074444</v>
      </c>
      <c r="F817" t="str">
        <f>"TRASH REMOVAL01/01/20-01/10/20"</f>
        <v>TRASH REMOVAL01/01/20-01/10/20</v>
      </c>
      <c r="G817" s="2">
        <v>591.5</v>
      </c>
      <c r="H817" t="str">
        <f>"TRASH REMOVAL01/01/20-01/10/20"</f>
        <v>TRASH REMOVAL01/01/20-01/10/20</v>
      </c>
    </row>
    <row r="818" spans="1:8" x14ac:dyDescent="0.25">
      <c r="A818" t="s">
        <v>229</v>
      </c>
      <c r="B818">
        <v>2066</v>
      </c>
      <c r="C818" s="2">
        <v>682.5</v>
      </c>
      <c r="D818" s="1">
        <v>43858</v>
      </c>
      <c r="E818" t="str">
        <f>"202001214735"</f>
        <v>202001214735</v>
      </c>
      <c r="F818" t="str">
        <f>"TRASH REMOVAL 01/13-01/24/P4"</f>
        <v>TRASH REMOVAL 01/13-01/24/P4</v>
      </c>
      <c r="G818" s="2">
        <v>682.5</v>
      </c>
      <c r="H818" t="str">
        <f>"TRASH REMOVAL 01/13-01/24/P4"</f>
        <v>TRASH REMOVAL 01/13-01/24/P4</v>
      </c>
    </row>
    <row r="819" spans="1:8" x14ac:dyDescent="0.25">
      <c r="A819" t="s">
        <v>230</v>
      </c>
      <c r="B819">
        <v>130442</v>
      </c>
      <c r="C819" s="2">
        <v>320</v>
      </c>
      <c r="D819" s="1">
        <v>43843</v>
      </c>
      <c r="E819" t="str">
        <f>"202001024383"</f>
        <v>202001024383</v>
      </c>
      <c r="F819" t="str">
        <f>"FERAL HOGS"</f>
        <v>FERAL HOGS</v>
      </c>
      <c r="G819" s="2">
        <v>320</v>
      </c>
      <c r="H819" t="str">
        <f>"FERAL HOGS"</f>
        <v>FERAL HOGS</v>
      </c>
    </row>
    <row r="820" spans="1:8" x14ac:dyDescent="0.25">
      <c r="A820" t="s">
        <v>231</v>
      </c>
      <c r="B820">
        <v>130443</v>
      </c>
      <c r="C820" s="2">
        <v>356.17</v>
      </c>
      <c r="D820" s="1">
        <v>43843</v>
      </c>
      <c r="E820" t="str">
        <f>"914536 910192 9146"</f>
        <v>914536 910192 9146</v>
      </c>
      <c r="F820" t="str">
        <f>"acct# 8692"</f>
        <v>acct# 8692</v>
      </c>
      <c r="G820" s="2">
        <v>356.17</v>
      </c>
      <c r="H820" t="str">
        <f>"Inv# 914536"</f>
        <v>Inv# 914536</v>
      </c>
    </row>
    <row r="821" spans="1:8" x14ac:dyDescent="0.25">
      <c r="E821" t="str">
        <f>""</f>
        <v/>
      </c>
      <c r="F821" t="str">
        <f>""</f>
        <v/>
      </c>
      <c r="H821" t="str">
        <f>"inv# 914657"</f>
        <v>inv# 914657</v>
      </c>
    </row>
    <row r="822" spans="1:8" x14ac:dyDescent="0.25">
      <c r="E822" t="str">
        <f>""</f>
        <v/>
      </c>
      <c r="F822" t="str">
        <f>""</f>
        <v/>
      </c>
      <c r="H822" t="str">
        <f>"inv# 910192"</f>
        <v>inv# 910192</v>
      </c>
    </row>
    <row r="823" spans="1:8" x14ac:dyDescent="0.25">
      <c r="A823" t="s">
        <v>232</v>
      </c>
      <c r="B823">
        <v>130593</v>
      </c>
      <c r="C823" s="2">
        <v>500</v>
      </c>
      <c r="D823" s="1">
        <v>43857</v>
      </c>
      <c r="E823" t="str">
        <f>"839"</f>
        <v>839</v>
      </c>
      <c r="F823" t="str">
        <f>"CARPET CLEANING/COURTHOUSE"</f>
        <v>CARPET CLEANING/COURTHOUSE</v>
      </c>
      <c r="G823" s="2">
        <v>500</v>
      </c>
      <c r="H823" t="str">
        <f>"CARPET CLEANING/COURTHOUSE"</f>
        <v>CARPET CLEANING/COURTHOUSE</v>
      </c>
    </row>
    <row r="824" spans="1:8" x14ac:dyDescent="0.25">
      <c r="A824" t="s">
        <v>233</v>
      </c>
      <c r="B824">
        <v>2111</v>
      </c>
      <c r="C824" s="2">
        <v>166.19</v>
      </c>
      <c r="D824" s="1">
        <v>43858</v>
      </c>
      <c r="E824" t="str">
        <f>"3014731"</f>
        <v>3014731</v>
      </c>
      <c r="F824" t="str">
        <f>"PARTS / P2"</f>
        <v>PARTS / P2</v>
      </c>
      <c r="G824" s="2">
        <v>166.19</v>
      </c>
      <c r="H824" t="str">
        <f>"PARTS / P2"</f>
        <v>PARTS / P2</v>
      </c>
    </row>
    <row r="825" spans="1:8" x14ac:dyDescent="0.25">
      <c r="A825" t="s">
        <v>234</v>
      </c>
      <c r="B825">
        <v>130594</v>
      </c>
      <c r="C825" s="2">
        <v>643.5</v>
      </c>
      <c r="D825" s="1">
        <v>43857</v>
      </c>
      <c r="E825" t="str">
        <f>"19-1115-16732-0"</f>
        <v>19-1115-16732-0</v>
      </c>
      <c r="F825" t="str">
        <f>"16 732"</f>
        <v>16 732</v>
      </c>
      <c r="G825" s="2">
        <v>643.5</v>
      </c>
      <c r="H825" t="str">
        <f>"16 732"</f>
        <v>16 732</v>
      </c>
    </row>
    <row r="826" spans="1:8" x14ac:dyDescent="0.25">
      <c r="A826" t="s">
        <v>235</v>
      </c>
      <c r="B826">
        <v>1991</v>
      </c>
      <c r="C826" s="2">
        <v>650</v>
      </c>
      <c r="D826" s="1">
        <v>43844</v>
      </c>
      <c r="E826" t="str">
        <f>"202001084558"</f>
        <v>202001084558</v>
      </c>
      <c r="F826" t="str">
        <f>"19-19954"</f>
        <v>19-19954</v>
      </c>
      <c r="G826" s="2">
        <v>100</v>
      </c>
      <c r="H826" t="str">
        <f>"19-19954"</f>
        <v>19-19954</v>
      </c>
    </row>
    <row r="827" spans="1:8" x14ac:dyDescent="0.25">
      <c r="E827" t="str">
        <f>"202001084559"</f>
        <v>202001084559</v>
      </c>
      <c r="F827" t="str">
        <f>"19-19931"</f>
        <v>19-19931</v>
      </c>
      <c r="G827" s="2">
        <v>100</v>
      </c>
      <c r="H827" t="str">
        <f>"19-19931"</f>
        <v>19-19931</v>
      </c>
    </row>
    <row r="828" spans="1:8" x14ac:dyDescent="0.25">
      <c r="E828" t="str">
        <f>"202001084560"</f>
        <v>202001084560</v>
      </c>
      <c r="F828" t="str">
        <f>"19-19718"</f>
        <v>19-19718</v>
      </c>
      <c r="G828" s="2">
        <v>100</v>
      </c>
      <c r="H828" t="str">
        <f>"19-19718"</f>
        <v>19-19718</v>
      </c>
    </row>
    <row r="829" spans="1:8" x14ac:dyDescent="0.25">
      <c r="E829" t="str">
        <f>"202001084561"</f>
        <v>202001084561</v>
      </c>
      <c r="F829" t="str">
        <f>"19-19763"</f>
        <v>19-19763</v>
      </c>
      <c r="G829" s="2">
        <v>100</v>
      </c>
      <c r="H829" t="str">
        <f>"19-19763"</f>
        <v>19-19763</v>
      </c>
    </row>
    <row r="830" spans="1:8" x14ac:dyDescent="0.25">
      <c r="E830" t="str">
        <f>"202001084562"</f>
        <v>202001084562</v>
      </c>
      <c r="F830" t="str">
        <f>"J-3151"</f>
        <v>J-3151</v>
      </c>
      <c r="G830" s="2">
        <v>250</v>
      </c>
      <c r="H830" t="str">
        <f>"J-3151"</f>
        <v>J-3151</v>
      </c>
    </row>
    <row r="831" spans="1:8" x14ac:dyDescent="0.25">
      <c r="A831" t="s">
        <v>235</v>
      </c>
      <c r="B831">
        <v>2057</v>
      </c>
      <c r="C831" s="2">
        <v>3768.75</v>
      </c>
      <c r="D831" s="1">
        <v>43858</v>
      </c>
      <c r="E831" t="str">
        <f>"202001164645"</f>
        <v>202001164645</v>
      </c>
      <c r="F831" t="str">
        <f>"423-4499"</f>
        <v>423-4499</v>
      </c>
      <c r="G831" s="2">
        <v>100</v>
      </c>
      <c r="H831" t="str">
        <f>"423-4499"</f>
        <v>423-4499</v>
      </c>
    </row>
    <row r="832" spans="1:8" x14ac:dyDescent="0.25">
      <c r="E832" t="str">
        <f>"202001214730"</f>
        <v>202001214730</v>
      </c>
      <c r="F832" t="str">
        <f>"423-1396"</f>
        <v>423-1396</v>
      </c>
      <c r="G832" s="2">
        <v>2443.75</v>
      </c>
      <c r="H832" t="str">
        <f>"423-1396"</f>
        <v>423-1396</v>
      </c>
    </row>
    <row r="833" spans="1:9" x14ac:dyDescent="0.25">
      <c r="E833" t="str">
        <f>"202001224784"</f>
        <v>202001224784</v>
      </c>
      <c r="F833" t="str">
        <f>"19-19967"</f>
        <v>19-19967</v>
      </c>
      <c r="G833" s="2">
        <v>300</v>
      </c>
      <c r="H833" t="str">
        <f>"19-19967"</f>
        <v>19-19967</v>
      </c>
    </row>
    <row r="834" spans="1:9" x14ac:dyDescent="0.25">
      <c r="E834" t="str">
        <f>"202001224785"</f>
        <v>202001224785</v>
      </c>
      <c r="F834" t="str">
        <f>"B020190909 925-354-3787 19001"</f>
        <v>B020190909 925-354-3787 19001</v>
      </c>
      <c r="G834" s="2">
        <v>125</v>
      </c>
      <c r="H834" t="str">
        <f>"B020190909 925-354-3787 19001"</f>
        <v>B020190909 925-354-3787 19001</v>
      </c>
    </row>
    <row r="835" spans="1:9" x14ac:dyDescent="0.25">
      <c r="E835" t="str">
        <f>"202001224786"</f>
        <v>202001224786</v>
      </c>
      <c r="F835" t="str">
        <f>"975-3549378A001  19505728"</f>
        <v>975-3549378A001  19505728</v>
      </c>
      <c r="G835" s="2">
        <v>125</v>
      </c>
      <c r="H835" t="str">
        <f>"975-3549378A001  19505728"</f>
        <v>975-3549378A001  19505728</v>
      </c>
    </row>
    <row r="836" spans="1:9" x14ac:dyDescent="0.25">
      <c r="E836" t="str">
        <f>"202001224788"</f>
        <v>202001224788</v>
      </c>
      <c r="F836" t="str">
        <f>"14-16734"</f>
        <v>14-16734</v>
      </c>
      <c r="G836" s="2">
        <v>675</v>
      </c>
      <c r="H836" t="str">
        <f>"14-16734"</f>
        <v>14-16734</v>
      </c>
    </row>
    <row r="837" spans="1:9" x14ac:dyDescent="0.25">
      <c r="A837" t="s">
        <v>236</v>
      </c>
      <c r="B837">
        <v>130595</v>
      </c>
      <c r="C837" s="2">
        <v>498.24</v>
      </c>
      <c r="D837" s="1">
        <v>43857</v>
      </c>
      <c r="E837" t="str">
        <f>"20958282"</f>
        <v>20958282</v>
      </c>
      <c r="F837" t="str">
        <f>"ACCT#41472/PCT#1"</f>
        <v>ACCT#41472/PCT#1</v>
      </c>
      <c r="G837" s="2">
        <v>26.73</v>
      </c>
      <c r="H837" t="str">
        <f>"ACCT#41472/PCT#1"</f>
        <v>ACCT#41472/PCT#1</v>
      </c>
    </row>
    <row r="838" spans="1:9" x14ac:dyDescent="0.25">
      <c r="E838" t="str">
        <f>"20958366"</f>
        <v>20958366</v>
      </c>
      <c r="F838" t="str">
        <f>"ACCT#45057/PCT#4"</f>
        <v>ACCT#45057/PCT#4</v>
      </c>
      <c r="G838" s="2">
        <v>48.73</v>
      </c>
      <c r="H838" t="str">
        <f>"ACCT#45057/PCT#4"</f>
        <v>ACCT#45057/PCT#4</v>
      </c>
    </row>
    <row r="839" spans="1:9" x14ac:dyDescent="0.25">
      <c r="E839" t="str">
        <f>"20958423"</f>
        <v>20958423</v>
      </c>
      <c r="F839" t="str">
        <f>"INV 20958423"</f>
        <v>INV 20958423</v>
      </c>
      <c r="G839" s="2">
        <v>58.42</v>
      </c>
      <c r="H839" t="str">
        <f>"INV 20958423"</f>
        <v>INV 20958423</v>
      </c>
    </row>
    <row r="840" spans="1:9" x14ac:dyDescent="0.25">
      <c r="E840" t="str">
        <f>"20966005"</f>
        <v>20966005</v>
      </c>
      <c r="F840" t="str">
        <f>"ACCT#S9549/PCT#1"</f>
        <v>ACCT#S9549/PCT#1</v>
      </c>
      <c r="G840" s="2">
        <v>150</v>
      </c>
      <c r="H840" t="str">
        <f>"ACCT#S9549/PCT#1"</f>
        <v>ACCT#S9549/PCT#1</v>
      </c>
    </row>
    <row r="841" spans="1:9" x14ac:dyDescent="0.25">
      <c r="E841" t="str">
        <f>"21001047"</f>
        <v>21001047</v>
      </c>
      <c r="F841" t="str">
        <f>"ACCT#S9549/PCT#1"</f>
        <v>ACCT#S9549/PCT#1</v>
      </c>
      <c r="G841" s="2">
        <v>73.45</v>
      </c>
      <c r="H841" t="str">
        <f>"ACCT#S9549/PCT#1"</f>
        <v>ACCT#S9549/PCT#1</v>
      </c>
    </row>
    <row r="842" spans="1:9" x14ac:dyDescent="0.25">
      <c r="E842" t="str">
        <f>"21006627"</f>
        <v>21006627</v>
      </c>
      <c r="F842" t="str">
        <f>"ACCT#S9549/PCT#1"</f>
        <v>ACCT#S9549/PCT#1</v>
      </c>
      <c r="G842" s="2">
        <v>140.91</v>
      </c>
      <c r="H842" t="str">
        <f>"ACCT#S9549/PCT#1"</f>
        <v>ACCT#S9549/PCT#1</v>
      </c>
    </row>
    <row r="843" spans="1:9" x14ac:dyDescent="0.25">
      <c r="A843" t="s">
        <v>237</v>
      </c>
      <c r="B843">
        <v>130596</v>
      </c>
      <c r="C843" s="2">
        <v>6.42</v>
      </c>
      <c r="D843" s="1">
        <v>43857</v>
      </c>
      <c r="E843" t="str">
        <f>"202001214716"</f>
        <v>202001214716</v>
      </c>
      <c r="F843" t="str">
        <f>"INDIGENT HEALTH"</f>
        <v>INDIGENT HEALTH</v>
      </c>
      <c r="G843" s="2">
        <v>6.42</v>
      </c>
      <c r="H843" t="str">
        <f>"INDIGENT HEALTH"</f>
        <v>INDIGENT HEALTH</v>
      </c>
    </row>
    <row r="844" spans="1:9" x14ac:dyDescent="0.25">
      <c r="A844" t="s">
        <v>238</v>
      </c>
      <c r="B844">
        <v>130444</v>
      </c>
      <c r="C844" s="2">
        <v>15359.84</v>
      </c>
      <c r="D844" s="1">
        <v>43843</v>
      </c>
      <c r="E844" t="s">
        <v>50</v>
      </c>
      <c r="F844" t="s">
        <v>51</v>
      </c>
      <c r="G844" s="2" t="str">
        <f>"ABST FEE$150 PRINTER FEE $1242"</f>
        <v>ABST FEE$150 PRINTER FEE $1242</v>
      </c>
      <c r="H844" t="str">
        <f>"995-4110"</f>
        <v>995-4110</v>
      </c>
      <c r="I844" t="str">
        <f>""</f>
        <v/>
      </c>
    </row>
    <row r="845" spans="1:9" x14ac:dyDescent="0.25">
      <c r="E845" t="str">
        <f>"12830"</f>
        <v>12830</v>
      </c>
      <c r="F845" t="str">
        <f>"ABST FEE"</f>
        <v>ABST FEE</v>
      </c>
      <c r="G845" s="2">
        <v>225</v>
      </c>
      <c r="H845" t="str">
        <f>"ABST FEE"</f>
        <v>ABST FEE</v>
      </c>
    </row>
    <row r="846" spans="1:9" x14ac:dyDescent="0.25">
      <c r="E846" t="str">
        <f>"13045 10/28/19"</f>
        <v>13045 10/28/19</v>
      </c>
      <c r="F846" t="str">
        <f>"13045"</f>
        <v>13045</v>
      </c>
      <c r="G846" s="2">
        <v>75</v>
      </c>
      <c r="H846" t="str">
        <f>"13045"</f>
        <v>13045</v>
      </c>
    </row>
    <row r="847" spans="1:9" x14ac:dyDescent="0.25">
      <c r="E847" t="str">
        <f>"13091"</f>
        <v>13091</v>
      </c>
      <c r="F847" t="str">
        <f t="shared" ref="F847:F853" si="15">"ABST FEE"</f>
        <v>ABST FEE</v>
      </c>
      <c r="G847" s="2">
        <v>225</v>
      </c>
      <c r="H847" t="str">
        <f t="shared" ref="H847:H853" si="16">"ABST FEE"</f>
        <v>ABST FEE</v>
      </c>
    </row>
    <row r="848" spans="1:9" x14ac:dyDescent="0.25">
      <c r="E848" t="str">
        <f>"13121"</f>
        <v>13121</v>
      </c>
      <c r="F848" t="str">
        <f t="shared" si="15"/>
        <v>ABST FEE</v>
      </c>
      <c r="G848" s="2">
        <v>225</v>
      </c>
      <c r="H848" t="str">
        <f t="shared" si="16"/>
        <v>ABST FEE</v>
      </c>
    </row>
    <row r="849" spans="1:8" x14ac:dyDescent="0.25">
      <c r="E849" t="str">
        <f>"13172"</f>
        <v>13172</v>
      </c>
      <c r="F849" t="str">
        <f t="shared" si="15"/>
        <v>ABST FEE</v>
      </c>
      <c r="G849" s="2">
        <v>225</v>
      </c>
      <c r="H849" t="str">
        <f t="shared" si="16"/>
        <v>ABST FEE</v>
      </c>
    </row>
    <row r="850" spans="1:8" x14ac:dyDescent="0.25">
      <c r="E850" t="str">
        <f>"13178"</f>
        <v>13178</v>
      </c>
      <c r="F850" t="str">
        <f t="shared" si="15"/>
        <v>ABST FEE</v>
      </c>
      <c r="G850" s="2">
        <v>225</v>
      </c>
      <c r="H850" t="str">
        <f t="shared" si="16"/>
        <v>ABST FEE</v>
      </c>
    </row>
    <row r="851" spans="1:8" x14ac:dyDescent="0.25">
      <c r="E851" t="str">
        <f>"13203"</f>
        <v>13203</v>
      </c>
      <c r="F851" t="str">
        <f t="shared" si="15"/>
        <v>ABST FEE</v>
      </c>
      <c r="G851" s="2">
        <v>225</v>
      </c>
      <c r="H851" t="str">
        <f t="shared" si="16"/>
        <v>ABST FEE</v>
      </c>
    </row>
    <row r="852" spans="1:8" x14ac:dyDescent="0.25">
      <c r="E852" t="str">
        <f>"13249"</f>
        <v>13249</v>
      </c>
      <c r="F852" t="str">
        <f t="shared" si="15"/>
        <v>ABST FEE</v>
      </c>
      <c r="G852" s="2">
        <v>102</v>
      </c>
      <c r="H852" t="str">
        <f t="shared" si="16"/>
        <v>ABST FEE</v>
      </c>
    </row>
    <row r="853" spans="1:8" x14ac:dyDescent="0.25">
      <c r="E853" t="str">
        <f>"13249  11/22/19"</f>
        <v>13249  11/22/19</v>
      </c>
      <c r="F853" t="str">
        <f t="shared" si="15"/>
        <v>ABST FEE</v>
      </c>
      <c r="G853" s="2">
        <v>123</v>
      </c>
      <c r="H853" t="str">
        <f t="shared" si="16"/>
        <v>ABST FEE</v>
      </c>
    </row>
    <row r="854" spans="1:8" x14ac:dyDescent="0.25">
      <c r="E854" t="str">
        <f>"13259"</f>
        <v>13259</v>
      </c>
      <c r="F854" t="str">
        <f>"ABST FEE-$225 &amp; SERVICE-$110"</f>
        <v>ABST FEE-$225 &amp; SERVICE-$110</v>
      </c>
      <c r="G854" s="2">
        <v>335</v>
      </c>
      <c r="H854" t="str">
        <f>"ABST FEE-$225 &amp; SERVICE-$110"</f>
        <v>ABST FEE-$225 &amp; SERVICE-$110</v>
      </c>
    </row>
    <row r="855" spans="1:8" x14ac:dyDescent="0.25">
      <c r="E855" t="str">
        <f>"13271"</f>
        <v>13271</v>
      </c>
      <c r="F855" t="str">
        <f>"ABST FEE"</f>
        <v>ABST FEE</v>
      </c>
      <c r="G855" s="2">
        <v>225</v>
      </c>
      <c r="H855" t="str">
        <f>"ABST FEE"</f>
        <v>ABST FEE</v>
      </c>
    </row>
    <row r="856" spans="1:8" x14ac:dyDescent="0.25">
      <c r="E856" t="str">
        <f>"13275"</f>
        <v>13275</v>
      </c>
      <c r="F856" t="str">
        <f>"ABST FEE"</f>
        <v>ABST FEE</v>
      </c>
      <c r="G856" s="2">
        <v>225</v>
      </c>
      <c r="H856" t="str">
        <f>"ABST FEE"</f>
        <v>ABST FEE</v>
      </c>
    </row>
    <row r="857" spans="1:8" x14ac:dyDescent="0.25">
      <c r="E857" t="str">
        <f>"13322"</f>
        <v>13322</v>
      </c>
      <c r="F857" t="str">
        <f>"ABST FEE"</f>
        <v>ABST FEE</v>
      </c>
      <c r="G857" s="2">
        <v>225</v>
      </c>
      <c r="H857" t="str">
        <f>"ABST FEE"</f>
        <v>ABST FEE</v>
      </c>
    </row>
    <row r="858" spans="1:8" x14ac:dyDescent="0.25">
      <c r="E858" t="str">
        <f>"202001074437"</f>
        <v>202001074437</v>
      </c>
      <c r="F858" t="str">
        <f>"DELINQ TAX COLLECTION-DEC2019"</f>
        <v>DELINQ TAX COLLECTION-DEC2019</v>
      </c>
      <c r="G858" s="2">
        <v>10827.84</v>
      </c>
      <c r="H858" t="str">
        <f>"DELINQ TAX COLLECTION-DEC2019"</f>
        <v>DELINQ TAX COLLECTION-DEC2019</v>
      </c>
    </row>
    <row r="859" spans="1:8" x14ac:dyDescent="0.25">
      <c r="A859" t="s">
        <v>239</v>
      </c>
      <c r="B859">
        <v>130445</v>
      </c>
      <c r="C859" s="2">
        <v>420.23</v>
      </c>
      <c r="D859" s="1">
        <v>43843</v>
      </c>
      <c r="E859" t="str">
        <f>"71873964 66006787"</f>
        <v>71873964 66006787</v>
      </c>
      <c r="F859" t="str">
        <f>"INV 71873964"</f>
        <v>INV 71873964</v>
      </c>
      <c r="G859" s="2">
        <v>420.23</v>
      </c>
      <c r="H859" t="str">
        <f>"INV 71873964"</f>
        <v>INV 71873964</v>
      </c>
    </row>
    <row r="860" spans="1:8" x14ac:dyDescent="0.25">
      <c r="E860" t="str">
        <f>""</f>
        <v/>
      </c>
      <c r="F860" t="str">
        <f>""</f>
        <v/>
      </c>
      <c r="H860" t="str">
        <f>"INV 66006787"</f>
        <v>INV 66006787</v>
      </c>
    </row>
    <row r="861" spans="1:8" x14ac:dyDescent="0.25">
      <c r="E861" t="str">
        <f>""</f>
        <v/>
      </c>
      <c r="F861" t="str">
        <f>""</f>
        <v/>
      </c>
      <c r="H861" t="str">
        <f>"INV 66134071"</f>
        <v>INV 66134071</v>
      </c>
    </row>
    <row r="862" spans="1:8" x14ac:dyDescent="0.25">
      <c r="E862" t="str">
        <f>""</f>
        <v/>
      </c>
      <c r="F862" t="str">
        <f>""</f>
        <v/>
      </c>
      <c r="H862" t="str">
        <f>"INV 66932475"</f>
        <v>INV 66932475</v>
      </c>
    </row>
    <row r="863" spans="1:8" x14ac:dyDescent="0.25">
      <c r="E863" t="str">
        <f>""</f>
        <v/>
      </c>
      <c r="F863" t="str">
        <f>""</f>
        <v/>
      </c>
      <c r="H863" t="str">
        <f>"INV 68762706"</f>
        <v>INV 68762706</v>
      </c>
    </row>
    <row r="864" spans="1:8" x14ac:dyDescent="0.25">
      <c r="A864" t="s">
        <v>240</v>
      </c>
      <c r="B864">
        <v>130597</v>
      </c>
      <c r="C864" s="2">
        <v>2020.37</v>
      </c>
      <c r="D864" s="1">
        <v>43857</v>
      </c>
      <c r="E864" t="str">
        <f>"202001214715"</f>
        <v>202001214715</v>
      </c>
      <c r="F864" t="str">
        <f>"INDIGENT HEALTH"</f>
        <v>INDIGENT HEALTH</v>
      </c>
      <c r="G864" s="2">
        <v>2020.37</v>
      </c>
      <c r="H864" t="str">
        <f>"INDIGENT HEALTH"</f>
        <v>INDIGENT HEALTH</v>
      </c>
    </row>
    <row r="865" spans="1:8" x14ac:dyDescent="0.25">
      <c r="E865" t="str">
        <f>""</f>
        <v/>
      </c>
      <c r="F865" t="str">
        <f>""</f>
        <v/>
      </c>
      <c r="H865" t="str">
        <f>"INDIGENT HEALTH"</f>
        <v>INDIGENT HEALTH</v>
      </c>
    </row>
    <row r="866" spans="1:8" x14ac:dyDescent="0.25">
      <c r="A866" t="s">
        <v>241</v>
      </c>
      <c r="B866">
        <v>2002</v>
      </c>
      <c r="C866" s="2">
        <v>2500</v>
      </c>
      <c r="D866" s="1">
        <v>43844</v>
      </c>
      <c r="E866" t="str">
        <f>"202001084576"</f>
        <v>202001084576</v>
      </c>
      <c r="F866" t="str">
        <f>"VET SURG/DEC19 23 30 &amp; JAN2 6"</f>
        <v>VET SURG/DEC19 23 30 &amp; JAN2 6</v>
      </c>
      <c r="G866" s="2">
        <v>2500</v>
      </c>
      <c r="H866" t="str">
        <f>"VET SURG/DEC19 23 30 &amp; JAN2 6"</f>
        <v>VET SURG/DEC19 23 30 &amp; JAN2 6</v>
      </c>
    </row>
    <row r="867" spans="1:8" x14ac:dyDescent="0.25">
      <c r="A867" t="s">
        <v>241</v>
      </c>
      <c r="B867">
        <v>2072</v>
      </c>
      <c r="C867" s="2">
        <v>1500</v>
      </c>
      <c r="D867" s="1">
        <v>43858</v>
      </c>
      <c r="E867" t="str">
        <f>"202001224755"</f>
        <v>202001224755</v>
      </c>
      <c r="F867" t="str">
        <f>"SURG SVCS 01/09 01/13 01/16"</f>
        <v>SURG SVCS 01/09 01/13 01/16</v>
      </c>
      <c r="G867" s="2">
        <v>1500</v>
      </c>
      <c r="H867" t="str">
        <f>"SURG SVCS 01/09 01/13 01/16"</f>
        <v>SURG SVCS 01/09 01/13 01/16</v>
      </c>
    </row>
    <row r="868" spans="1:8" x14ac:dyDescent="0.25">
      <c r="A868" t="s">
        <v>242</v>
      </c>
      <c r="B868">
        <v>2005</v>
      </c>
      <c r="C868" s="2">
        <v>872.2</v>
      </c>
      <c r="D868" s="1">
        <v>43844</v>
      </c>
      <c r="E868" t="str">
        <f>"201912314370"</f>
        <v>201912314370</v>
      </c>
      <c r="F868" t="str">
        <f>"REIMBURSE MEALS/LODGING/REGIST"</f>
        <v>REIMBURSE MEALS/LODGING/REGIST</v>
      </c>
      <c r="G868" s="2">
        <v>265.33999999999997</v>
      </c>
      <c r="H868" t="str">
        <f>"REIMBURSE MEALS/LODGING/REGIST"</f>
        <v>REIMBURSE MEALS/LODGING/REGIST</v>
      </c>
    </row>
    <row r="869" spans="1:8" x14ac:dyDescent="0.25">
      <c r="E869" t="str">
        <f>"201912314371"</f>
        <v>201912314371</v>
      </c>
      <c r="F869" t="str">
        <f>"CONFERENCE REGISTRATION"</f>
        <v>CONFERENCE REGISTRATION</v>
      </c>
      <c r="G869" s="2">
        <v>75</v>
      </c>
      <c r="H869" t="str">
        <f>"CONFERENCE REGISTRATION"</f>
        <v>CONFERENCE REGISTRATION</v>
      </c>
    </row>
    <row r="870" spans="1:8" x14ac:dyDescent="0.25">
      <c r="E870" t="str">
        <f>"201912314372"</f>
        <v>201912314372</v>
      </c>
      <c r="F870" t="str">
        <f>"MILEAGE REIMBURSEMENT"</f>
        <v>MILEAGE REIMBURSEMENT</v>
      </c>
      <c r="G870" s="2">
        <v>305.08</v>
      </c>
      <c r="H870" t="str">
        <f>"MILEAGE REIMBURSEMENT"</f>
        <v>MILEAGE REIMBURSEMENT</v>
      </c>
    </row>
    <row r="871" spans="1:8" x14ac:dyDescent="0.25">
      <c r="E871" t="str">
        <f>"201912314373"</f>
        <v>201912314373</v>
      </c>
      <c r="F871" t="str">
        <f>"MILEAGE REIMBURSEMENT"</f>
        <v>MILEAGE REIMBURSEMENT</v>
      </c>
      <c r="G871" s="2">
        <v>226.78</v>
      </c>
      <c r="H871" t="str">
        <f>"MILEAGE REIMBURSEMENT"</f>
        <v>MILEAGE REIMBURSEMENT</v>
      </c>
    </row>
    <row r="872" spans="1:8" x14ac:dyDescent="0.25">
      <c r="A872" t="s">
        <v>243</v>
      </c>
      <c r="B872">
        <v>1979</v>
      </c>
      <c r="C872" s="2">
        <v>7112.65</v>
      </c>
      <c r="D872" s="1">
        <v>43844</v>
      </c>
      <c r="E872" t="str">
        <f>"21002"</f>
        <v>21002</v>
      </c>
      <c r="F872" t="str">
        <f>"FREIGHT SALES/PCT#2"</f>
        <v>FREIGHT SALES/PCT#2</v>
      </c>
      <c r="G872" s="2">
        <v>719.2</v>
      </c>
      <c r="H872" t="str">
        <f>"FREIGHT SALES/PCT#2"</f>
        <v>FREIGHT SALES/PCT#2</v>
      </c>
    </row>
    <row r="873" spans="1:8" x14ac:dyDescent="0.25">
      <c r="E873" t="str">
        <f>"21174"</f>
        <v>21174</v>
      </c>
      <c r="F873" t="str">
        <f>"FREIGHT SALES/PCT#2"</f>
        <v>FREIGHT SALES/PCT#2</v>
      </c>
      <c r="G873" s="2">
        <v>3189.45</v>
      </c>
      <c r="H873" t="str">
        <f>"FREIGHT SALES/PCT#2"</f>
        <v>FREIGHT SALES/PCT#2</v>
      </c>
    </row>
    <row r="874" spans="1:8" x14ac:dyDescent="0.25">
      <c r="E874" t="str">
        <f>"21223"</f>
        <v>21223</v>
      </c>
      <c r="F874" t="str">
        <f>"FREIGHT SALES/PCT#2"</f>
        <v>FREIGHT SALES/PCT#2</v>
      </c>
      <c r="G874" s="2">
        <v>3204</v>
      </c>
      <c r="H874" t="str">
        <f>"FREIGHT SALES/PCT#2"</f>
        <v>FREIGHT SALES/PCT#2</v>
      </c>
    </row>
    <row r="875" spans="1:8" x14ac:dyDescent="0.25">
      <c r="A875" t="s">
        <v>243</v>
      </c>
      <c r="B875">
        <v>2047</v>
      </c>
      <c r="C875" s="2">
        <v>1451.3</v>
      </c>
      <c r="D875" s="1">
        <v>43858</v>
      </c>
      <c r="E875" t="str">
        <f>"21251"</f>
        <v>21251</v>
      </c>
      <c r="F875" t="str">
        <f>"FREIGHT SALES/PCT#2"</f>
        <v>FREIGHT SALES/PCT#2</v>
      </c>
      <c r="G875" s="2">
        <v>239.8</v>
      </c>
      <c r="H875" t="str">
        <f>"FREIGHT SALES/PCT#2"</f>
        <v>FREIGHT SALES/PCT#2</v>
      </c>
    </row>
    <row r="876" spans="1:8" x14ac:dyDescent="0.25">
      <c r="E876" t="str">
        <f>"21295"</f>
        <v>21295</v>
      </c>
      <c r="F876" t="str">
        <f>"FREIGHT SALES/PCT#2"</f>
        <v>FREIGHT SALES/PCT#2</v>
      </c>
      <c r="G876" s="2">
        <v>619.9</v>
      </c>
      <c r="H876" t="str">
        <f>"FREIGHT SALES/PCT#2"</f>
        <v>FREIGHT SALES/PCT#2</v>
      </c>
    </row>
    <row r="877" spans="1:8" x14ac:dyDescent="0.25">
      <c r="E877" t="str">
        <f>"21339"</f>
        <v>21339</v>
      </c>
      <c r="F877" t="str">
        <f>"FREIGHT SALES / PCT#2"</f>
        <v>FREIGHT SALES / PCT#2</v>
      </c>
      <c r="G877" s="2">
        <v>591.6</v>
      </c>
      <c r="H877" t="str">
        <f>"FREIGHT SALES / PCT#2"</f>
        <v>FREIGHT SALES / PCT#2</v>
      </c>
    </row>
    <row r="878" spans="1:8" x14ac:dyDescent="0.25">
      <c r="A878" t="s">
        <v>244</v>
      </c>
      <c r="B878">
        <v>130446</v>
      </c>
      <c r="C878" s="2">
        <v>60</v>
      </c>
      <c r="D878" s="1">
        <v>43843</v>
      </c>
      <c r="E878" t="str">
        <f>"202001024384"</f>
        <v>202001024384</v>
      </c>
      <c r="F878" t="str">
        <f>"FERAL HOGS"</f>
        <v>FERAL HOGS</v>
      </c>
      <c r="G878" s="2">
        <v>60</v>
      </c>
      <c r="H878" t="str">
        <f>"FERAL HOGS"</f>
        <v>FERAL HOGS</v>
      </c>
    </row>
    <row r="879" spans="1:8" x14ac:dyDescent="0.25">
      <c r="A879" t="s">
        <v>245</v>
      </c>
      <c r="B879">
        <v>130517</v>
      </c>
      <c r="C879" s="2">
        <v>6</v>
      </c>
      <c r="D879" s="1">
        <v>43853</v>
      </c>
      <c r="E879" t="str">
        <f>"202001234814"</f>
        <v>202001234814</v>
      </c>
      <c r="F879" t="str">
        <f>"Miscell"</f>
        <v>Miscell</v>
      </c>
      <c r="G879" s="2">
        <v>6</v>
      </c>
      <c r="H879" t="str">
        <f>"STEVEN JAY SCHARPIRO"</f>
        <v>STEVEN JAY SCHARPIRO</v>
      </c>
    </row>
    <row r="880" spans="1:8" x14ac:dyDescent="0.25">
      <c r="A880" t="s">
        <v>246</v>
      </c>
      <c r="B880">
        <v>130518</v>
      </c>
      <c r="C880" s="2">
        <v>6</v>
      </c>
      <c r="D880" s="1">
        <v>43853</v>
      </c>
      <c r="E880" t="str">
        <f>"202001234815"</f>
        <v>202001234815</v>
      </c>
      <c r="F880" t="str">
        <f>"Miscella"</f>
        <v>Miscella</v>
      </c>
      <c r="G880" s="2">
        <v>6</v>
      </c>
      <c r="H880" t="str">
        <f>"JOHN MILLER SHERMAN"</f>
        <v>JOHN MILLER SHERMAN</v>
      </c>
    </row>
    <row r="881" spans="1:8" x14ac:dyDescent="0.25">
      <c r="A881" t="s">
        <v>247</v>
      </c>
      <c r="B881">
        <v>130519</v>
      </c>
      <c r="C881" s="2">
        <v>6</v>
      </c>
      <c r="D881" s="1">
        <v>43853</v>
      </c>
      <c r="E881" t="str">
        <f>"202001234816"</f>
        <v>202001234816</v>
      </c>
      <c r="F881" t="str">
        <f>"Miscellan"</f>
        <v>Miscellan</v>
      </c>
      <c r="G881" s="2">
        <v>6</v>
      </c>
      <c r="H881" t="str">
        <f>"LILLIAN TRACY RUPP"</f>
        <v>LILLIAN TRACY RUPP</v>
      </c>
    </row>
    <row r="882" spans="1:8" x14ac:dyDescent="0.25">
      <c r="A882" t="s">
        <v>248</v>
      </c>
      <c r="B882">
        <v>130520</v>
      </c>
      <c r="C882" s="2">
        <v>6</v>
      </c>
      <c r="D882" s="1">
        <v>43853</v>
      </c>
      <c r="E882" t="str">
        <f>"202001234817"</f>
        <v>202001234817</v>
      </c>
      <c r="F882" t="str">
        <f>"Miscellan"</f>
        <v>Miscellan</v>
      </c>
      <c r="G882" s="2">
        <v>6</v>
      </c>
      <c r="H882" t="str">
        <f>"MEGAN JOANEE AVERY"</f>
        <v>MEGAN JOANEE AVERY</v>
      </c>
    </row>
    <row r="883" spans="1:8" x14ac:dyDescent="0.25">
      <c r="A883" t="s">
        <v>249</v>
      </c>
      <c r="B883">
        <v>130521</v>
      </c>
      <c r="C883" s="2">
        <v>6</v>
      </c>
      <c r="D883" s="1">
        <v>43853</v>
      </c>
      <c r="E883" t="str">
        <f>"202001234818"</f>
        <v>202001234818</v>
      </c>
      <c r="F883" t="str">
        <f>"Miscellaneo"</f>
        <v>Miscellaneo</v>
      </c>
      <c r="G883" s="2">
        <v>6</v>
      </c>
      <c r="H883" t="str">
        <f>"SARAH MAE MARTIN"</f>
        <v>SARAH MAE MARTIN</v>
      </c>
    </row>
    <row r="884" spans="1:8" x14ac:dyDescent="0.25">
      <c r="A884" t="s">
        <v>250</v>
      </c>
      <c r="B884">
        <v>130522</v>
      </c>
      <c r="C884" s="2">
        <v>6</v>
      </c>
      <c r="D884" s="1">
        <v>43853</v>
      </c>
      <c r="E884" t="str">
        <f>"202001234819"</f>
        <v>202001234819</v>
      </c>
      <c r="F884" t="str">
        <f>"Miscel"</f>
        <v>Miscel</v>
      </c>
      <c r="G884" s="2">
        <v>6</v>
      </c>
      <c r="H884" t="str">
        <f>"EMMANUEL BRAVO CAMPOS"</f>
        <v>EMMANUEL BRAVO CAMPOS</v>
      </c>
    </row>
    <row r="885" spans="1:8" x14ac:dyDescent="0.25">
      <c r="A885" t="s">
        <v>251</v>
      </c>
      <c r="B885">
        <v>130677</v>
      </c>
      <c r="C885" s="2">
        <v>20</v>
      </c>
      <c r="D885" s="1">
        <v>43859</v>
      </c>
      <c r="E885" t="str">
        <f>"202001294840"</f>
        <v>202001294840</v>
      </c>
      <c r="F885" t="str">
        <f>"Miscella"</f>
        <v>Miscella</v>
      </c>
      <c r="G885" s="2">
        <v>20</v>
      </c>
      <c r="H885" t="str">
        <f>"REBECCA JEAN ARDIFF"</f>
        <v>REBECCA JEAN ARDIFF</v>
      </c>
    </row>
    <row r="886" spans="1:8" x14ac:dyDescent="0.25">
      <c r="A886" t="s">
        <v>252</v>
      </c>
      <c r="B886">
        <v>130678</v>
      </c>
      <c r="C886" s="2">
        <v>60</v>
      </c>
      <c r="D886" s="1">
        <v>43859</v>
      </c>
      <c r="E886" t="str">
        <f>"202001294841"</f>
        <v>202001294841</v>
      </c>
      <c r="F886" t="str">
        <f>"Miscellane"</f>
        <v>Miscellane</v>
      </c>
      <c r="G886" s="2">
        <v>60</v>
      </c>
      <c r="H886" t="str">
        <f>"ADRIAN CAVAZOS JR"</f>
        <v>ADRIAN CAVAZOS JR</v>
      </c>
    </row>
    <row r="887" spans="1:8" x14ac:dyDescent="0.25">
      <c r="A887" t="s">
        <v>253</v>
      </c>
      <c r="B887">
        <v>130679</v>
      </c>
      <c r="C887" s="2">
        <v>20</v>
      </c>
      <c r="D887" s="1">
        <v>43859</v>
      </c>
      <c r="E887" t="str">
        <f>"202001294842"</f>
        <v>202001294842</v>
      </c>
      <c r="F887" t="str">
        <f>"Misce"</f>
        <v>Misce</v>
      </c>
      <c r="G887" s="2">
        <v>20</v>
      </c>
      <c r="H887" t="str">
        <f>"MARCELO G TURRUBIARTES"</f>
        <v>MARCELO G TURRUBIARTES</v>
      </c>
    </row>
    <row r="888" spans="1:8" x14ac:dyDescent="0.25">
      <c r="A888" t="s">
        <v>254</v>
      </c>
      <c r="B888">
        <v>130680</v>
      </c>
      <c r="C888" s="2">
        <v>60</v>
      </c>
      <c r="D888" s="1">
        <v>43859</v>
      </c>
      <c r="E888" t="str">
        <f>"202001294843"</f>
        <v>202001294843</v>
      </c>
      <c r="F888" t="str">
        <f>"Miscella"</f>
        <v>Miscella</v>
      </c>
      <c r="G888" s="2">
        <v>60</v>
      </c>
      <c r="H888" t="str">
        <f>"DAVID DEAN STILLSON"</f>
        <v>DAVID DEAN STILLSON</v>
      </c>
    </row>
    <row r="889" spans="1:8" x14ac:dyDescent="0.25">
      <c r="A889" t="s">
        <v>255</v>
      </c>
      <c r="B889">
        <v>130681</v>
      </c>
      <c r="C889" s="2">
        <v>60</v>
      </c>
      <c r="D889" s="1">
        <v>43859</v>
      </c>
      <c r="E889" t="str">
        <f>"202001294844"</f>
        <v>202001294844</v>
      </c>
      <c r="F889" t="str">
        <f>"Mis"</f>
        <v>Mis</v>
      </c>
      <c r="G889" s="2">
        <v>60</v>
      </c>
      <c r="H889" t="str">
        <f>"RONALD HENRY REYNOLDS JR"</f>
        <v>RONALD HENRY REYNOLDS JR</v>
      </c>
    </row>
    <row r="890" spans="1:8" x14ac:dyDescent="0.25">
      <c r="A890" t="s">
        <v>256</v>
      </c>
      <c r="B890">
        <v>130682</v>
      </c>
      <c r="C890" s="2">
        <v>60</v>
      </c>
      <c r="D890" s="1">
        <v>43859</v>
      </c>
      <c r="E890" t="str">
        <f>"202001294845"</f>
        <v>202001294845</v>
      </c>
      <c r="F890" t="str">
        <f>"Misce"</f>
        <v>Misce</v>
      </c>
      <c r="G890" s="2">
        <v>60</v>
      </c>
      <c r="H890" t="str">
        <f>"KELLEY ELIZABETH PRICE"</f>
        <v>KELLEY ELIZABETH PRICE</v>
      </c>
    </row>
    <row r="891" spans="1:8" x14ac:dyDescent="0.25">
      <c r="A891" t="s">
        <v>257</v>
      </c>
      <c r="B891">
        <v>130683</v>
      </c>
      <c r="C891" s="2">
        <v>60</v>
      </c>
      <c r="D891" s="1">
        <v>43859</v>
      </c>
      <c r="E891" t="str">
        <f>"202001294846"</f>
        <v>202001294846</v>
      </c>
      <c r="F891" t="str">
        <f>"Miscellane"</f>
        <v>Miscellane</v>
      </c>
      <c r="G891" s="2">
        <v>60</v>
      </c>
      <c r="H891" t="str">
        <f>"DONNA RUTH NELSON"</f>
        <v>DONNA RUTH NELSON</v>
      </c>
    </row>
    <row r="892" spans="1:8" x14ac:dyDescent="0.25">
      <c r="A892" t="s">
        <v>258</v>
      </c>
      <c r="B892">
        <v>130684</v>
      </c>
      <c r="C892" s="2">
        <v>60</v>
      </c>
      <c r="D892" s="1">
        <v>43859</v>
      </c>
      <c r="E892" t="str">
        <f>"202001294847"</f>
        <v>202001294847</v>
      </c>
      <c r="F892" t="str">
        <f>"Miscel"</f>
        <v>Miscel</v>
      </c>
      <c r="G892" s="2">
        <v>60</v>
      </c>
      <c r="H892" t="str">
        <f>"ROBERT THOMAS MCCARTY"</f>
        <v>ROBERT THOMAS MCCARTY</v>
      </c>
    </row>
    <row r="893" spans="1:8" x14ac:dyDescent="0.25">
      <c r="A893" t="s">
        <v>259</v>
      </c>
      <c r="B893">
        <v>130685</v>
      </c>
      <c r="C893" s="2">
        <v>60</v>
      </c>
      <c r="D893" s="1">
        <v>43859</v>
      </c>
      <c r="E893" t="str">
        <f>"202001294848"</f>
        <v>202001294848</v>
      </c>
      <c r="F893" t="str">
        <f>"Misce"</f>
        <v>Misce</v>
      </c>
      <c r="G893" s="2">
        <v>60</v>
      </c>
      <c r="H893" t="str">
        <f>"ISMAEL TERCERO VASQUEZ"</f>
        <v>ISMAEL TERCERO VASQUEZ</v>
      </c>
    </row>
    <row r="894" spans="1:8" x14ac:dyDescent="0.25">
      <c r="A894" t="s">
        <v>260</v>
      </c>
      <c r="B894">
        <v>130686</v>
      </c>
      <c r="C894" s="2">
        <v>60</v>
      </c>
      <c r="D894" s="1">
        <v>43859</v>
      </c>
      <c r="E894" t="str">
        <f>"202001294849"</f>
        <v>202001294849</v>
      </c>
      <c r="F894" t="str">
        <f>"Miscel"</f>
        <v>Miscel</v>
      </c>
      <c r="G894" s="2">
        <v>60</v>
      </c>
      <c r="H894" t="str">
        <f>"MARINA SYLVIE ROBERTS"</f>
        <v>MARINA SYLVIE ROBERTS</v>
      </c>
    </row>
    <row r="895" spans="1:8" x14ac:dyDescent="0.25">
      <c r="A895" t="s">
        <v>261</v>
      </c>
      <c r="B895">
        <v>130687</v>
      </c>
      <c r="C895" s="2">
        <v>60</v>
      </c>
      <c r="D895" s="1">
        <v>43859</v>
      </c>
      <c r="E895" t="str">
        <f>"202001294850"</f>
        <v>202001294850</v>
      </c>
      <c r="F895" t="str">
        <f>"Miscell"</f>
        <v>Miscell</v>
      </c>
      <c r="G895" s="2">
        <v>60</v>
      </c>
      <c r="H895" t="str">
        <f>"BRIAN DOUGLAS TURNER"</f>
        <v>BRIAN DOUGLAS TURNER</v>
      </c>
    </row>
    <row r="896" spans="1:8" x14ac:dyDescent="0.25">
      <c r="A896" t="s">
        <v>262</v>
      </c>
      <c r="B896">
        <v>130688</v>
      </c>
      <c r="C896" s="2">
        <v>60</v>
      </c>
      <c r="D896" s="1">
        <v>43859</v>
      </c>
      <c r="E896" t="str">
        <f>"202001294851"</f>
        <v>202001294851</v>
      </c>
      <c r="F896" t="str">
        <f>"Mis"</f>
        <v>Mis</v>
      </c>
      <c r="G896" s="2">
        <v>60</v>
      </c>
      <c r="H896" t="str">
        <f>"JENNIFER CASAS-HERNANDEZ"</f>
        <v>JENNIFER CASAS-HERNANDEZ</v>
      </c>
    </row>
    <row r="897" spans="1:8" x14ac:dyDescent="0.25">
      <c r="A897" t="s">
        <v>263</v>
      </c>
      <c r="B897">
        <v>130689</v>
      </c>
      <c r="C897" s="2">
        <v>20</v>
      </c>
      <c r="D897" s="1">
        <v>43859</v>
      </c>
      <c r="E897" t="str">
        <f>"202001294852"</f>
        <v>202001294852</v>
      </c>
      <c r="F897" t="str">
        <f>"Misc"</f>
        <v>Misc</v>
      </c>
      <c r="G897" s="2">
        <v>20</v>
      </c>
      <c r="H897" t="str">
        <f>"STACIA LANETTE CORONADO"</f>
        <v>STACIA LANETTE CORONADO</v>
      </c>
    </row>
    <row r="898" spans="1:8" x14ac:dyDescent="0.25">
      <c r="A898" t="s">
        <v>264</v>
      </c>
      <c r="B898">
        <v>130690</v>
      </c>
      <c r="C898" s="2">
        <v>60</v>
      </c>
      <c r="D898" s="1">
        <v>43859</v>
      </c>
      <c r="E898" t="str">
        <f>"202001294853"</f>
        <v>202001294853</v>
      </c>
      <c r="F898" t="str">
        <f>"Misce"</f>
        <v>Misce</v>
      </c>
      <c r="G898" s="2">
        <v>60</v>
      </c>
      <c r="H898" t="str">
        <f>"JOSHUA MICHAEL RAYMOND"</f>
        <v>JOSHUA MICHAEL RAYMOND</v>
      </c>
    </row>
    <row r="899" spans="1:8" x14ac:dyDescent="0.25">
      <c r="A899" t="s">
        <v>265</v>
      </c>
      <c r="B899">
        <v>130691</v>
      </c>
      <c r="C899" s="2">
        <v>60</v>
      </c>
      <c r="D899" s="1">
        <v>43859</v>
      </c>
      <c r="E899" t="str">
        <f>"202001294854"</f>
        <v>202001294854</v>
      </c>
      <c r="F899" t="str">
        <f>"Miscella"</f>
        <v>Miscella</v>
      </c>
      <c r="G899" s="2">
        <v>60</v>
      </c>
      <c r="H899" t="str">
        <f>"CANDICE LYNN TRENCH"</f>
        <v>CANDICE LYNN TRENCH</v>
      </c>
    </row>
    <row r="900" spans="1:8" x14ac:dyDescent="0.25">
      <c r="A900" t="s">
        <v>266</v>
      </c>
      <c r="B900">
        <v>130692</v>
      </c>
      <c r="C900" s="2">
        <v>60</v>
      </c>
      <c r="D900" s="1">
        <v>43859</v>
      </c>
      <c r="E900" t="str">
        <f>"202001294855"</f>
        <v>202001294855</v>
      </c>
      <c r="F900" t="str">
        <f>"Misc"</f>
        <v>Misc</v>
      </c>
      <c r="G900" s="2">
        <v>60</v>
      </c>
      <c r="H900" t="str">
        <f>"JASON NATHANIEL HAMMONS"</f>
        <v>JASON NATHANIEL HAMMONS</v>
      </c>
    </row>
    <row r="901" spans="1:8" x14ac:dyDescent="0.25">
      <c r="A901" t="s">
        <v>267</v>
      </c>
      <c r="B901">
        <v>130693</v>
      </c>
      <c r="C901" s="2">
        <v>20</v>
      </c>
      <c r="D901" s="1">
        <v>43859</v>
      </c>
      <c r="E901" t="str">
        <f>"202001294856"</f>
        <v>202001294856</v>
      </c>
      <c r="F901" t="str">
        <f>"Miscellane"</f>
        <v>Miscellane</v>
      </c>
      <c r="G901" s="2">
        <v>20</v>
      </c>
      <c r="H901" t="str">
        <f>"LESLIE L ANDERSON"</f>
        <v>LESLIE L ANDERSON</v>
      </c>
    </row>
    <row r="902" spans="1:8" x14ac:dyDescent="0.25">
      <c r="A902" t="s">
        <v>268</v>
      </c>
      <c r="B902">
        <v>130694</v>
      </c>
      <c r="C902" s="2">
        <v>20</v>
      </c>
      <c r="D902" s="1">
        <v>43859</v>
      </c>
      <c r="E902" t="str">
        <f>"202001294857"</f>
        <v>202001294857</v>
      </c>
      <c r="F902" t="str">
        <f>"Miscell"</f>
        <v>Miscell</v>
      </c>
      <c r="G902" s="2">
        <v>20</v>
      </c>
      <c r="H902" t="str">
        <f>"JUAN GONZALEZ DELEON"</f>
        <v>JUAN GONZALEZ DELEON</v>
      </c>
    </row>
    <row r="903" spans="1:8" x14ac:dyDescent="0.25">
      <c r="A903" t="s">
        <v>269</v>
      </c>
      <c r="B903">
        <v>130695</v>
      </c>
      <c r="C903" s="2">
        <v>60</v>
      </c>
      <c r="D903" s="1">
        <v>43859</v>
      </c>
      <c r="E903" t="str">
        <f>"202001294858"</f>
        <v>202001294858</v>
      </c>
      <c r="F903" t="str">
        <f>"Miscellan"</f>
        <v>Miscellan</v>
      </c>
      <c r="G903" s="2">
        <v>60</v>
      </c>
      <c r="H903" t="str">
        <f>"NATHAN HENRY WELLS"</f>
        <v>NATHAN HENRY WELLS</v>
      </c>
    </row>
    <row r="904" spans="1:8" x14ac:dyDescent="0.25">
      <c r="A904" t="s">
        <v>270</v>
      </c>
      <c r="B904">
        <v>130696</v>
      </c>
      <c r="C904" s="2">
        <v>60</v>
      </c>
      <c r="D904" s="1">
        <v>43859</v>
      </c>
      <c r="E904" t="str">
        <f>"202001294859"</f>
        <v>202001294859</v>
      </c>
      <c r="F904" t="str">
        <f>"Miscellaneo"</f>
        <v>Miscellaneo</v>
      </c>
      <c r="G904" s="2">
        <v>60</v>
      </c>
      <c r="H904" t="str">
        <f>"ROBERT JOE GOUGH"</f>
        <v>ROBERT JOE GOUGH</v>
      </c>
    </row>
    <row r="905" spans="1:8" x14ac:dyDescent="0.25">
      <c r="A905" t="s">
        <v>271</v>
      </c>
      <c r="B905">
        <v>130697</v>
      </c>
      <c r="C905" s="2">
        <v>20</v>
      </c>
      <c r="D905" s="1">
        <v>43859</v>
      </c>
      <c r="E905" t="str">
        <f>"202001294860"</f>
        <v>202001294860</v>
      </c>
      <c r="F905" t="str">
        <f>"Misce"</f>
        <v>Misce</v>
      </c>
      <c r="G905" s="2">
        <v>20</v>
      </c>
      <c r="H905" t="str">
        <f>"ENEDINA ESPINOSA ORTIZ"</f>
        <v>ENEDINA ESPINOSA ORTIZ</v>
      </c>
    </row>
    <row r="906" spans="1:8" x14ac:dyDescent="0.25">
      <c r="A906" t="s">
        <v>272</v>
      </c>
      <c r="B906">
        <v>130698</v>
      </c>
      <c r="C906" s="2">
        <v>60</v>
      </c>
      <c r="D906" s="1">
        <v>43859</v>
      </c>
      <c r="E906" t="str">
        <f>"202001294861"</f>
        <v>202001294861</v>
      </c>
      <c r="F906" t="str">
        <f>"M"</f>
        <v>M</v>
      </c>
      <c r="G906" s="2">
        <v>60</v>
      </c>
      <c r="H906" t="str">
        <f>"CHRISTINE LEIGH MCKAY REED"</f>
        <v>CHRISTINE LEIGH MCKAY REED</v>
      </c>
    </row>
    <row r="907" spans="1:8" x14ac:dyDescent="0.25">
      <c r="A907" t="s">
        <v>273</v>
      </c>
      <c r="B907">
        <v>130699</v>
      </c>
      <c r="C907" s="2">
        <v>60</v>
      </c>
      <c r="D907" s="1">
        <v>43859</v>
      </c>
      <c r="E907" t="str">
        <f>"202001294862"</f>
        <v>202001294862</v>
      </c>
      <c r="F907" t="str">
        <f>"Miscella"</f>
        <v>Miscella</v>
      </c>
      <c r="G907" s="2">
        <v>60</v>
      </c>
      <c r="H907" t="str">
        <f>"DONALD C BELCHER JR"</f>
        <v>DONALD C BELCHER JR</v>
      </c>
    </row>
    <row r="908" spans="1:8" x14ac:dyDescent="0.25">
      <c r="A908" t="s">
        <v>274</v>
      </c>
      <c r="B908">
        <v>130700</v>
      </c>
      <c r="C908" s="2">
        <v>60</v>
      </c>
      <c r="D908" s="1">
        <v>43859</v>
      </c>
      <c r="E908" t="str">
        <f>"202001294863"</f>
        <v>202001294863</v>
      </c>
      <c r="F908" t="str">
        <f>"Misce"</f>
        <v>Misce</v>
      </c>
      <c r="G908" s="2">
        <v>60</v>
      </c>
      <c r="H908" t="str">
        <f>"SALLIE SKELLEY BLALOCK"</f>
        <v>SALLIE SKELLEY BLALOCK</v>
      </c>
    </row>
    <row r="909" spans="1:8" x14ac:dyDescent="0.25">
      <c r="A909" t="s">
        <v>275</v>
      </c>
      <c r="B909">
        <v>130701</v>
      </c>
      <c r="C909" s="2">
        <v>60</v>
      </c>
      <c r="D909" s="1">
        <v>43859</v>
      </c>
      <c r="E909" t="str">
        <f>"202001294864"</f>
        <v>202001294864</v>
      </c>
      <c r="F909" t="str">
        <f>"Miscell"</f>
        <v>Miscell</v>
      </c>
      <c r="G909" s="2">
        <v>60</v>
      </c>
      <c r="H909" t="str">
        <f>"ROBERTA ALDRICH RUIZ"</f>
        <v>ROBERTA ALDRICH RUIZ</v>
      </c>
    </row>
    <row r="910" spans="1:8" x14ac:dyDescent="0.25">
      <c r="A910" t="s">
        <v>276</v>
      </c>
      <c r="B910">
        <v>130702</v>
      </c>
      <c r="C910" s="2">
        <v>60</v>
      </c>
      <c r="D910" s="1">
        <v>43859</v>
      </c>
      <c r="E910" t="str">
        <f>"202001294865"</f>
        <v>202001294865</v>
      </c>
      <c r="F910" t="str">
        <f>"Mi"</f>
        <v>Mi</v>
      </c>
      <c r="G910" s="2">
        <v>60</v>
      </c>
      <c r="H910" t="str">
        <f>"TUCKER WITHINGTON BRISCOE"</f>
        <v>TUCKER WITHINGTON BRISCOE</v>
      </c>
    </row>
    <row r="911" spans="1:8" x14ac:dyDescent="0.25">
      <c r="A911" t="s">
        <v>277</v>
      </c>
      <c r="B911">
        <v>130703</v>
      </c>
      <c r="C911" s="2">
        <v>60</v>
      </c>
      <c r="D911" s="1">
        <v>43859</v>
      </c>
      <c r="E911" t="str">
        <f>"202001294866"</f>
        <v>202001294866</v>
      </c>
      <c r="F911" t="str">
        <f>"Miscel"</f>
        <v>Miscel</v>
      </c>
      <c r="G911" s="2">
        <v>60</v>
      </c>
      <c r="H911" t="str">
        <f>"VIRGINIA ROSS BERDOLL"</f>
        <v>VIRGINIA ROSS BERDOLL</v>
      </c>
    </row>
    <row r="912" spans="1:8" x14ac:dyDescent="0.25">
      <c r="A912" t="s">
        <v>278</v>
      </c>
      <c r="B912">
        <v>130704</v>
      </c>
      <c r="C912" s="2">
        <v>60</v>
      </c>
      <c r="D912" s="1">
        <v>43859</v>
      </c>
      <c r="E912" t="str">
        <f>"202001294867"</f>
        <v>202001294867</v>
      </c>
      <c r="F912" t="str">
        <f>"Miscellan"</f>
        <v>Miscellan</v>
      </c>
      <c r="G912" s="2">
        <v>60</v>
      </c>
      <c r="H912" t="str">
        <f>"SANDRA JEAN GOERTZ"</f>
        <v>SANDRA JEAN GOERTZ</v>
      </c>
    </row>
    <row r="913" spans="1:8" x14ac:dyDescent="0.25">
      <c r="A913" t="s">
        <v>279</v>
      </c>
      <c r="B913">
        <v>130705</v>
      </c>
      <c r="C913" s="2">
        <v>60</v>
      </c>
      <c r="D913" s="1">
        <v>43859</v>
      </c>
      <c r="E913" t="str">
        <f>"202001294868"</f>
        <v>202001294868</v>
      </c>
      <c r="F913" t="str">
        <f>"Misc"</f>
        <v>Misc</v>
      </c>
      <c r="G913" s="2">
        <v>60</v>
      </c>
      <c r="H913" t="str">
        <f>"SHANA NICOLE CUNNINGHAM"</f>
        <v>SHANA NICOLE CUNNINGHAM</v>
      </c>
    </row>
    <row r="914" spans="1:8" x14ac:dyDescent="0.25">
      <c r="A914" t="s">
        <v>280</v>
      </c>
      <c r="B914">
        <v>130706</v>
      </c>
      <c r="C914" s="2">
        <v>60</v>
      </c>
      <c r="D914" s="1">
        <v>43859</v>
      </c>
      <c r="E914" t="str">
        <f>"202001294869"</f>
        <v>202001294869</v>
      </c>
      <c r="F914" t="str">
        <f>"Misce"</f>
        <v>Misce</v>
      </c>
      <c r="G914" s="2">
        <v>60</v>
      </c>
      <c r="H914" t="str">
        <f>"BLAKE ROBERT CLAMPFFER"</f>
        <v>BLAKE ROBERT CLAMPFFER</v>
      </c>
    </row>
    <row r="915" spans="1:8" x14ac:dyDescent="0.25">
      <c r="A915" t="s">
        <v>281</v>
      </c>
      <c r="B915">
        <v>130707</v>
      </c>
      <c r="C915" s="2">
        <v>60</v>
      </c>
      <c r="D915" s="1">
        <v>43859</v>
      </c>
      <c r="E915" t="str">
        <f>"202001294870"</f>
        <v>202001294870</v>
      </c>
      <c r="F915" t="str">
        <f>""</f>
        <v/>
      </c>
      <c r="G915" s="2">
        <v>60</v>
      </c>
      <c r="H915" t="str">
        <f>"JONATHAN XAVIER CHAVEZ SANCHEZ"</f>
        <v>JONATHAN XAVIER CHAVEZ SANCHEZ</v>
      </c>
    </row>
    <row r="916" spans="1:8" x14ac:dyDescent="0.25">
      <c r="A916" t="s">
        <v>282</v>
      </c>
      <c r="B916">
        <v>130708</v>
      </c>
      <c r="C916" s="2">
        <v>20</v>
      </c>
      <c r="D916" s="1">
        <v>43859</v>
      </c>
      <c r="E916" t="str">
        <f>"202001294871"</f>
        <v>202001294871</v>
      </c>
      <c r="F916" t="str">
        <f>"Misce"</f>
        <v>Misce</v>
      </c>
      <c r="G916" s="2">
        <v>20</v>
      </c>
      <c r="H916" t="str">
        <f>"KAREN ESQUIVEL GUILLEN"</f>
        <v>KAREN ESQUIVEL GUILLEN</v>
      </c>
    </row>
    <row r="917" spans="1:8" x14ac:dyDescent="0.25">
      <c r="A917" t="s">
        <v>283</v>
      </c>
      <c r="B917">
        <v>130709</v>
      </c>
      <c r="C917" s="2">
        <v>20</v>
      </c>
      <c r="D917" s="1">
        <v>43859</v>
      </c>
      <c r="E917" t="str">
        <f>"202001294872"</f>
        <v>202001294872</v>
      </c>
      <c r="F917" t="str">
        <f>"Miscel"</f>
        <v>Miscel</v>
      </c>
      <c r="G917" s="2">
        <v>20</v>
      </c>
      <c r="H917" t="str">
        <f>"ANTHONY ALFRED DEDEKE"</f>
        <v>ANTHONY ALFRED DEDEKE</v>
      </c>
    </row>
    <row r="918" spans="1:8" x14ac:dyDescent="0.25">
      <c r="A918" t="s">
        <v>284</v>
      </c>
      <c r="B918">
        <v>130710</v>
      </c>
      <c r="C918" s="2">
        <v>60</v>
      </c>
      <c r="D918" s="1">
        <v>43859</v>
      </c>
      <c r="E918" t="str">
        <f>"202001294873"</f>
        <v>202001294873</v>
      </c>
      <c r="F918" t="str">
        <f>"Miscella"</f>
        <v>Miscella</v>
      </c>
      <c r="G918" s="2">
        <v>60</v>
      </c>
      <c r="H918" t="str">
        <f>"HAYDN MCCALL BRUDER"</f>
        <v>HAYDN MCCALL BRUDER</v>
      </c>
    </row>
    <row r="919" spans="1:8" x14ac:dyDescent="0.25">
      <c r="A919" t="s">
        <v>285</v>
      </c>
      <c r="B919">
        <v>130711</v>
      </c>
      <c r="C919" s="2">
        <v>60</v>
      </c>
      <c r="D919" s="1">
        <v>43859</v>
      </c>
      <c r="E919" t="str">
        <f>"202001294874"</f>
        <v>202001294874</v>
      </c>
      <c r="F919" t="str">
        <f>"Miscellaneo"</f>
        <v>Miscellaneo</v>
      </c>
      <c r="G919" s="2">
        <v>60</v>
      </c>
      <c r="H919" t="str">
        <f>"JACKIE VAN EVANS"</f>
        <v>JACKIE VAN EVANS</v>
      </c>
    </row>
    <row r="920" spans="1:8" x14ac:dyDescent="0.25">
      <c r="A920" t="s">
        <v>286</v>
      </c>
      <c r="B920">
        <v>130712</v>
      </c>
      <c r="C920" s="2">
        <v>60</v>
      </c>
      <c r="D920" s="1">
        <v>43859</v>
      </c>
      <c r="E920" t="str">
        <f>"202001294875"</f>
        <v>202001294875</v>
      </c>
      <c r="F920" t="str">
        <f>"Miscell"</f>
        <v>Miscell</v>
      </c>
      <c r="G920" s="2">
        <v>60</v>
      </c>
      <c r="H920" t="str">
        <f>"MARISA JANIRA GARCIA"</f>
        <v>MARISA JANIRA GARCIA</v>
      </c>
    </row>
    <row r="921" spans="1:8" x14ac:dyDescent="0.25">
      <c r="A921" t="s">
        <v>287</v>
      </c>
      <c r="B921">
        <v>130713</v>
      </c>
      <c r="C921" s="2">
        <v>60</v>
      </c>
      <c r="D921" s="1">
        <v>43859</v>
      </c>
      <c r="E921" t="str">
        <f>"202001294876"</f>
        <v>202001294876</v>
      </c>
      <c r="F921" t="str">
        <f>"Misc"</f>
        <v>Misc</v>
      </c>
      <c r="G921" s="2">
        <v>60</v>
      </c>
      <c r="H921" t="str">
        <f>"MICHAEL FRANCIS MCKENNA"</f>
        <v>MICHAEL FRANCIS MCKENNA</v>
      </c>
    </row>
    <row r="922" spans="1:8" x14ac:dyDescent="0.25">
      <c r="A922" t="s">
        <v>288</v>
      </c>
      <c r="B922">
        <v>130714</v>
      </c>
      <c r="C922" s="2">
        <v>20</v>
      </c>
      <c r="D922" s="1">
        <v>43859</v>
      </c>
      <c r="E922" t="str">
        <f>"202001294877"</f>
        <v>202001294877</v>
      </c>
      <c r="F922" t="str">
        <f>"Miscellaneou"</f>
        <v>Miscellaneou</v>
      </c>
      <c r="G922" s="2">
        <v>20</v>
      </c>
      <c r="H922" t="str">
        <f>"MARY DENISE LEE"</f>
        <v>MARY DENISE LEE</v>
      </c>
    </row>
    <row r="923" spans="1:8" x14ac:dyDescent="0.25">
      <c r="A923" t="s">
        <v>289</v>
      </c>
      <c r="B923">
        <v>130715</v>
      </c>
      <c r="C923" s="2">
        <v>60</v>
      </c>
      <c r="D923" s="1">
        <v>43859</v>
      </c>
      <c r="E923" t="str">
        <f>"202001294878"</f>
        <v>202001294878</v>
      </c>
      <c r="F923" t="str">
        <f>"Misce"</f>
        <v>Misce</v>
      </c>
      <c r="G923" s="2">
        <v>60</v>
      </c>
      <c r="H923" t="str">
        <f>"LYNSIE LEIGH LAMBRECHT"</f>
        <v>LYNSIE LEIGH LAMBRECHT</v>
      </c>
    </row>
    <row r="924" spans="1:8" x14ac:dyDescent="0.25">
      <c r="A924" t="s">
        <v>290</v>
      </c>
      <c r="B924">
        <v>130716</v>
      </c>
      <c r="C924" s="2">
        <v>60</v>
      </c>
      <c r="D924" s="1">
        <v>43859</v>
      </c>
      <c r="E924" t="str">
        <f>"202001294879"</f>
        <v>202001294879</v>
      </c>
      <c r="F924" t="str">
        <f>"Miscel"</f>
        <v>Miscel</v>
      </c>
      <c r="G924" s="2">
        <v>60</v>
      </c>
      <c r="H924" t="str">
        <f>"CRAIG EDWARD COSGROVE"</f>
        <v>CRAIG EDWARD COSGROVE</v>
      </c>
    </row>
    <row r="925" spans="1:8" x14ac:dyDescent="0.25">
      <c r="A925" t="s">
        <v>291</v>
      </c>
      <c r="B925">
        <v>130717</v>
      </c>
      <c r="C925" s="2">
        <v>60</v>
      </c>
      <c r="D925" s="1">
        <v>43859</v>
      </c>
      <c r="E925" t="str">
        <f>"202001294880"</f>
        <v>202001294880</v>
      </c>
      <c r="F925" t="str">
        <f>"Misce"</f>
        <v>Misce</v>
      </c>
      <c r="G925" s="2">
        <v>60</v>
      </c>
      <c r="H925" t="str">
        <f>"KENNETH WAYNE WILLIAMS"</f>
        <v>KENNETH WAYNE WILLIAMS</v>
      </c>
    </row>
    <row r="926" spans="1:8" x14ac:dyDescent="0.25">
      <c r="A926" t="s">
        <v>292</v>
      </c>
      <c r="B926">
        <v>130718</v>
      </c>
      <c r="C926" s="2">
        <v>60</v>
      </c>
      <c r="D926" s="1">
        <v>43859</v>
      </c>
      <c r="E926" t="str">
        <f>"202001294881"</f>
        <v>202001294881</v>
      </c>
      <c r="F926" t="str">
        <f>"Misce"</f>
        <v>Misce</v>
      </c>
      <c r="G926" s="2">
        <v>60</v>
      </c>
      <c r="H926" t="str">
        <f>"VICTORIA MAXWELL ALLEN"</f>
        <v>VICTORIA MAXWELL ALLEN</v>
      </c>
    </row>
    <row r="927" spans="1:8" x14ac:dyDescent="0.25">
      <c r="A927" t="s">
        <v>293</v>
      </c>
      <c r="B927">
        <v>130719</v>
      </c>
      <c r="C927" s="2">
        <v>20</v>
      </c>
      <c r="D927" s="1">
        <v>43859</v>
      </c>
      <c r="E927" t="str">
        <f>"202001294882"</f>
        <v>202001294882</v>
      </c>
      <c r="F927" t="str">
        <f>""</f>
        <v/>
      </c>
      <c r="G927" s="2">
        <v>20</v>
      </c>
      <c r="H927" t="str">
        <f>"EDWARD ALEXANDER CONSTANCIO"</f>
        <v>EDWARD ALEXANDER CONSTANCIO</v>
      </c>
    </row>
    <row r="928" spans="1:8" x14ac:dyDescent="0.25">
      <c r="A928" t="s">
        <v>294</v>
      </c>
      <c r="B928">
        <v>130720</v>
      </c>
      <c r="C928" s="2">
        <v>60</v>
      </c>
      <c r="D928" s="1">
        <v>43859</v>
      </c>
      <c r="E928" t="str">
        <f>"202001294883"</f>
        <v>202001294883</v>
      </c>
      <c r="F928" t="str">
        <f>"Miscel"</f>
        <v>Miscel</v>
      </c>
      <c r="G928" s="2">
        <v>60</v>
      </c>
      <c r="H928" t="str">
        <f>"MIGUEL ANGEL DELACRUZ"</f>
        <v>MIGUEL ANGEL DELACRUZ</v>
      </c>
    </row>
    <row r="929" spans="1:8" x14ac:dyDescent="0.25">
      <c r="A929" t="s">
        <v>295</v>
      </c>
      <c r="B929">
        <v>130721</v>
      </c>
      <c r="C929" s="2">
        <v>60</v>
      </c>
      <c r="D929" s="1">
        <v>43859</v>
      </c>
      <c r="E929" t="str">
        <f>"202001294884"</f>
        <v>202001294884</v>
      </c>
      <c r="F929" t="str">
        <f>"Miscellaneous"</f>
        <v>Miscellaneous</v>
      </c>
      <c r="G929" s="2">
        <v>60</v>
      </c>
      <c r="H929" t="str">
        <f>"JO LYNN COHEN"</f>
        <v>JO LYNN COHEN</v>
      </c>
    </row>
    <row r="930" spans="1:8" x14ac:dyDescent="0.25">
      <c r="A930" t="s">
        <v>296</v>
      </c>
      <c r="B930">
        <v>130722</v>
      </c>
      <c r="C930" s="2">
        <v>60</v>
      </c>
      <c r="D930" s="1">
        <v>43859</v>
      </c>
      <c r="E930" t="str">
        <f>"202001294885"</f>
        <v>202001294885</v>
      </c>
      <c r="F930" t="str">
        <f>"Miscellaneous"</f>
        <v>Miscellaneous</v>
      </c>
      <c r="G930" s="2">
        <v>60</v>
      </c>
      <c r="H930" t="str">
        <f>"ROSA ELIA PENA"</f>
        <v>ROSA ELIA PENA</v>
      </c>
    </row>
    <row r="931" spans="1:8" x14ac:dyDescent="0.25">
      <c r="A931" t="s">
        <v>297</v>
      </c>
      <c r="B931">
        <v>130723</v>
      </c>
      <c r="C931" s="2">
        <v>60</v>
      </c>
      <c r="D931" s="1">
        <v>43859</v>
      </c>
      <c r="E931" t="str">
        <f>"202001294886"</f>
        <v>202001294886</v>
      </c>
      <c r="F931" t="str">
        <f>"Misc"</f>
        <v>Misc</v>
      </c>
      <c r="G931" s="2">
        <v>60</v>
      </c>
      <c r="H931" t="str">
        <f>"JACQUILINE DENISE MEIER"</f>
        <v>JACQUILINE DENISE MEIER</v>
      </c>
    </row>
    <row r="932" spans="1:8" x14ac:dyDescent="0.25">
      <c r="A932" t="s">
        <v>298</v>
      </c>
      <c r="B932">
        <v>130724</v>
      </c>
      <c r="C932" s="2">
        <v>60</v>
      </c>
      <c r="D932" s="1">
        <v>43859</v>
      </c>
      <c r="E932" t="str">
        <f>"202001294887"</f>
        <v>202001294887</v>
      </c>
      <c r="F932" t="str">
        <f>"Miscell"</f>
        <v>Miscell</v>
      </c>
      <c r="G932" s="2">
        <v>60</v>
      </c>
      <c r="H932" t="str">
        <f>"MARCUS WILLIAM GAIPO"</f>
        <v>MARCUS WILLIAM GAIPO</v>
      </c>
    </row>
    <row r="933" spans="1:8" x14ac:dyDescent="0.25">
      <c r="A933" t="s">
        <v>299</v>
      </c>
      <c r="B933">
        <v>130598</v>
      </c>
      <c r="C933" s="2">
        <v>3423.5</v>
      </c>
      <c r="D933" s="1">
        <v>43857</v>
      </c>
      <c r="E933" t="str">
        <f>"202001174691"</f>
        <v>202001174691</v>
      </c>
      <c r="F933" t="str">
        <f>"11-14658"</f>
        <v>11-14658</v>
      </c>
      <c r="G933" s="2">
        <v>3423.5</v>
      </c>
      <c r="H933" t="str">
        <f>"11-14658"</f>
        <v>11-14658</v>
      </c>
    </row>
    <row r="934" spans="1:8" x14ac:dyDescent="0.25">
      <c r="A934" t="s">
        <v>300</v>
      </c>
      <c r="B934">
        <v>130447</v>
      </c>
      <c r="C934" s="2">
        <v>2378.25</v>
      </c>
      <c r="D934" s="1">
        <v>43843</v>
      </c>
      <c r="E934" t="str">
        <f>"16083647"</f>
        <v>16083647</v>
      </c>
      <c r="F934" t="str">
        <f>"APX 6000 Antennas"</f>
        <v>APX 6000 Antennas</v>
      </c>
      <c r="G934" s="2">
        <v>180</v>
      </c>
      <c r="H934" t="str">
        <f>"Item# NAF5085A"</f>
        <v>Item# NAF5085A</v>
      </c>
    </row>
    <row r="935" spans="1:8" x14ac:dyDescent="0.25">
      <c r="E935" t="str">
        <f>"202001074520"</f>
        <v>202001074520</v>
      </c>
      <c r="F935" t="str">
        <f>"Radio Batteries &amp; Antenna"</f>
        <v>Radio Batteries &amp; Antenna</v>
      </c>
      <c r="G935" s="2">
        <v>2198.25</v>
      </c>
      <c r="H935" t="str">
        <f>"8505241U11"</f>
        <v>8505241U11</v>
      </c>
    </row>
    <row r="936" spans="1:8" x14ac:dyDescent="0.25">
      <c r="E936" t="str">
        <f>""</f>
        <v/>
      </c>
      <c r="F936" t="str">
        <f>""</f>
        <v/>
      </c>
      <c r="H936" t="str">
        <f>"PMNN4454AR"</f>
        <v>PMNN4454AR</v>
      </c>
    </row>
    <row r="937" spans="1:8" x14ac:dyDescent="0.25">
      <c r="A937" t="s">
        <v>300</v>
      </c>
      <c r="B937">
        <v>130599</v>
      </c>
      <c r="C937" s="2">
        <v>20769.310000000001</v>
      </c>
      <c r="D937" s="1">
        <v>43857</v>
      </c>
      <c r="E937" t="str">
        <f>"8230253313"</f>
        <v>8230253313</v>
      </c>
      <c r="F937" t="str">
        <f>"ACCT#1036215277"</f>
        <v>ACCT#1036215277</v>
      </c>
      <c r="G937" s="2">
        <v>20769.310000000001</v>
      </c>
      <c r="H937" t="str">
        <f>"ACCT#1036215277"</f>
        <v>ACCT#1036215277</v>
      </c>
    </row>
    <row r="938" spans="1:8" x14ac:dyDescent="0.25">
      <c r="A938" t="s">
        <v>301</v>
      </c>
      <c r="B938">
        <v>130600</v>
      </c>
      <c r="C938" s="2">
        <v>300</v>
      </c>
      <c r="D938" s="1">
        <v>43857</v>
      </c>
      <c r="E938" t="str">
        <f>"202001214709"</f>
        <v>202001214709</v>
      </c>
      <c r="F938" t="str">
        <f>"REIMBURSE COUPON CODES"</f>
        <v>REIMBURSE COUPON CODES</v>
      </c>
      <c r="G938" s="2">
        <v>300</v>
      </c>
      <c r="H938" t="str">
        <f>"REIMBURSE COUPON CODES"</f>
        <v>REIMBURSE COUPON CODES</v>
      </c>
    </row>
    <row r="939" spans="1:8" x14ac:dyDescent="0.25">
      <c r="A939" t="s">
        <v>302</v>
      </c>
      <c r="B939">
        <v>1992</v>
      </c>
      <c r="C939" s="2">
        <v>10553.85</v>
      </c>
      <c r="D939" s="1">
        <v>43844</v>
      </c>
      <c r="E939" t="str">
        <f>"A033341"</f>
        <v>A033341</v>
      </c>
      <c r="F939" t="str">
        <f>"CUST#1006635/OEM"</f>
        <v>CUST#1006635/OEM</v>
      </c>
      <c r="G939" s="2">
        <v>4499.55</v>
      </c>
      <c r="H939" t="str">
        <f>"CUST#1006635/OEM"</f>
        <v>CUST#1006635/OEM</v>
      </c>
    </row>
    <row r="940" spans="1:8" x14ac:dyDescent="0.25">
      <c r="E940" t="str">
        <f>"A033444"</f>
        <v>A033444</v>
      </c>
      <c r="F940" t="str">
        <f>"WORK ORD#AO33444/OEM"</f>
        <v>WORK ORD#AO33444/OEM</v>
      </c>
      <c r="G940" s="2">
        <v>3186.35</v>
      </c>
      <c r="H940" t="str">
        <f>"WORK ORD#AO33444/OEM"</f>
        <v>WORK ORD#AO33444/OEM</v>
      </c>
    </row>
    <row r="941" spans="1:8" x14ac:dyDescent="0.25">
      <c r="E941" t="str">
        <f>"A33444A"</f>
        <v>A33444A</v>
      </c>
      <c r="F941" t="str">
        <f>"CUST#1006635/OEM"</f>
        <v>CUST#1006635/OEM</v>
      </c>
      <c r="G941" s="2">
        <v>2867.95</v>
      </c>
      <c r="H941" t="str">
        <f>"CUST#1006635/OEM"</f>
        <v>CUST#1006635/OEM</v>
      </c>
    </row>
    <row r="942" spans="1:8" x14ac:dyDescent="0.25">
      <c r="A942" t="s">
        <v>303</v>
      </c>
      <c r="B942">
        <v>130601</v>
      </c>
      <c r="C942" s="2">
        <v>902.95</v>
      </c>
      <c r="D942" s="1">
        <v>43857</v>
      </c>
      <c r="E942" t="str">
        <f>"86788353"</f>
        <v>86788353</v>
      </c>
      <c r="F942" t="str">
        <f>"ACCT#150344157/WATER TRMT SVCS"</f>
        <v>ACCT#150344157/WATER TRMT SVCS</v>
      </c>
      <c r="G942" s="2">
        <v>902.95</v>
      </c>
      <c r="H942" t="str">
        <f>"ACCT#150344157/WATER TRMT SVCS"</f>
        <v>ACCT#150344157/WATER TRMT SVCS</v>
      </c>
    </row>
    <row r="943" spans="1:8" x14ac:dyDescent="0.25">
      <c r="A943" t="s">
        <v>304</v>
      </c>
      <c r="B943">
        <v>130448</v>
      </c>
      <c r="C943" s="2">
        <v>467.5</v>
      </c>
      <c r="D943" s="1">
        <v>43843</v>
      </c>
      <c r="E943" t="str">
        <f>"202001074518"</f>
        <v>202001074518</v>
      </c>
      <c r="F943" t="str">
        <f>"JOB 12-30-19-01"</f>
        <v>JOB 12-30-19-01</v>
      </c>
      <c r="G943" s="2">
        <v>212.5</v>
      </c>
      <c r="H943" t="str">
        <f>"JOB 12-30-19-01"</f>
        <v>JOB 12-30-19-01</v>
      </c>
    </row>
    <row r="944" spans="1:8" x14ac:dyDescent="0.25">
      <c r="E944" t="str">
        <f>"202001074519"</f>
        <v>202001074519</v>
      </c>
      <c r="F944" t="str">
        <f>"JOB 12-17-19-01"</f>
        <v>JOB 12-17-19-01</v>
      </c>
      <c r="G944" s="2">
        <v>255</v>
      </c>
      <c r="H944" t="str">
        <f>"JOB 12-17-19-01"</f>
        <v>JOB 12-17-19-01</v>
      </c>
    </row>
    <row r="945" spans="1:8" x14ac:dyDescent="0.25">
      <c r="A945" t="s">
        <v>304</v>
      </c>
      <c r="B945">
        <v>130602</v>
      </c>
      <c r="C945" s="2">
        <v>340</v>
      </c>
      <c r="D945" s="1">
        <v>43857</v>
      </c>
      <c r="E945" t="str">
        <f>"01-10-20-01"</f>
        <v>01-10-20-01</v>
      </c>
      <c r="F945" t="str">
        <f>"JOB 01-10-20-01"</f>
        <v>JOB 01-10-20-01</v>
      </c>
      <c r="G945" s="2">
        <v>340</v>
      </c>
      <c r="H945" t="str">
        <f>"JOB 01-10-20-01"</f>
        <v>JOB 01-10-20-01</v>
      </c>
    </row>
    <row r="946" spans="1:8" x14ac:dyDescent="0.25">
      <c r="A946" t="s">
        <v>305</v>
      </c>
      <c r="B946">
        <v>130449</v>
      </c>
      <c r="C946" s="2">
        <v>50</v>
      </c>
      <c r="D946" s="1">
        <v>43843</v>
      </c>
      <c r="E946" t="str">
        <f>"202001064396"</f>
        <v>202001064396</v>
      </c>
      <c r="F946" t="str">
        <f>"REFUND DUE"</f>
        <v>REFUND DUE</v>
      </c>
      <c r="G946" s="2">
        <v>50</v>
      </c>
      <c r="H946" t="str">
        <f>"REFUND DUE"</f>
        <v>REFUND DUE</v>
      </c>
    </row>
    <row r="947" spans="1:8" x14ac:dyDescent="0.25">
      <c r="A947" t="s">
        <v>306</v>
      </c>
      <c r="B947">
        <v>1972</v>
      </c>
      <c r="C947" s="2">
        <v>9281.77</v>
      </c>
      <c r="D947" s="1">
        <v>43844</v>
      </c>
      <c r="E947" t="str">
        <f>"IN0834045"</f>
        <v>IN0834045</v>
      </c>
      <c r="F947" t="str">
        <f>"INV IN0834045"</f>
        <v>INV IN0834045</v>
      </c>
      <c r="G947" s="2">
        <v>4836.13</v>
      </c>
      <c r="H947" t="str">
        <f>"INV IN0834045"</f>
        <v>INV IN0834045</v>
      </c>
    </row>
    <row r="948" spans="1:8" x14ac:dyDescent="0.25">
      <c r="E948" t="str">
        <f>"IN0834338"</f>
        <v>IN0834338</v>
      </c>
      <c r="F948" t="str">
        <f>"INV IN0834338"</f>
        <v>INV IN0834338</v>
      </c>
      <c r="G948" s="2">
        <v>4445.6400000000003</v>
      </c>
      <c r="H948" t="str">
        <f>"INV IN0834338"</f>
        <v>INV IN0834338</v>
      </c>
    </row>
    <row r="949" spans="1:8" x14ac:dyDescent="0.25">
      <c r="A949" t="s">
        <v>306</v>
      </c>
      <c r="B949">
        <v>2038</v>
      </c>
      <c r="C949" s="2">
        <v>3259.36</v>
      </c>
      <c r="D949" s="1">
        <v>43858</v>
      </c>
      <c r="E949" t="str">
        <f>"IN0834754"</f>
        <v>IN0834754</v>
      </c>
      <c r="F949" t="str">
        <f>"INV IN0834754"</f>
        <v>INV IN0834754</v>
      </c>
      <c r="G949" s="2">
        <v>3259.36</v>
      </c>
      <c r="H949" t="str">
        <f>"INV IN0834754"</f>
        <v>INV IN0834754</v>
      </c>
    </row>
    <row r="950" spans="1:8" x14ac:dyDescent="0.25">
      <c r="A950" t="s">
        <v>307</v>
      </c>
      <c r="B950">
        <v>130603</v>
      </c>
      <c r="C950" s="2">
        <v>500</v>
      </c>
      <c r="D950" s="1">
        <v>43857</v>
      </c>
      <c r="E950" t="str">
        <f>"1527"</f>
        <v>1527</v>
      </c>
      <c r="F950" t="str">
        <f>"INV 1527"</f>
        <v>INV 1527</v>
      </c>
      <c r="G950" s="2">
        <v>500</v>
      </c>
      <c r="H950" t="str">
        <f>"INV 1527"</f>
        <v>INV 1527</v>
      </c>
    </row>
    <row r="951" spans="1:8" x14ac:dyDescent="0.25">
      <c r="A951" t="s">
        <v>308</v>
      </c>
      <c r="B951">
        <v>130604</v>
      </c>
      <c r="C951" s="2">
        <v>2502</v>
      </c>
      <c r="D951" s="1">
        <v>43857</v>
      </c>
      <c r="E951" t="str">
        <f>"9752"</f>
        <v>9752</v>
      </c>
      <c r="F951" t="str">
        <f>"EQUIPMENT WARRANTY &amp; SOFTWARE"</f>
        <v>EQUIPMENT WARRANTY &amp; SOFTWARE</v>
      </c>
      <c r="G951" s="2">
        <v>2502</v>
      </c>
      <c r="H951" t="str">
        <f>"EQUIPMENT WARRANTY &amp; SOFTWARE"</f>
        <v>EQUIPMENT WARRANTY &amp; SOFTWARE</v>
      </c>
    </row>
    <row r="952" spans="1:8" x14ac:dyDescent="0.25">
      <c r="A952" t="s">
        <v>309</v>
      </c>
      <c r="B952">
        <v>130450</v>
      </c>
      <c r="C952" s="2">
        <v>70</v>
      </c>
      <c r="D952" s="1">
        <v>43843</v>
      </c>
      <c r="E952" t="str">
        <f>"202001024385"</f>
        <v>202001024385</v>
      </c>
      <c r="F952" t="str">
        <f>"FERAL HOGS"</f>
        <v>FERAL HOGS</v>
      </c>
      <c r="G952" s="2">
        <v>70</v>
      </c>
      <c r="H952" t="str">
        <f>"FERAL HOGS"</f>
        <v>FERAL HOGS</v>
      </c>
    </row>
    <row r="953" spans="1:8" x14ac:dyDescent="0.25">
      <c r="A953" t="s">
        <v>310</v>
      </c>
      <c r="B953">
        <v>2027</v>
      </c>
      <c r="C953" s="2">
        <v>61.74</v>
      </c>
      <c r="D953" s="1">
        <v>43844</v>
      </c>
      <c r="E953" t="str">
        <f>"202001074433"</f>
        <v>202001074433</v>
      </c>
      <c r="F953" t="str">
        <f>"CUST#99088/PCT#4"</f>
        <v>CUST#99088/PCT#4</v>
      </c>
      <c r="G953" s="2">
        <v>61.74</v>
      </c>
      <c r="H953" t="str">
        <f>"CUST#99088/PCT#4"</f>
        <v>CUST#99088/PCT#4</v>
      </c>
    </row>
    <row r="954" spans="1:8" x14ac:dyDescent="0.25">
      <c r="A954" t="s">
        <v>310</v>
      </c>
      <c r="B954">
        <v>2104</v>
      </c>
      <c r="C954" s="2">
        <v>5.22</v>
      </c>
      <c r="D954" s="1">
        <v>43858</v>
      </c>
      <c r="E954" t="str">
        <f>"0581108198"</f>
        <v>0581108198</v>
      </c>
      <c r="F954" t="str">
        <f>"TRANS 0581108198"</f>
        <v>TRANS 0581108198</v>
      </c>
      <c r="G954" s="2">
        <v>5.22</v>
      </c>
      <c r="H954" t="str">
        <f>"TRANS 0581108198"</f>
        <v>TRANS 0581108198</v>
      </c>
    </row>
    <row r="955" spans="1:8" x14ac:dyDescent="0.25">
      <c r="A955" t="s">
        <v>311</v>
      </c>
      <c r="B955">
        <v>130451</v>
      </c>
      <c r="C955" s="2">
        <v>1518.51</v>
      </c>
      <c r="D955" s="1">
        <v>43843</v>
      </c>
      <c r="E955" t="str">
        <f>"1829103 1833348 40"</f>
        <v>1829103 1833348 40</v>
      </c>
      <c r="F955" t="str">
        <f>"INV 1829103"</f>
        <v>INV 1829103</v>
      </c>
      <c r="G955" s="2">
        <v>1518.51</v>
      </c>
      <c r="H955" t="str">
        <f>"INV 1829103"</f>
        <v>INV 1829103</v>
      </c>
    </row>
    <row r="956" spans="1:8" x14ac:dyDescent="0.25">
      <c r="E956" t="str">
        <f>""</f>
        <v/>
      </c>
      <c r="F956" t="str">
        <f>""</f>
        <v/>
      </c>
      <c r="H956" t="str">
        <f>"INV 1833348"</f>
        <v>INV 1833348</v>
      </c>
    </row>
    <row r="957" spans="1:8" x14ac:dyDescent="0.25">
      <c r="E957" t="str">
        <f>""</f>
        <v/>
      </c>
      <c r="F957" t="str">
        <f>""</f>
        <v/>
      </c>
      <c r="H957" t="str">
        <f>"INV 40181792"</f>
        <v>INV 40181792</v>
      </c>
    </row>
    <row r="958" spans="1:8" x14ac:dyDescent="0.25">
      <c r="A958" t="s">
        <v>311</v>
      </c>
      <c r="B958">
        <v>130605</v>
      </c>
      <c r="C958" s="2">
        <v>972</v>
      </c>
      <c r="D958" s="1">
        <v>43857</v>
      </c>
      <c r="E958" t="str">
        <f>"1844430  1851225"</f>
        <v>1844430  1851225</v>
      </c>
      <c r="F958" t="str">
        <f>"INV 1844430"</f>
        <v>INV 1844430</v>
      </c>
      <c r="G958" s="2">
        <v>972</v>
      </c>
      <c r="H958" t="str">
        <f>"INV 1844430"</f>
        <v>INV 1844430</v>
      </c>
    </row>
    <row r="959" spans="1:8" x14ac:dyDescent="0.25">
      <c r="E959" t="str">
        <f>""</f>
        <v/>
      </c>
      <c r="F959" t="str">
        <f>""</f>
        <v/>
      </c>
      <c r="H959" t="str">
        <f>"INV 1851225"</f>
        <v>INV 1851225</v>
      </c>
    </row>
    <row r="960" spans="1:8" x14ac:dyDescent="0.25">
      <c r="A960" t="s">
        <v>312</v>
      </c>
      <c r="B960">
        <v>130452</v>
      </c>
      <c r="C960" s="2">
        <v>1126.81</v>
      </c>
      <c r="D960" s="1">
        <v>43843</v>
      </c>
      <c r="E960" t="str">
        <f>"13385500"</f>
        <v>13385500</v>
      </c>
      <c r="F960" t="str">
        <f>"bill# 13385500"</f>
        <v>bill# 13385500</v>
      </c>
      <c r="G960" s="2">
        <v>938.97</v>
      </c>
      <c r="H960" t="str">
        <f>"Ord# 411683056001"</f>
        <v>Ord# 411683056001</v>
      </c>
    </row>
    <row r="961" spans="1:8" x14ac:dyDescent="0.25">
      <c r="E961" t="str">
        <f>""</f>
        <v/>
      </c>
      <c r="F961" t="str">
        <f>""</f>
        <v/>
      </c>
      <c r="H961" t="str">
        <f>"Ord# 411654252001"</f>
        <v>Ord# 411654252001</v>
      </c>
    </row>
    <row r="962" spans="1:8" x14ac:dyDescent="0.25">
      <c r="E962" t="str">
        <f>""</f>
        <v/>
      </c>
      <c r="F962" t="str">
        <f>""</f>
        <v/>
      </c>
      <c r="H962" t="str">
        <f>"Ord# 410720992001"</f>
        <v>Ord# 410720992001</v>
      </c>
    </row>
    <row r="963" spans="1:8" x14ac:dyDescent="0.25">
      <c r="E963" t="str">
        <f>""</f>
        <v/>
      </c>
      <c r="F963" t="str">
        <f>""</f>
        <v/>
      </c>
      <c r="H963" t="str">
        <f>"Ord# 410725678001"</f>
        <v>Ord# 410725678001</v>
      </c>
    </row>
    <row r="964" spans="1:8" x14ac:dyDescent="0.25">
      <c r="E964" t="str">
        <f>""</f>
        <v/>
      </c>
      <c r="F964" t="str">
        <f>""</f>
        <v/>
      </c>
      <c r="H964" t="str">
        <f>"Ord# 412131412001"</f>
        <v>Ord# 412131412001</v>
      </c>
    </row>
    <row r="965" spans="1:8" x14ac:dyDescent="0.25">
      <c r="E965" t="str">
        <f>""</f>
        <v/>
      </c>
      <c r="F965" t="str">
        <f>""</f>
        <v/>
      </c>
      <c r="H965" t="str">
        <f>"Ord# 418436509001"</f>
        <v>Ord# 418436509001</v>
      </c>
    </row>
    <row r="966" spans="1:8" x14ac:dyDescent="0.25">
      <c r="E966" t="str">
        <f>""</f>
        <v/>
      </c>
      <c r="F966" t="str">
        <f>""</f>
        <v/>
      </c>
      <c r="H966" t="str">
        <f>"Ord# 418437005001"</f>
        <v>Ord# 418437005001</v>
      </c>
    </row>
    <row r="967" spans="1:8" x14ac:dyDescent="0.25">
      <c r="E967" t="str">
        <f>""</f>
        <v/>
      </c>
      <c r="F967" t="str">
        <f>""</f>
        <v/>
      </c>
      <c r="H967" t="str">
        <f>"Ord# 411830211001"</f>
        <v>Ord# 411830211001</v>
      </c>
    </row>
    <row r="968" spans="1:8" x14ac:dyDescent="0.25">
      <c r="E968" t="str">
        <f>""</f>
        <v/>
      </c>
      <c r="F968" t="str">
        <f>""</f>
        <v/>
      </c>
      <c r="H968" t="str">
        <f>"Ord# 411831053001"</f>
        <v>Ord# 411831053001</v>
      </c>
    </row>
    <row r="969" spans="1:8" x14ac:dyDescent="0.25">
      <c r="E969" t="str">
        <f>""</f>
        <v/>
      </c>
      <c r="F969" t="str">
        <f>""</f>
        <v/>
      </c>
      <c r="H969" t="str">
        <f>"Ord# 413035514001"</f>
        <v>Ord# 413035514001</v>
      </c>
    </row>
    <row r="970" spans="1:8" x14ac:dyDescent="0.25">
      <c r="E970" t="str">
        <f>""</f>
        <v/>
      </c>
      <c r="F970" t="str">
        <f>""</f>
        <v/>
      </c>
      <c r="H970" t="str">
        <f>"Ord# 418181624001"</f>
        <v>Ord# 418181624001</v>
      </c>
    </row>
    <row r="971" spans="1:8" x14ac:dyDescent="0.25">
      <c r="E971" t="str">
        <f>""</f>
        <v/>
      </c>
      <c r="F971" t="str">
        <f>""</f>
        <v/>
      </c>
      <c r="H971" t="str">
        <f>"Ord# 418207306001"</f>
        <v>Ord# 418207306001</v>
      </c>
    </row>
    <row r="972" spans="1:8" x14ac:dyDescent="0.25">
      <c r="E972" t="str">
        <f>"419320689001"</f>
        <v>419320689001</v>
      </c>
      <c r="F972" t="str">
        <f>"bill# 13560688"</f>
        <v>bill# 13560688</v>
      </c>
      <c r="G972" s="2">
        <v>187.84</v>
      </c>
      <c r="H972" t="str">
        <f>"ord# 419320689001"</f>
        <v>ord# 419320689001</v>
      </c>
    </row>
    <row r="973" spans="1:8" x14ac:dyDescent="0.25">
      <c r="E973" t="str">
        <f>""</f>
        <v/>
      </c>
      <c r="F973" t="str">
        <f>""</f>
        <v/>
      </c>
      <c r="H973" t="str">
        <f>"bill# 13560688425157"</f>
        <v>bill# 13560688425157</v>
      </c>
    </row>
    <row r="974" spans="1:8" x14ac:dyDescent="0.25">
      <c r="E974" t="str">
        <f>""</f>
        <v/>
      </c>
      <c r="F974" t="str">
        <f>""</f>
        <v/>
      </c>
      <c r="H974" t="str">
        <f>"ord# 422217828001"</f>
        <v>ord# 422217828001</v>
      </c>
    </row>
    <row r="975" spans="1:8" x14ac:dyDescent="0.25">
      <c r="E975" t="str">
        <f>""</f>
        <v/>
      </c>
      <c r="F975" t="str">
        <f>""</f>
        <v/>
      </c>
      <c r="H975" t="str">
        <f>"bill# 13560688419357"</f>
        <v>bill# 13560688419357</v>
      </c>
    </row>
    <row r="976" spans="1:8" x14ac:dyDescent="0.25">
      <c r="A976" t="s">
        <v>313</v>
      </c>
      <c r="B976">
        <v>130606</v>
      </c>
      <c r="C976" s="2">
        <v>2598</v>
      </c>
      <c r="D976" s="1">
        <v>43857</v>
      </c>
      <c r="E976" t="str">
        <f>"008011"</f>
        <v>008011</v>
      </c>
      <c r="F976" t="str">
        <f>"4TH QTR ACTIVITY-MISDEMEANOR"</f>
        <v>4TH QTR ACTIVITY-MISDEMEANOR</v>
      </c>
      <c r="G976" s="2">
        <v>12</v>
      </c>
      <c r="H976" t="str">
        <f>"4TH QTR ACTIVITY-MISDEMEANOR"</f>
        <v>4TH QTR ACTIVITY-MISDEMEANOR</v>
      </c>
    </row>
    <row r="977" spans="1:8" x14ac:dyDescent="0.25">
      <c r="E977" t="str">
        <f>"419-001011"</f>
        <v>419-001011</v>
      </c>
      <c r="F977" t="str">
        <f>"4TH QTR ACTIVITY-PCT#1"</f>
        <v>4TH QTR ACTIVITY-PCT#1</v>
      </c>
      <c r="G977" s="2">
        <v>546</v>
      </c>
      <c r="H977" t="str">
        <f>"4TH QTR ACTIVITY-PCT#1"</f>
        <v>4TH QTR ACTIVITY-PCT#1</v>
      </c>
    </row>
    <row r="978" spans="1:8" x14ac:dyDescent="0.25">
      <c r="E978" t="str">
        <f>"419-002011"</f>
        <v>419-002011</v>
      </c>
      <c r="F978" t="str">
        <f>"4TH QTR ACTIVITY-PCT#2"</f>
        <v>4TH QTR ACTIVITY-PCT#2</v>
      </c>
      <c r="G978" s="2">
        <v>960</v>
      </c>
      <c r="H978" t="str">
        <f>"4TH QTR ACTIVITY-PCT#2"</f>
        <v>4TH QTR ACTIVITY-PCT#2</v>
      </c>
    </row>
    <row r="979" spans="1:8" x14ac:dyDescent="0.25">
      <c r="E979" t="str">
        <f>"419-003011"</f>
        <v>419-003011</v>
      </c>
      <c r="F979" t="str">
        <f>"4TH QTR ACTIVITY/PCT#3"</f>
        <v>4TH QTR ACTIVITY/PCT#3</v>
      </c>
      <c r="G979" s="2">
        <v>648</v>
      </c>
      <c r="H979" t="str">
        <f>"4TH QTR ACTIVITY/PCT#3"</f>
        <v>4TH QTR ACTIVITY/PCT#3</v>
      </c>
    </row>
    <row r="980" spans="1:8" x14ac:dyDescent="0.25">
      <c r="E980" t="str">
        <f>"419-004011"</f>
        <v>419-004011</v>
      </c>
      <c r="F980" t="str">
        <f>"4TH QTR ACTIVITY-PCT#4"</f>
        <v>4TH QTR ACTIVITY-PCT#4</v>
      </c>
      <c r="G980" s="2">
        <v>432</v>
      </c>
      <c r="H980" t="str">
        <f>"4TH QTR ACTIVITY-PCT#4"</f>
        <v>4TH QTR ACTIVITY-PCT#4</v>
      </c>
    </row>
    <row r="981" spans="1:8" x14ac:dyDescent="0.25">
      <c r="A981" t="s">
        <v>314</v>
      </c>
      <c r="B981">
        <v>130453</v>
      </c>
      <c r="C981" s="2">
        <v>1615</v>
      </c>
      <c r="D981" s="1">
        <v>43843</v>
      </c>
      <c r="E981" t="str">
        <f>"762"</f>
        <v>762</v>
      </c>
      <c r="F981" t="str">
        <f>"PLUMBING SVCS"</f>
        <v>PLUMBING SVCS</v>
      </c>
      <c r="G981" s="2">
        <v>1615</v>
      </c>
      <c r="H981" t="str">
        <f>"PLUMBING SVCS"</f>
        <v>PLUMBING SVCS</v>
      </c>
    </row>
    <row r="982" spans="1:8" x14ac:dyDescent="0.25">
      <c r="A982" t="s">
        <v>314</v>
      </c>
      <c r="B982">
        <v>130607</v>
      </c>
      <c r="C982" s="2">
        <v>2230</v>
      </c>
      <c r="D982" s="1">
        <v>43857</v>
      </c>
      <c r="E982" t="str">
        <f>"667-2"</f>
        <v>667-2</v>
      </c>
      <c r="F982" t="str">
        <f>"PLUMBING SVCS-589 COOL WATER"</f>
        <v>PLUMBING SVCS-589 COOL WATER</v>
      </c>
      <c r="G982" s="2">
        <v>1600</v>
      </c>
      <c r="H982" t="str">
        <f>"PLUMBING SVCS-589 COOL WATER"</f>
        <v>PLUMBING SVCS-589 COOL WATER</v>
      </c>
    </row>
    <row r="983" spans="1:8" x14ac:dyDescent="0.25">
      <c r="E983" t="str">
        <f>"667-3"</f>
        <v>667-3</v>
      </c>
      <c r="F983" t="str">
        <f>"PLUMBING SVCS-589 COOL WATER"</f>
        <v>PLUMBING SVCS-589 COOL WATER</v>
      </c>
      <c r="G983" s="2">
        <v>342</v>
      </c>
      <c r="H983" t="str">
        <f>"PLUMBING SVCS-589 COOL WATER"</f>
        <v>PLUMBING SVCS-589 COOL WATER</v>
      </c>
    </row>
    <row r="984" spans="1:8" x14ac:dyDescent="0.25">
      <c r="E984" t="str">
        <f>"760"</f>
        <v>760</v>
      </c>
      <c r="F984" t="str">
        <f>"PLUMBING SVCS-589 COOL WATER"</f>
        <v>PLUMBING SVCS-589 COOL WATER</v>
      </c>
      <c r="G984" s="2">
        <v>288</v>
      </c>
      <c r="H984" t="str">
        <f>"PLUMBING SVCS-589 COOL WATER"</f>
        <v>PLUMBING SVCS-589 COOL WATER</v>
      </c>
    </row>
    <row r="985" spans="1:8" x14ac:dyDescent="0.25">
      <c r="A985" t="s">
        <v>315</v>
      </c>
      <c r="B985">
        <v>130608</v>
      </c>
      <c r="C985" s="2">
        <v>31366.18</v>
      </c>
      <c r="D985" s="1">
        <v>43857</v>
      </c>
      <c r="E985" t="str">
        <f>"20009"</f>
        <v>20009</v>
      </c>
      <c r="F985" t="str">
        <f>"ASPHALT EMULSION/PCT#1"</f>
        <v>ASPHALT EMULSION/PCT#1</v>
      </c>
      <c r="G985" s="2">
        <v>31366.18</v>
      </c>
      <c r="H985" t="str">
        <f>"ASPHALT EMULSION/PCT#1"</f>
        <v>ASPHALT EMULSION/PCT#1</v>
      </c>
    </row>
    <row r="986" spans="1:8" x14ac:dyDescent="0.25">
      <c r="A986" t="s">
        <v>316</v>
      </c>
      <c r="B986">
        <v>130454</v>
      </c>
      <c r="C986" s="2">
        <v>1745.97</v>
      </c>
      <c r="D986" s="1">
        <v>43843</v>
      </c>
      <c r="E986" t="str">
        <f>"71962"</f>
        <v>71962</v>
      </c>
      <c r="F986" t="str">
        <f>"6' Utility Rock Bucket"</f>
        <v>6' Utility Rock Bucket</v>
      </c>
      <c r="G986" s="2">
        <v>1299</v>
      </c>
      <c r="H986" t="str">
        <f>"6' Utility Rock Bucket"</f>
        <v>6' Utility Rock Bucket</v>
      </c>
    </row>
    <row r="987" spans="1:8" x14ac:dyDescent="0.25">
      <c r="E987" t="str">
        <f>"71970"</f>
        <v>71970</v>
      </c>
      <c r="F987" t="str">
        <f>"TRIMMER/PCT#2"</f>
        <v>TRIMMER/PCT#2</v>
      </c>
      <c r="G987" s="2">
        <v>446.97</v>
      </c>
      <c r="H987" t="str">
        <f>"TRIMMER/PCT#2"</f>
        <v>TRIMMER/PCT#2</v>
      </c>
    </row>
    <row r="988" spans="1:8" x14ac:dyDescent="0.25">
      <c r="A988" t="s">
        <v>316</v>
      </c>
      <c r="B988">
        <v>130609</v>
      </c>
      <c r="C988" s="2">
        <v>269.94</v>
      </c>
      <c r="D988" s="1">
        <v>43857</v>
      </c>
      <c r="E988" t="str">
        <f>"72246"</f>
        <v>72246</v>
      </c>
      <c r="F988" t="str">
        <f>"PARTS / P2"</f>
        <v>PARTS / P2</v>
      </c>
      <c r="G988" s="2">
        <v>269.94</v>
      </c>
      <c r="H988" t="str">
        <f>"PARTS / P2"</f>
        <v>PARTS / P2</v>
      </c>
    </row>
    <row r="989" spans="1:8" x14ac:dyDescent="0.25">
      <c r="A989" t="s">
        <v>317</v>
      </c>
      <c r="B989">
        <v>130455</v>
      </c>
      <c r="C989" s="2">
        <v>225.03</v>
      </c>
      <c r="D989" s="1">
        <v>43843</v>
      </c>
      <c r="E989" t="str">
        <f>"202001074434"</f>
        <v>202001074434</v>
      </c>
      <c r="F989" t="str">
        <f>"ACCT#1137/PCT#4"</f>
        <v>ACCT#1137/PCT#4</v>
      </c>
      <c r="G989" s="2">
        <v>225.03</v>
      </c>
      <c r="H989" t="str">
        <f>"ACCT#1137/PCT#4"</f>
        <v>ACCT#1137/PCT#4</v>
      </c>
    </row>
    <row r="990" spans="1:8" x14ac:dyDescent="0.25">
      <c r="A990" t="s">
        <v>318</v>
      </c>
      <c r="B990">
        <v>130610</v>
      </c>
      <c r="C990" s="2">
        <v>135</v>
      </c>
      <c r="D990" s="1">
        <v>43857</v>
      </c>
      <c r="E990" t="str">
        <f>"202001174694"</f>
        <v>202001174694</v>
      </c>
      <c r="F990" t="str">
        <f>"REIMBURSE-REGISTRATION"</f>
        <v>REIMBURSE-REGISTRATION</v>
      </c>
      <c r="G990" s="2">
        <v>135</v>
      </c>
      <c r="H990" t="str">
        <f>"REIMBURSE-REGISTRATION"</f>
        <v>REIMBURSE-REGISTRATION</v>
      </c>
    </row>
    <row r="991" spans="1:8" x14ac:dyDescent="0.25">
      <c r="A991" t="s">
        <v>319</v>
      </c>
      <c r="B991">
        <v>1981</v>
      </c>
      <c r="C991" s="2">
        <v>11512.85</v>
      </c>
      <c r="D991" s="1">
        <v>43844</v>
      </c>
      <c r="E991" t="str">
        <f>"2008405"</f>
        <v>2008405</v>
      </c>
      <c r="F991" t="str">
        <f>"CHANGE OUT EXISTING TWIST-LOC"</f>
        <v>CHANGE OUT EXISTING TWIST-LOC</v>
      </c>
      <c r="G991" s="2">
        <v>8421.25</v>
      </c>
      <c r="H991" t="str">
        <f>"CHANGE OUT EXISTING TWIST-LOC"</f>
        <v>CHANGE OUT EXISTING TWIST-LOC</v>
      </c>
    </row>
    <row r="992" spans="1:8" x14ac:dyDescent="0.25">
      <c r="E992" t="str">
        <f>"2008406"</f>
        <v>2008406</v>
      </c>
      <c r="F992" t="str">
        <f>"ELECTRICAL SVCS"</f>
        <v>ELECTRICAL SVCS</v>
      </c>
      <c r="G992" s="2">
        <v>1510.95</v>
      </c>
      <c r="H992" t="str">
        <f>"ELECTRICAL SVCS"</f>
        <v>ELECTRICAL SVCS</v>
      </c>
    </row>
    <row r="993" spans="1:8" x14ac:dyDescent="0.25">
      <c r="E993" t="str">
        <f>"2008407"</f>
        <v>2008407</v>
      </c>
      <c r="F993" t="str">
        <f>"REMOVE EXIT/EMERGENCY LIGHTS"</f>
        <v>REMOVE EXIT/EMERGENCY LIGHTS</v>
      </c>
      <c r="G993" s="2">
        <v>1182.9000000000001</v>
      </c>
      <c r="H993" t="str">
        <f>"REMOVE EXIT/EMERGENCY LIGHTS"</f>
        <v>REMOVE EXIT/EMERGENCY LIGHTS</v>
      </c>
    </row>
    <row r="994" spans="1:8" x14ac:dyDescent="0.25">
      <c r="E994" t="str">
        <f>"2008408"</f>
        <v>2008408</v>
      </c>
      <c r="F994" t="str">
        <f>"ADD LIGHT FOR FLAG/GEN SVCS"</f>
        <v>ADD LIGHT FOR FLAG/GEN SVCS</v>
      </c>
      <c r="G994" s="2">
        <v>397.75</v>
      </c>
      <c r="H994" t="str">
        <f>"ADD LIGHT FOR FLAG/GEN SVCS"</f>
        <v>ADD LIGHT FOR FLAG/GEN SVCS</v>
      </c>
    </row>
    <row r="995" spans="1:8" x14ac:dyDescent="0.25">
      <c r="A995" t="s">
        <v>320</v>
      </c>
      <c r="B995">
        <v>130456</v>
      </c>
      <c r="C995" s="2">
        <v>1742.74</v>
      </c>
      <c r="D995" s="1">
        <v>43843</v>
      </c>
      <c r="E995" t="str">
        <f>"202001084574"</f>
        <v>202001084574</v>
      </c>
      <c r="F995" t="str">
        <f>"ACCT#0200140783"</f>
        <v>ACCT#0200140783</v>
      </c>
      <c r="G995" s="2">
        <v>1742.74</v>
      </c>
      <c r="H995" t="str">
        <f>"ACCT#0200140783"</f>
        <v>ACCT#0200140783</v>
      </c>
    </row>
    <row r="996" spans="1:8" x14ac:dyDescent="0.25">
      <c r="E996" t="str">
        <f>""</f>
        <v/>
      </c>
      <c r="F996" t="str">
        <f>""</f>
        <v/>
      </c>
      <c r="H996" t="str">
        <f>"ACCT#0200140783"</f>
        <v>ACCT#0200140783</v>
      </c>
    </row>
    <row r="997" spans="1:8" x14ac:dyDescent="0.25">
      <c r="E997" t="str">
        <f>""</f>
        <v/>
      </c>
      <c r="F997" t="str">
        <f>""</f>
        <v/>
      </c>
      <c r="H997" t="str">
        <f>"ACCT#0200140783"</f>
        <v>ACCT#0200140783</v>
      </c>
    </row>
    <row r="998" spans="1:8" x14ac:dyDescent="0.25">
      <c r="A998" t="s">
        <v>321</v>
      </c>
      <c r="B998">
        <v>130611</v>
      </c>
      <c r="C998" s="2">
        <v>414</v>
      </c>
      <c r="D998" s="1">
        <v>43857</v>
      </c>
      <c r="E998" t="str">
        <f>"0057805-IN"</f>
        <v>0057805-IN</v>
      </c>
      <c r="F998" t="str">
        <f>"INV 0057805-IN"</f>
        <v>INV 0057805-IN</v>
      </c>
      <c r="G998" s="2">
        <v>414</v>
      </c>
      <c r="H998" t="str">
        <f>"INV 0057805-IN"</f>
        <v>INV 0057805-IN</v>
      </c>
    </row>
    <row r="999" spans="1:8" x14ac:dyDescent="0.25">
      <c r="A999" t="s">
        <v>322</v>
      </c>
      <c r="B999">
        <v>130612</v>
      </c>
      <c r="C999" s="2">
        <v>34722.78</v>
      </c>
      <c r="D999" s="1">
        <v>43857</v>
      </c>
      <c r="E999" t="str">
        <f>"IVC00050763"</f>
        <v>IVC00050763</v>
      </c>
      <c r="F999" t="str">
        <f>"ATTNY FEES 10/01-12/31/JP#2"</f>
        <v>ATTNY FEES 10/01-12/31/JP#2</v>
      </c>
      <c r="G999" s="2">
        <v>17048.52</v>
      </c>
      <c r="H999" t="str">
        <f>"ATTNY FEES 10/01-12/31/JP#2"</f>
        <v>ATTNY FEES 10/01-12/31/JP#2</v>
      </c>
    </row>
    <row r="1000" spans="1:8" x14ac:dyDescent="0.25">
      <c r="E1000" t="str">
        <f>"IVC00050765"</f>
        <v>IVC00050765</v>
      </c>
      <c r="F1000" t="str">
        <f>"ATTNY FEES 10/01-12/31/19"</f>
        <v>ATTNY FEES 10/01-12/31/19</v>
      </c>
      <c r="G1000" s="2">
        <v>7080.09</v>
      </c>
      <c r="H1000" t="str">
        <f>"ATTNY FEES 10/01-12/31/19"</f>
        <v>ATTNY FEES 10/01-12/31/19</v>
      </c>
    </row>
    <row r="1001" spans="1:8" x14ac:dyDescent="0.25">
      <c r="E1001" t="str">
        <f>"IVC00050766"</f>
        <v>IVC00050766</v>
      </c>
      <c r="F1001" t="str">
        <f>"ATTNY FEES 10/01-12/31/19"</f>
        <v>ATTNY FEES 10/01-12/31/19</v>
      </c>
      <c r="G1001" s="2">
        <v>10594.17</v>
      </c>
      <c r="H1001" t="str">
        <f>"ATTNY FEES 10/01-12/31/19"</f>
        <v>ATTNY FEES 10/01-12/31/19</v>
      </c>
    </row>
    <row r="1002" spans="1:8" x14ac:dyDescent="0.25">
      <c r="A1002" t="s">
        <v>323</v>
      </c>
      <c r="B1002">
        <v>130613</v>
      </c>
      <c r="C1002" s="2">
        <v>4000</v>
      </c>
      <c r="D1002" s="1">
        <v>43857</v>
      </c>
      <c r="E1002" t="str">
        <f>"107456"</f>
        <v>107456</v>
      </c>
      <c r="F1002" t="str">
        <f>"2017/2018 CERT OF OBLIGATION"</f>
        <v>2017/2018 CERT OF OBLIGATION</v>
      </c>
      <c r="G1002" s="2">
        <v>4000</v>
      </c>
      <c r="H1002" t="str">
        <f>"2017/2018 CERT OF OBLIGATION"</f>
        <v>2017/2018 CERT OF OBLIGATION</v>
      </c>
    </row>
    <row r="1003" spans="1:8" x14ac:dyDescent="0.25">
      <c r="A1003" t="s">
        <v>324</v>
      </c>
      <c r="B1003">
        <v>2018</v>
      </c>
      <c r="C1003" s="2">
        <v>724</v>
      </c>
      <c r="D1003" s="1">
        <v>43844</v>
      </c>
      <c r="E1003" t="str">
        <f>"202001084563"</f>
        <v>202001084563</v>
      </c>
      <c r="F1003" t="str">
        <f>"19-19948"</f>
        <v>19-19948</v>
      </c>
      <c r="G1003" s="2">
        <v>407</v>
      </c>
      <c r="H1003" t="str">
        <f>"19-19948"</f>
        <v>19-19948</v>
      </c>
    </row>
    <row r="1004" spans="1:8" x14ac:dyDescent="0.25">
      <c r="E1004" t="str">
        <f>"202001084564"</f>
        <v>202001084564</v>
      </c>
      <c r="F1004" t="str">
        <f>"19-19740"</f>
        <v>19-19740</v>
      </c>
      <c r="G1004" s="2">
        <v>317</v>
      </c>
      <c r="H1004" t="str">
        <f>"19-19740"</f>
        <v>19-19740</v>
      </c>
    </row>
    <row r="1005" spans="1:8" x14ac:dyDescent="0.25">
      <c r="A1005" t="s">
        <v>324</v>
      </c>
      <c r="B1005">
        <v>2090</v>
      </c>
      <c r="C1005" s="2">
        <v>725</v>
      </c>
      <c r="D1005" s="1">
        <v>43858</v>
      </c>
      <c r="E1005" t="str">
        <f>"202001224789"</f>
        <v>202001224789</v>
      </c>
      <c r="F1005" t="str">
        <f>"56895"</f>
        <v>56895</v>
      </c>
      <c r="G1005" s="2">
        <v>250</v>
      </c>
      <c r="H1005" t="str">
        <f>"56895"</f>
        <v>56895</v>
      </c>
    </row>
    <row r="1006" spans="1:8" x14ac:dyDescent="0.25">
      <c r="E1006" t="str">
        <f>"202001224790"</f>
        <v>202001224790</v>
      </c>
      <c r="F1006" t="str">
        <f>"57108  57109"</f>
        <v>57108  57109</v>
      </c>
      <c r="G1006" s="2">
        <v>375</v>
      </c>
      <c r="H1006" t="str">
        <f>"57108  57109"</f>
        <v>57108  57109</v>
      </c>
    </row>
    <row r="1007" spans="1:8" x14ac:dyDescent="0.25">
      <c r="E1007" t="str">
        <f>"202001224792"</f>
        <v>202001224792</v>
      </c>
      <c r="F1007" t="str">
        <f>"BISD20-6-00009"</f>
        <v>BISD20-6-00009</v>
      </c>
      <c r="G1007" s="2">
        <v>100</v>
      </c>
      <c r="H1007" t="str">
        <f>"BISD20-6-00009"</f>
        <v>BISD20-6-00009</v>
      </c>
    </row>
    <row r="1008" spans="1:8" x14ac:dyDescent="0.25">
      <c r="A1008" t="s">
        <v>325</v>
      </c>
      <c r="B1008">
        <v>130457</v>
      </c>
      <c r="C1008" s="2">
        <v>32.25</v>
      </c>
      <c r="D1008" s="1">
        <v>43843</v>
      </c>
      <c r="E1008" t="str">
        <f>"1014657741"</f>
        <v>1014657741</v>
      </c>
      <c r="F1008" t="str">
        <f>"INV 1014657741"</f>
        <v>INV 1014657741</v>
      </c>
      <c r="G1008" s="2">
        <v>32.25</v>
      </c>
      <c r="H1008" t="str">
        <f>"INV 1014657741"</f>
        <v>INV 1014657741</v>
      </c>
    </row>
    <row r="1009" spans="1:8" x14ac:dyDescent="0.25">
      <c r="A1009" t="s">
        <v>325</v>
      </c>
      <c r="B1009">
        <v>130614</v>
      </c>
      <c r="C1009" s="2">
        <v>516.67999999999995</v>
      </c>
      <c r="D1009" s="1">
        <v>43857</v>
      </c>
      <c r="E1009" t="str">
        <f>"1014821047"</f>
        <v>1014821047</v>
      </c>
      <c r="F1009" t="str">
        <f>"ACCT#0011198047/POSTAGE"</f>
        <v>ACCT#0011198047/POSTAGE</v>
      </c>
      <c r="G1009" s="2">
        <v>516.67999999999995</v>
      </c>
      <c r="H1009" t="str">
        <f>"ACCT#0011198047/POSTAGE"</f>
        <v>ACCT#0011198047/POSTAGE</v>
      </c>
    </row>
    <row r="1010" spans="1:8" x14ac:dyDescent="0.25">
      <c r="A1010" t="s">
        <v>326</v>
      </c>
      <c r="B1010">
        <v>2089</v>
      </c>
      <c r="C1010" s="2">
        <v>2978.37</v>
      </c>
      <c r="D1010" s="1">
        <v>43858</v>
      </c>
      <c r="E1010" t="str">
        <f>"3310132494"</f>
        <v>3310132494</v>
      </c>
      <c r="F1010" t="str">
        <f>"ACCT#0017315717/TAX ASSESSOR"</f>
        <v>ACCT#0017315717/TAX ASSESSOR</v>
      </c>
      <c r="G1010" s="2">
        <v>1347.36</v>
      </c>
      <c r="H1010" t="str">
        <f>"ACCT#0017315717/TAX ASSESSOR"</f>
        <v>ACCT#0017315717/TAX ASSESSOR</v>
      </c>
    </row>
    <row r="1011" spans="1:8" x14ac:dyDescent="0.25">
      <c r="E1011" t="str">
        <f>"3310394995"</f>
        <v>3310394995</v>
      </c>
      <c r="F1011" t="str">
        <f>"ACCT#0011198047/BASTROP COUNTY"</f>
        <v>ACCT#0011198047/BASTROP COUNTY</v>
      </c>
      <c r="G1011" s="2">
        <v>1631.01</v>
      </c>
      <c r="H1011" t="str">
        <f>"ACCT#0011198047/BASTROP COUNTY"</f>
        <v>ACCT#0011198047/BASTROP COUNTY</v>
      </c>
    </row>
    <row r="1012" spans="1:8" x14ac:dyDescent="0.25">
      <c r="A1012" t="s">
        <v>327</v>
      </c>
      <c r="B1012">
        <v>1999</v>
      </c>
      <c r="C1012" s="2">
        <v>350.4</v>
      </c>
      <c r="D1012" s="1">
        <v>43844</v>
      </c>
      <c r="E1012" t="str">
        <f>"202001074445"</f>
        <v>202001074445</v>
      </c>
      <c r="F1012" t="str">
        <f>"ACCT#0005/PCT#4"</f>
        <v>ACCT#0005/PCT#4</v>
      </c>
      <c r="G1012" s="2">
        <v>350.4</v>
      </c>
      <c r="H1012" t="str">
        <f>"ACCT#0005/PCT#4"</f>
        <v>ACCT#0005/PCT#4</v>
      </c>
    </row>
    <row r="1013" spans="1:8" x14ac:dyDescent="0.25">
      <c r="A1013" t="s">
        <v>328</v>
      </c>
      <c r="B1013">
        <v>2096</v>
      </c>
      <c r="C1013" s="2">
        <v>872</v>
      </c>
      <c r="D1013" s="1">
        <v>43858</v>
      </c>
      <c r="E1013" t="str">
        <f>"195497"</f>
        <v>195497</v>
      </c>
      <c r="F1013" t="str">
        <f>"INV 195497"</f>
        <v>INV 195497</v>
      </c>
      <c r="G1013" s="2">
        <v>872</v>
      </c>
      <c r="H1013" t="str">
        <f>"INV 195497"</f>
        <v>INV 195497</v>
      </c>
    </row>
    <row r="1014" spans="1:8" x14ac:dyDescent="0.25">
      <c r="A1014" t="s">
        <v>329</v>
      </c>
      <c r="B1014">
        <v>130458</v>
      </c>
      <c r="C1014" s="2">
        <v>107.02</v>
      </c>
      <c r="D1014" s="1">
        <v>43843</v>
      </c>
      <c r="E1014" t="str">
        <f>"4617*03116*1"</f>
        <v>4617*03116*1</v>
      </c>
      <c r="F1014" t="str">
        <f>"JAIL MEDICAL"</f>
        <v>JAIL MEDICAL</v>
      </c>
      <c r="G1014" s="2">
        <v>107.02</v>
      </c>
      <c r="H1014" t="str">
        <f>"JAIL MEDICAL"</f>
        <v>JAIL MEDICAL</v>
      </c>
    </row>
    <row r="1015" spans="1:8" x14ac:dyDescent="0.25">
      <c r="A1015" t="s">
        <v>329</v>
      </c>
      <c r="B1015">
        <v>130615</v>
      </c>
      <c r="C1015" s="2">
        <v>160.41999999999999</v>
      </c>
      <c r="D1015" s="1">
        <v>43857</v>
      </c>
      <c r="E1015" t="str">
        <f>"202001214717"</f>
        <v>202001214717</v>
      </c>
      <c r="F1015" t="str">
        <f>"INDIGENT HEALTH"</f>
        <v>INDIGENT HEALTH</v>
      </c>
      <c r="G1015" s="2">
        <v>160.41999999999999</v>
      </c>
      <c r="H1015" t="str">
        <f>"INDIGENT HEALTH"</f>
        <v>INDIGENT HEALTH</v>
      </c>
    </row>
    <row r="1016" spans="1:8" x14ac:dyDescent="0.25">
      <c r="A1016" t="s">
        <v>330</v>
      </c>
      <c r="B1016">
        <v>130616</v>
      </c>
      <c r="C1016" s="2">
        <v>1250</v>
      </c>
      <c r="D1016" s="1">
        <v>43857</v>
      </c>
      <c r="E1016" t="str">
        <f>"4795"</f>
        <v>4795</v>
      </c>
      <c r="F1016" t="str">
        <f>"REPAIRS AT ELGIN TOWER"</f>
        <v>REPAIRS AT ELGIN TOWER</v>
      </c>
      <c r="G1016" s="2">
        <v>1250</v>
      </c>
      <c r="H1016" t="str">
        <f>"REPAIRS AT ELGIN TOWER"</f>
        <v>REPAIRS AT ELGIN TOWER</v>
      </c>
    </row>
    <row r="1017" spans="1:8" x14ac:dyDescent="0.25">
      <c r="A1017" t="s">
        <v>331</v>
      </c>
      <c r="B1017">
        <v>130459</v>
      </c>
      <c r="C1017" s="2">
        <v>1968.64</v>
      </c>
      <c r="D1017" s="1">
        <v>43843</v>
      </c>
      <c r="E1017" t="str">
        <f>"010312019G"</f>
        <v>010312019G</v>
      </c>
      <c r="F1017" t="str">
        <f>"INV 010312019G"</f>
        <v>INV 010312019G</v>
      </c>
      <c r="G1017" s="2">
        <v>1968.64</v>
      </c>
      <c r="H1017" t="str">
        <f>"INV 010312019G"</f>
        <v>INV 010312019G</v>
      </c>
    </row>
    <row r="1018" spans="1:8" x14ac:dyDescent="0.25">
      <c r="E1018" t="str">
        <f>""</f>
        <v/>
      </c>
      <c r="F1018" t="str">
        <f>""</f>
        <v/>
      </c>
      <c r="H1018" t="str">
        <f>"INV 010312019G -DISC"</f>
        <v>INV 010312019G -DISC</v>
      </c>
    </row>
    <row r="1019" spans="1:8" x14ac:dyDescent="0.25">
      <c r="E1019" t="str">
        <f>""</f>
        <v/>
      </c>
      <c r="F1019" t="str">
        <f>""</f>
        <v/>
      </c>
      <c r="H1019" t="str">
        <f>"INV 010312019G"</f>
        <v>INV 010312019G</v>
      </c>
    </row>
    <row r="1020" spans="1:8" x14ac:dyDescent="0.25">
      <c r="E1020" t="str">
        <f>""</f>
        <v/>
      </c>
      <c r="F1020" t="str">
        <f>""</f>
        <v/>
      </c>
      <c r="H1020" t="str">
        <f>"INV 010312019G -DISC"</f>
        <v>INV 010312019G -DISC</v>
      </c>
    </row>
    <row r="1021" spans="1:8" x14ac:dyDescent="0.25">
      <c r="E1021" t="str">
        <f>""</f>
        <v/>
      </c>
      <c r="F1021" t="str">
        <f>""</f>
        <v/>
      </c>
      <c r="H1021" t="str">
        <f>"INV 010312019G (SHIP"</f>
        <v>INV 010312019G (SHIP</v>
      </c>
    </row>
    <row r="1022" spans="1:8" x14ac:dyDescent="0.25">
      <c r="A1022" t="s">
        <v>332</v>
      </c>
      <c r="B1022">
        <v>130617</v>
      </c>
      <c r="C1022" s="2">
        <v>3545</v>
      </c>
      <c r="D1022" s="1">
        <v>43857</v>
      </c>
      <c r="E1022" t="str">
        <f>"133184"</f>
        <v>133184</v>
      </c>
      <c r="F1022" t="str">
        <f>"MAINTENANCE/PCT#4"</f>
        <v>MAINTENANCE/PCT#4</v>
      </c>
      <c r="G1022" s="2">
        <v>3545</v>
      </c>
      <c r="H1022" t="str">
        <f>"MAINTENANCE/PCT#4"</f>
        <v>MAINTENANCE/PCT#4</v>
      </c>
    </row>
    <row r="1023" spans="1:8" x14ac:dyDescent="0.25">
      <c r="A1023" t="s">
        <v>333</v>
      </c>
      <c r="B1023">
        <v>2039</v>
      </c>
      <c r="C1023" s="2">
        <v>194.77</v>
      </c>
      <c r="D1023" s="1">
        <v>43858</v>
      </c>
      <c r="E1023" t="str">
        <f>"10A0121569859"</f>
        <v>10A0121569859</v>
      </c>
      <c r="F1023" t="str">
        <f>"ACCT#01215689859/JP#4"</f>
        <v>ACCT#01215689859/JP#4</v>
      </c>
      <c r="G1023" s="2">
        <v>102.9</v>
      </c>
      <c r="H1023" t="str">
        <f>"ACCT#01215689859/JP#4"</f>
        <v>ACCT#01215689859/JP#4</v>
      </c>
    </row>
    <row r="1024" spans="1:8" x14ac:dyDescent="0.25">
      <c r="E1024" t="str">
        <f>"10A0121587851"</f>
        <v>10A0121587851</v>
      </c>
      <c r="F1024" t="str">
        <f>"ACCT#0121587851/PCT#4"</f>
        <v>ACCT#0121587851/PCT#4</v>
      </c>
      <c r="G1024" s="2">
        <v>91.87</v>
      </c>
      <c r="H1024" t="str">
        <f>"ACCT#0121587851/PCT#4"</f>
        <v>ACCT#0121587851/PCT#4</v>
      </c>
    </row>
    <row r="1025" spans="1:8" x14ac:dyDescent="0.25">
      <c r="A1025" t="s">
        <v>334</v>
      </c>
      <c r="B1025">
        <v>130618</v>
      </c>
      <c r="C1025" s="2">
        <v>240.98</v>
      </c>
      <c r="D1025" s="1">
        <v>43857</v>
      </c>
      <c r="E1025" t="str">
        <f>"19610"</f>
        <v>19610</v>
      </c>
      <c r="F1025" t="str">
        <f>"CUST#19610/GEN SVCS"</f>
        <v>CUST#19610/GEN SVCS</v>
      </c>
      <c r="G1025" s="2">
        <v>240.98</v>
      </c>
      <c r="H1025" t="str">
        <f>"CUST#19610/GEN SVCS"</f>
        <v>CUST#19610/GEN SVCS</v>
      </c>
    </row>
    <row r="1026" spans="1:8" x14ac:dyDescent="0.25">
      <c r="A1026" t="s">
        <v>335</v>
      </c>
      <c r="B1026">
        <v>130335</v>
      </c>
      <c r="C1026" s="2">
        <v>39.4</v>
      </c>
      <c r="D1026" s="1">
        <v>43833</v>
      </c>
      <c r="E1026" t="str">
        <f>"305 000 457 690 8"</f>
        <v>305 000 457 690 8</v>
      </c>
      <c r="F1026" t="str">
        <f>"ACCT# 15 070 712-3 / 12312019"</f>
        <v>ACCT# 15 070 712-3 / 12312019</v>
      </c>
      <c r="G1026" s="2">
        <v>17.93</v>
      </c>
      <c r="H1026" t="str">
        <f>"ACCT# 15 070 712-3 / 12312019"</f>
        <v>ACCT# 15 070 712-3 / 12312019</v>
      </c>
    </row>
    <row r="1027" spans="1:8" x14ac:dyDescent="0.25">
      <c r="E1027" t="str">
        <f>"305 000 457 691 6"</f>
        <v>305 000 457 691 6</v>
      </c>
      <c r="F1027" t="str">
        <f>"ACCT# 15 070 713-1 / 12312019"</f>
        <v>ACCT# 15 070 713-1 / 12312019</v>
      </c>
      <c r="G1027" s="2">
        <v>21.47</v>
      </c>
      <c r="H1027" t="str">
        <f>"ACCT# 15 070 713-1 / 12312019"</f>
        <v>ACCT# 15 070 713-1 / 12312019</v>
      </c>
    </row>
    <row r="1028" spans="1:8" x14ac:dyDescent="0.25">
      <c r="A1028" t="s">
        <v>336</v>
      </c>
      <c r="B1028">
        <v>2093</v>
      </c>
      <c r="C1028" s="2">
        <v>602.95000000000005</v>
      </c>
      <c r="D1028" s="1">
        <v>43858</v>
      </c>
      <c r="E1028" t="str">
        <f>"202001224795"</f>
        <v>202001224795</v>
      </c>
      <c r="F1028" t="str">
        <f>"57 232  56 979  CM20190602G"</f>
        <v>57 232  56 979  CM20190602G</v>
      </c>
      <c r="G1028" s="2">
        <v>500</v>
      </c>
      <c r="H1028" t="str">
        <f>"57 232  56 979  CM20190602G"</f>
        <v>57 232  56 979  CM20190602G</v>
      </c>
    </row>
    <row r="1029" spans="1:8" x14ac:dyDescent="0.25">
      <c r="E1029" t="str">
        <f>"202001224796"</f>
        <v>202001224796</v>
      </c>
      <c r="F1029" t="str">
        <f>"20-20043"</f>
        <v>20-20043</v>
      </c>
      <c r="G1029" s="2">
        <v>102.95</v>
      </c>
      <c r="H1029" t="str">
        <f>"20-20043"</f>
        <v>20-20043</v>
      </c>
    </row>
    <row r="1030" spans="1:8" x14ac:dyDescent="0.25">
      <c r="A1030" t="s">
        <v>337</v>
      </c>
      <c r="B1030">
        <v>130619</v>
      </c>
      <c r="C1030" s="2">
        <v>5100</v>
      </c>
      <c r="D1030" s="1">
        <v>43857</v>
      </c>
      <c r="E1030" t="str">
        <f>"202001164639"</f>
        <v>202001164639</v>
      </c>
      <c r="F1030" t="str">
        <f>"16 707"</f>
        <v>16 707</v>
      </c>
      <c r="G1030" s="2">
        <v>1050</v>
      </c>
      <c r="H1030" t="str">
        <f>"16 707"</f>
        <v>16 707</v>
      </c>
    </row>
    <row r="1031" spans="1:8" x14ac:dyDescent="0.25">
      <c r="E1031" t="str">
        <f>"202001164640"</f>
        <v>202001164640</v>
      </c>
      <c r="F1031" t="str">
        <f>"16 905"</f>
        <v>16 905</v>
      </c>
      <c r="G1031" s="2">
        <v>1000</v>
      </c>
      <c r="H1031" t="str">
        <f>"16 905"</f>
        <v>16 905</v>
      </c>
    </row>
    <row r="1032" spans="1:8" x14ac:dyDescent="0.25">
      <c r="E1032" t="str">
        <f>"202001164641"</f>
        <v>202001164641</v>
      </c>
      <c r="F1032" t="str">
        <f>"16 171"</f>
        <v>16 171</v>
      </c>
      <c r="G1032" s="2">
        <v>600</v>
      </c>
      <c r="H1032" t="str">
        <f>"16 171"</f>
        <v>16 171</v>
      </c>
    </row>
    <row r="1033" spans="1:8" x14ac:dyDescent="0.25">
      <c r="E1033" t="str">
        <f>"202001164642"</f>
        <v>202001164642</v>
      </c>
      <c r="F1033" t="str">
        <f>"16 809"</f>
        <v>16 809</v>
      </c>
      <c r="G1033" s="2">
        <v>500</v>
      </c>
      <c r="H1033" t="str">
        <f>"16 809"</f>
        <v>16 809</v>
      </c>
    </row>
    <row r="1034" spans="1:8" x14ac:dyDescent="0.25">
      <c r="E1034" t="str">
        <f>"202001214701"</f>
        <v>202001214701</v>
      </c>
      <c r="F1034" t="str">
        <f>"302262019G/H/J"</f>
        <v>302262019G/H/J</v>
      </c>
      <c r="G1034" s="2">
        <v>1200</v>
      </c>
      <c r="H1034" t="str">
        <f>"302262019G/H/J"</f>
        <v>302262019G/H/J</v>
      </c>
    </row>
    <row r="1035" spans="1:8" x14ac:dyDescent="0.25">
      <c r="E1035" t="str">
        <f>"202001224797"</f>
        <v>202001224797</v>
      </c>
      <c r="F1035" t="str">
        <f>"17-18765"</f>
        <v>17-18765</v>
      </c>
      <c r="G1035" s="2">
        <v>750</v>
      </c>
      <c r="H1035" t="str">
        <f>"17-18765"</f>
        <v>17-18765</v>
      </c>
    </row>
    <row r="1036" spans="1:8" x14ac:dyDescent="0.25">
      <c r="A1036" t="s">
        <v>338</v>
      </c>
      <c r="B1036">
        <v>130620</v>
      </c>
      <c r="C1036" s="2">
        <v>25</v>
      </c>
      <c r="D1036" s="1">
        <v>43857</v>
      </c>
      <c r="E1036" t="str">
        <f>"202001164659"</f>
        <v>202001164659</v>
      </c>
      <c r="F1036" t="str">
        <f>"REFUND DRIVEWAY PERMIT"</f>
        <v>REFUND DRIVEWAY PERMIT</v>
      </c>
      <c r="G1036" s="2">
        <v>25</v>
      </c>
      <c r="H1036" t="str">
        <f>"REFUND DRIVEWAY PERMIT"</f>
        <v>REFUND DRIVEWAY PERMIT</v>
      </c>
    </row>
    <row r="1037" spans="1:8" x14ac:dyDescent="0.25">
      <c r="A1037" t="s">
        <v>339</v>
      </c>
      <c r="B1037">
        <v>1975</v>
      </c>
      <c r="C1037" s="2">
        <v>45</v>
      </c>
      <c r="D1037" s="1">
        <v>43844</v>
      </c>
      <c r="E1037" t="str">
        <f>"1083798053"</f>
        <v>1083798053</v>
      </c>
      <c r="F1037" t="str">
        <f>"CUST#12847097/PRINTING SUPPLIE"</f>
        <v>CUST#12847097/PRINTING SUPPLIE</v>
      </c>
      <c r="G1037" s="2">
        <v>45</v>
      </c>
      <c r="H1037" t="str">
        <f>"CUST#12847097/PRINTING SUPPLIE"</f>
        <v>CUST#12847097/PRINTING SUPPLIE</v>
      </c>
    </row>
    <row r="1038" spans="1:8" x14ac:dyDescent="0.25">
      <c r="A1038" t="s">
        <v>340</v>
      </c>
      <c r="B1038">
        <v>130460</v>
      </c>
      <c r="C1038" s="2">
        <v>9102.51</v>
      </c>
      <c r="D1038" s="1">
        <v>43843</v>
      </c>
      <c r="E1038" t="str">
        <f>"34432365"</f>
        <v>34432365</v>
      </c>
      <c r="F1038" t="str">
        <f>"CUST#2000172616"</f>
        <v>CUST#2000172616</v>
      </c>
      <c r="G1038" s="2">
        <v>8882.42</v>
      </c>
      <c r="H1038" t="str">
        <f t="shared" ref="H1038:H1069" si="17">"CUST#2000172616"</f>
        <v>CUST#2000172616</v>
      </c>
    </row>
    <row r="1039" spans="1:8" x14ac:dyDescent="0.25">
      <c r="E1039" t="str">
        <f>""</f>
        <v/>
      </c>
      <c r="F1039" t="str">
        <f>""</f>
        <v/>
      </c>
      <c r="H1039" t="str">
        <f t="shared" si="17"/>
        <v>CUST#2000172616</v>
      </c>
    </row>
    <row r="1040" spans="1:8" x14ac:dyDescent="0.25">
      <c r="E1040" t="str">
        <f>""</f>
        <v/>
      </c>
      <c r="F1040" t="str">
        <f>""</f>
        <v/>
      </c>
      <c r="H1040" t="str">
        <f t="shared" si="17"/>
        <v>CUST#2000172616</v>
      </c>
    </row>
    <row r="1041" spans="5:8" x14ac:dyDescent="0.25">
      <c r="E1041" t="str">
        <f>""</f>
        <v/>
      </c>
      <c r="F1041" t="str">
        <f>""</f>
        <v/>
      </c>
      <c r="H1041" t="str">
        <f t="shared" si="17"/>
        <v>CUST#2000172616</v>
      </c>
    </row>
    <row r="1042" spans="5:8" x14ac:dyDescent="0.25">
      <c r="E1042" t="str">
        <f>""</f>
        <v/>
      </c>
      <c r="F1042" t="str">
        <f>""</f>
        <v/>
      </c>
      <c r="H1042" t="str">
        <f t="shared" si="17"/>
        <v>CUST#2000172616</v>
      </c>
    </row>
    <row r="1043" spans="5:8" x14ac:dyDescent="0.25">
      <c r="E1043" t="str">
        <f>""</f>
        <v/>
      </c>
      <c r="F1043" t="str">
        <f>""</f>
        <v/>
      </c>
      <c r="H1043" t="str">
        <f t="shared" si="17"/>
        <v>CUST#2000172616</v>
      </c>
    </row>
    <row r="1044" spans="5:8" x14ac:dyDescent="0.25">
      <c r="E1044" t="str">
        <f>""</f>
        <v/>
      </c>
      <c r="F1044" t="str">
        <f>""</f>
        <v/>
      </c>
      <c r="H1044" t="str">
        <f t="shared" si="17"/>
        <v>CUST#2000172616</v>
      </c>
    </row>
    <row r="1045" spans="5:8" x14ac:dyDescent="0.25">
      <c r="E1045" t="str">
        <f>""</f>
        <v/>
      </c>
      <c r="F1045" t="str">
        <f>""</f>
        <v/>
      </c>
      <c r="H1045" t="str">
        <f t="shared" si="17"/>
        <v>CUST#2000172616</v>
      </c>
    </row>
    <row r="1046" spans="5:8" x14ac:dyDescent="0.25">
      <c r="E1046" t="str">
        <f>""</f>
        <v/>
      </c>
      <c r="F1046" t="str">
        <f>""</f>
        <v/>
      </c>
      <c r="H1046" t="str">
        <f t="shared" si="17"/>
        <v>CUST#2000172616</v>
      </c>
    </row>
    <row r="1047" spans="5:8" x14ac:dyDescent="0.25">
      <c r="E1047" t="str">
        <f>""</f>
        <v/>
      </c>
      <c r="F1047" t="str">
        <f>""</f>
        <v/>
      </c>
      <c r="H1047" t="str">
        <f t="shared" si="17"/>
        <v>CUST#2000172616</v>
      </c>
    </row>
    <row r="1048" spans="5:8" x14ac:dyDescent="0.25">
      <c r="E1048" t="str">
        <f>""</f>
        <v/>
      </c>
      <c r="F1048" t="str">
        <f>""</f>
        <v/>
      </c>
      <c r="H1048" t="str">
        <f t="shared" si="17"/>
        <v>CUST#2000172616</v>
      </c>
    </row>
    <row r="1049" spans="5:8" x14ac:dyDescent="0.25">
      <c r="E1049" t="str">
        <f>""</f>
        <v/>
      </c>
      <c r="F1049" t="str">
        <f>""</f>
        <v/>
      </c>
      <c r="H1049" t="str">
        <f t="shared" si="17"/>
        <v>CUST#2000172616</v>
      </c>
    </row>
    <row r="1050" spans="5:8" x14ac:dyDescent="0.25">
      <c r="E1050" t="str">
        <f>""</f>
        <v/>
      </c>
      <c r="F1050" t="str">
        <f>""</f>
        <v/>
      </c>
      <c r="H1050" t="str">
        <f t="shared" si="17"/>
        <v>CUST#2000172616</v>
      </c>
    </row>
    <row r="1051" spans="5:8" x14ac:dyDescent="0.25">
      <c r="E1051" t="str">
        <f>""</f>
        <v/>
      </c>
      <c r="F1051" t="str">
        <f>""</f>
        <v/>
      </c>
      <c r="H1051" t="str">
        <f t="shared" si="17"/>
        <v>CUST#2000172616</v>
      </c>
    </row>
    <row r="1052" spans="5:8" x14ac:dyDescent="0.25">
      <c r="E1052" t="str">
        <f>""</f>
        <v/>
      </c>
      <c r="F1052" t="str">
        <f>""</f>
        <v/>
      </c>
      <c r="H1052" t="str">
        <f t="shared" si="17"/>
        <v>CUST#2000172616</v>
      </c>
    </row>
    <row r="1053" spans="5:8" x14ac:dyDescent="0.25">
      <c r="E1053" t="str">
        <f>""</f>
        <v/>
      </c>
      <c r="F1053" t="str">
        <f>""</f>
        <v/>
      </c>
      <c r="H1053" t="str">
        <f t="shared" si="17"/>
        <v>CUST#2000172616</v>
      </c>
    </row>
    <row r="1054" spans="5:8" x14ac:dyDescent="0.25">
      <c r="E1054" t="str">
        <f>""</f>
        <v/>
      </c>
      <c r="F1054" t="str">
        <f>""</f>
        <v/>
      </c>
      <c r="H1054" t="str">
        <f t="shared" si="17"/>
        <v>CUST#2000172616</v>
      </c>
    </row>
    <row r="1055" spans="5:8" x14ac:dyDescent="0.25">
      <c r="E1055" t="str">
        <f>""</f>
        <v/>
      </c>
      <c r="F1055" t="str">
        <f>""</f>
        <v/>
      </c>
      <c r="H1055" t="str">
        <f t="shared" si="17"/>
        <v>CUST#2000172616</v>
      </c>
    </row>
    <row r="1056" spans="5:8" x14ac:dyDescent="0.25">
      <c r="E1056" t="str">
        <f>""</f>
        <v/>
      </c>
      <c r="F1056" t="str">
        <f>""</f>
        <v/>
      </c>
      <c r="H1056" t="str">
        <f t="shared" si="17"/>
        <v>CUST#2000172616</v>
      </c>
    </row>
    <row r="1057" spans="1:8" x14ac:dyDescent="0.25">
      <c r="E1057" t="str">
        <f>""</f>
        <v/>
      </c>
      <c r="F1057" t="str">
        <f>""</f>
        <v/>
      </c>
      <c r="H1057" t="str">
        <f t="shared" si="17"/>
        <v>CUST#2000172616</v>
      </c>
    </row>
    <row r="1058" spans="1:8" x14ac:dyDescent="0.25">
      <c r="E1058" t="str">
        <f>""</f>
        <v/>
      </c>
      <c r="F1058" t="str">
        <f>""</f>
        <v/>
      </c>
      <c r="H1058" t="str">
        <f t="shared" si="17"/>
        <v>CUST#2000172616</v>
      </c>
    </row>
    <row r="1059" spans="1:8" x14ac:dyDescent="0.25">
      <c r="E1059" t="str">
        <f>""</f>
        <v/>
      </c>
      <c r="F1059" t="str">
        <f>""</f>
        <v/>
      </c>
      <c r="H1059" t="str">
        <f t="shared" si="17"/>
        <v>CUST#2000172616</v>
      </c>
    </row>
    <row r="1060" spans="1:8" x14ac:dyDescent="0.25">
      <c r="E1060" t="str">
        <f>""</f>
        <v/>
      </c>
      <c r="F1060" t="str">
        <f>""</f>
        <v/>
      </c>
      <c r="H1060" t="str">
        <f t="shared" si="17"/>
        <v>CUST#2000172616</v>
      </c>
    </row>
    <row r="1061" spans="1:8" x14ac:dyDescent="0.25">
      <c r="E1061" t="str">
        <f>""</f>
        <v/>
      </c>
      <c r="F1061" t="str">
        <f>""</f>
        <v/>
      </c>
      <c r="H1061" t="str">
        <f t="shared" si="17"/>
        <v>CUST#2000172616</v>
      </c>
    </row>
    <row r="1062" spans="1:8" x14ac:dyDescent="0.25">
      <c r="E1062" t="str">
        <f>""</f>
        <v/>
      </c>
      <c r="F1062" t="str">
        <f>""</f>
        <v/>
      </c>
      <c r="H1062" t="str">
        <f t="shared" si="17"/>
        <v>CUST#2000172616</v>
      </c>
    </row>
    <row r="1063" spans="1:8" x14ac:dyDescent="0.25">
      <c r="E1063" t="str">
        <f>""</f>
        <v/>
      </c>
      <c r="F1063" t="str">
        <f>""</f>
        <v/>
      </c>
      <c r="H1063" t="str">
        <f t="shared" si="17"/>
        <v>CUST#2000172616</v>
      </c>
    </row>
    <row r="1064" spans="1:8" x14ac:dyDescent="0.25">
      <c r="E1064" t="str">
        <f>""</f>
        <v/>
      </c>
      <c r="F1064" t="str">
        <f>""</f>
        <v/>
      </c>
      <c r="H1064" t="str">
        <f t="shared" si="17"/>
        <v>CUST#2000172616</v>
      </c>
    </row>
    <row r="1065" spans="1:8" x14ac:dyDescent="0.25">
      <c r="E1065" t="str">
        <f>""</f>
        <v/>
      </c>
      <c r="F1065" t="str">
        <f>""</f>
        <v/>
      </c>
      <c r="H1065" t="str">
        <f t="shared" si="17"/>
        <v>CUST#2000172616</v>
      </c>
    </row>
    <row r="1066" spans="1:8" x14ac:dyDescent="0.25">
      <c r="E1066" t="str">
        <f>""</f>
        <v/>
      </c>
      <c r="F1066" t="str">
        <f>""</f>
        <v/>
      </c>
      <c r="H1066" t="str">
        <f t="shared" si="17"/>
        <v>CUST#2000172616</v>
      </c>
    </row>
    <row r="1067" spans="1:8" x14ac:dyDescent="0.25">
      <c r="E1067" t="str">
        <f>""</f>
        <v/>
      </c>
      <c r="F1067" t="str">
        <f>""</f>
        <v/>
      </c>
      <c r="H1067" t="str">
        <f t="shared" si="17"/>
        <v>CUST#2000172616</v>
      </c>
    </row>
    <row r="1068" spans="1:8" x14ac:dyDescent="0.25">
      <c r="E1068" t="str">
        <f>"34549353"</f>
        <v>34549353</v>
      </c>
      <c r="F1068" t="str">
        <f>"CUST#2000172616"</f>
        <v>CUST#2000172616</v>
      </c>
      <c r="G1068" s="2">
        <v>220.09</v>
      </c>
      <c r="H1068" t="str">
        <f t="shared" si="17"/>
        <v>CUST#2000172616</v>
      </c>
    </row>
    <row r="1069" spans="1:8" x14ac:dyDescent="0.25">
      <c r="A1069" t="s">
        <v>340</v>
      </c>
      <c r="B1069">
        <v>130621</v>
      </c>
      <c r="C1069" s="2">
        <v>9102.51</v>
      </c>
      <c r="D1069" s="1">
        <v>43857</v>
      </c>
      <c r="E1069" t="str">
        <f>"34626892"</f>
        <v>34626892</v>
      </c>
      <c r="F1069" t="str">
        <f>"CUST#2000172616"</f>
        <v>CUST#2000172616</v>
      </c>
      <c r="G1069" s="2">
        <v>9102.51</v>
      </c>
      <c r="H1069" t="str">
        <f t="shared" si="17"/>
        <v>CUST#2000172616</v>
      </c>
    </row>
    <row r="1070" spans="1:8" x14ac:dyDescent="0.25">
      <c r="E1070" t="str">
        <f>""</f>
        <v/>
      </c>
      <c r="F1070" t="str">
        <f>""</f>
        <v/>
      </c>
      <c r="H1070" t="str">
        <f t="shared" ref="H1070:H1099" si="18">"CUST#2000172616"</f>
        <v>CUST#2000172616</v>
      </c>
    </row>
    <row r="1071" spans="1:8" x14ac:dyDescent="0.25">
      <c r="E1071" t="str">
        <f>""</f>
        <v/>
      </c>
      <c r="F1071" t="str">
        <f>""</f>
        <v/>
      </c>
      <c r="H1071" t="str">
        <f t="shared" si="18"/>
        <v>CUST#2000172616</v>
      </c>
    </row>
    <row r="1072" spans="1:8" x14ac:dyDescent="0.25">
      <c r="E1072" t="str">
        <f>""</f>
        <v/>
      </c>
      <c r="F1072" t="str">
        <f>""</f>
        <v/>
      </c>
      <c r="H1072" t="str">
        <f t="shared" si="18"/>
        <v>CUST#2000172616</v>
      </c>
    </row>
    <row r="1073" spans="5:8" x14ac:dyDescent="0.25">
      <c r="E1073" t="str">
        <f>""</f>
        <v/>
      </c>
      <c r="F1073" t="str">
        <f>""</f>
        <v/>
      </c>
      <c r="H1073" t="str">
        <f t="shared" si="18"/>
        <v>CUST#2000172616</v>
      </c>
    </row>
    <row r="1074" spans="5:8" x14ac:dyDescent="0.25">
      <c r="E1074" t="str">
        <f>""</f>
        <v/>
      </c>
      <c r="F1074" t="str">
        <f>""</f>
        <v/>
      </c>
      <c r="H1074" t="str">
        <f t="shared" si="18"/>
        <v>CUST#2000172616</v>
      </c>
    </row>
    <row r="1075" spans="5:8" x14ac:dyDescent="0.25">
      <c r="E1075" t="str">
        <f>""</f>
        <v/>
      </c>
      <c r="F1075" t="str">
        <f>""</f>
        <v/>
      </c>
      <c r="H1075" t="str">
        <f t="shared" si="18"/>
        <v>CUST#2000172616</v>
      </c>
    </row>
    <row r="1076" spans="5:8" x14ac:dyDescent="0.25">
      <c r="E1076" t="str">
        <f>""</f>
        <v/>
      </c>
      <c r="F1076" t="str">
        <f>""</f>
        <v/>
      </c>
      <c r="H1076" t="str">
        <f t="shared" si="18"/>
        <v>CUST#2000172616</v>
      </c>
    </row>
    <row r="1077" spans="5:8" x14ac:dyDescent="0.25">
      <c r="E1077" t="str">
        <f>""</f>
        <v/>
      </c>
      <c r="F1077" t="str">
        <f>""</f>
        <v/>
      </c>
      <c r="H1077" t="str">
        <f t="shared" si="18"/>
        <v>CUST#2000172616</v>
      </c>
    </row>
    <row r="1078" spans="5:8" x14ac:dyDescent="0.25">
      <c r="E1078" t="str">
        <f>""</f>
        <v/>
      </c>
      <c r="F1078" t="str">
        <f>""</f>
        <v/>
      </c>
      <c r="H1078" t="str">
        <f t="shared" si="18"/>
        <v>CUST#2000172616</v>
      </c>
    </row>
    <row r="1079" spans="5:8" x14ac:dyDescent="0.25">
      <c r="E1079" t="str">
        <f>""</f>
        <v/>
      </c>
      <c r="F1079" t="str">
        <f>""</f>
        <v/>
      </c>
      <c r="H1079" t="str">
        <f t="shared" si="18"/>
        <v>CUST#2000172616</v>
      </c>
    </row>
    <row r="1080" spans="5:8" x14ac:dyDescent="0.25">
      <c r="E1080" t="str">
        <f>""</f>
        <v/>
      </c>
      <c r="F1080" t="str">
        <f>""</f>
        <v/>
      </c>
      <c r="H1080" t="str">
        <f t="shared" si="18"/>
        <v>CUST#2000172616</v>
      </c>
    </row>
    <row r="1081" spans="5:8" x14ac:dyDescent="0.25">
      <c r="E1081" t="str">
        <f>""</f>
        <v/>
      </c>
      <c r="F1081" t="str">
        <f>""</f>
        <v/>
      </c>
      <c r="H1081" t="str">
        <f t="shared" si="18"/>
        <v>CUST#2000172616</v>
      </c>
    </row>
    <row r="1082" spans="5:8" x14ac:dyDescent="0.25">
      <c r="E1082" t="str">
        <f>""</f>
        <v/>
      </c>
      <c r="F1082" t="str">
        <f>""</f>
        <v/>
      </c>
      <c r="H1082" t="str">
        <f t="shared" si="18"/>
        <v>CUST#2000172616</v>
      </c>
    </row>
    <row r="1083" spans="5:8" x14ac:dyDescent="0.25">
      <c r="E1083" t="str">
        <f>""</f>
        <v/>
      </c>
      <c r="F1083" t="str">
        <f>""</f>
        <v/>
      </c>
      <c r="H1083" t="str">
        <f t="shared" si="18"/>
        <v>CUST#2000172616</v>
      </c>
    </row>
    <row r="1084" spans="5:8" x14ac:dyDescent="0.25">
      <c r="E1084" t="str">
        <f>""</f>
        <v/>
      </c>
      <c r="F1084" t="str">
        <f>""</f>
        <v/>
      </c>
      <c r="H1084" t="str">
        <f t="shared" si="18"/>
        <v>CUST#2000172616</v>
      </c>
    </row>
    <row r="1085" spans="5:8" x14ac:dyDescent="0.25">
      <c r="E1085" t="str">
        <f>""</f>
        <v/>
      </c>
      <c r="F1085" t="str">
        <f>""</f>
        <v/>
      </c>
      <c r="H1085" t="str">
        <f t="shared" si="18"/>
        <v>CUST#2000172616</v>
      </c>
    </row>
    <row r="1086" spans="5:8" x14ac:dyDescent="0.25">
      <c r="E1086" t="str">
        <f>""</f>
        <v/>
      </c>
      <c r="F1086" t="str">
        <f>""</f>
        <v/>
      </c>
      <c r="H1086" t="str">
        <f t="shared" si="18"/>
        <v>CUST#2000172616</v>
      </c>
    </row>
    <row r="1087" spans="5:8" x14ac:dyDescent="0.25">
      <c r="E1087" t="str">
        <f>""</f>
        <v/>
      </c>
      <c r="F1087" t="str">
        <f>""</f>
        <v/>
      </c>
      <c r="H1087" t="str">
        <f t="shared" si="18"/>
        <v>CUST#2000172616</v>
      </c>
    </row>
    <row r="1088" spans="5:8" x14ac:dyDescent="0.25">
      <c r="E1088" t="str">
        <f>""</f>
        <v/>
      </c>
      <c r="F1088" t="str">
        <f>""</f>
        <v/>
      </c>
      <c r="H1088" t="str">
        <f t="shared" si="18"/>
        <v>CUST#2000172616</v>
      </c>
    </row>
    <row r="1089" spans="1:8" x14ac:dyDescent="0.25">
      <c r="E1089" t="str">
        <f>""</f>
        <v/>
      </c>
      <c r="F1089" t="str">
        <f>""</f>
        <v/>
      </c>
      <c r="H1089" t="str">
        <f t="shared" si="18"/>
        <v>CUST#2000172616</v>
      </c>
    </row>
    <row r="1090" spans="1:8" x14ac:dyDescent="0.25">
      <c r="E1090" t="str">
        <f>""</f>
        <v/>
      </c>
      <c r="F1090" t="str">
        <f>""</f>
        <v/>
      </c>
      <c r="H1090" t="str">
        <f t="shared" si="18"/>
        <v>CUST#2000172616</v>
      </c>
    </row>
    <row r="1091" spans="1:8" x14ac:dyDescent="0.25">
      <c r="E1091" t="str">
        <f>""</f>
        <v/>
      </c>
      <c r="F1091" t="str">
        <f>""</f>
        <v/>
      </c>
      <c r="H1091" t="str">
        <f t="shared" si="18"/>
        <v>CUST#2000172616</v>
      </c>
    </row>
    <row r="1092" spans="1:8" x14ac:dyDescent="0.25">
      <c r="E1092" t="str">
        <f>""</f>
        <v/>
      </c>
      <c r="F1092" t="str">
        <f>""</f>
        <v/>
      </c>
      <c r="H1092" t="str">
        <f t="shared" si="18"/>
        <v>CUST#2000172616</v>
      </c>
    </row>
    <row r="1093" spans="1:8" x14ac:dyDescent="0.25">
      <c r="E1093" t="str">
        <f>""</f>
        <v/>
      </c>
      <c r="F1093" t="str">
        <f>""</f>
        <v/>
      </c>
      <c r="H1093" t="str">
        <f t="shared" si="18"/>
        <v>CUST#2000172616</v>
      </c>
    </row>
    <row r="1094" spans="1:8" x14ac:dyDescent="0.25">
      <c r="E1094" t="str">
        <f>""</f>
        <v/>
      </c>
      <c r="F1094" t="str">
        <f>""</f>
        <v/>
      </c>
      <c r="H1094" t="str">
        <f t="shared" si="18"/>
        <v>CUST#2000172616</v>
      </c>
    </row>
    <row r="1095" spans="1:8" x14ac:dyDescent="0.25">
      <c r="E1095" t="str">
        <f>""</f>
        <v/>
      </c>
      <c r="F1095" t="str">
        <f>""</f>
        <v/>
      </c>
      <c r="H1095" t="str">
        <f t="shared" si="18"/>
        <v>CUST#2000172616</v>
      </c>
    </row>
    <row r="1096" spans="1:8" x14ac:dyDescent="0.25">
      <c r="E1096" t="str">
        <f>""</f>
        <v/>
      </c>
      <c r="F1096" t="str">
        <f>""</f>
        <v/>
      </c>
      <c r="H1096" t="str">
        <f t="shared" si="18"/>
        <v>CUST#2000172616</v>
      </c>
    </row>
    <row r="1097" spans="1:8" x14ac:dyDescent="0.25">
      <c r="E1097" t="str">
        <f>""</f>
        <v/>
      </c>
      <c r="F1097" t="str">
        <f>""</f>
        <v/>
      </c>
      <c r="H1097" t="str">
        <f t="shared" si="18"/>
        <v>CUST#2000172616</v>
      </c>
    </row>
    <row r="1098" spans="1:8" x14ac:dyDescent="0.25">
      <c r="E1098" t="str">
        <f>""</f>
        <v/>
      </c>
      <c r="F1098" t="str">
        <f>""</f>
        <v/>
      </c>
      <c r="H1098" t="str">
        <f t="shared" si="18"/>
        <v>CUST#2000172616</v>
      </c>
    </row>
    <row r="1099" spans="1:8" x14ac:dyDescent="0.25">
      <c r="E1099" t="str">
        <f>""</f>
        <v/>
      </c>
      <c r="F1099" t="str">
        <f>""</f>
        <v/>
      </c>
      <c r="H1099" t="str">
        <f t="shared" si="18"/>
        <v>CUST#2000172616</v>
      </c>
    </row>
    <row r="1100" spans="1:8" x14ac:dyDescent="0.25">
      <c r="A1100" t="s">
        <v>341</v>
      </c>
      <c r="B1100">
        <v>130461</v>
      </c>
      <c r="C1100" s="2">
        <v>28</v>
      </c>
      <c r="D1100" s="1">
        <v>43843</v>
      </c>
      <c r="E1100" t="str">
        <f>"4807"</f>
        <v>4807</v>
      </c>
      <c r="F1100" t="str">
        <f>"2017 FORD INSPECTION/PCT#2"</f>
        <v>2017 FORD INSPECTION/PCT#2</v>
      </c>
      <c r="G1100" s="2">
        <v>7</v>
      </c>
      <c r="H1100" t="str">
        <f>"2017 FORD INSPECTION/PCT#2"</f>
        <v>2017 FORD INSPECTION/PCT#2</v>
      </c>
    </row>
    <row r="1101" spans="1:8" x14ac:dyDescent="0.25">
      <c r="E1101" t="str">
        <f>"4811"</f>
        <v>4811</v>
      </c>
      <c r="F1101" t="str">
        <f>"2014 FORD INSPECTION"</f>
        <v>2014 FORD INSPECTION</v>
      </c>
      <c r="G1101" s="2">
        <v>7</v>
      </c>
      <c r="H1101" t="str">
        <f>"2014 FORD INSPECTION"</f>
        <v>2014 FORD INSPECTION</v>
      </c>
    </row>
    <row r="1102" spans="1:8" x14ac:dyDescent="0.25">
      <c r="E1102" t="str">
        <f>"4814"</f>
        <v>4814</v>
      </c>
      <c r="F1102" t="str">
        <f>"2010 FORD INSPECTION/PCT#2"</f>
        <v>2010 FORD INSPECTION/PCT#2</v>
      </c>
      <c r="G1102" s="2">
        <v>7</v>
      </c>
      <c r="H1102" t="str">
        <f>"2010 FORD INSPECTION/PCT#2"</f>
        <v>2010 FORD INSPECTION/PCT#2</v>
      </c>
    </row>
    <row r="1103" spans="1:8" x14ac:dyDescent="0.25">
      <c r="E1103" t="str">
        <f>"4815"</f>
        <v>4815</v>
      </c>
      <c r="F1103" t="str">
        <f>"2002 FORD INSPECTION/PCT#2"</f>
        <v>2002 FORD INSPECTION/PCT#2</v>
      </c>
      <c r="G1103" s="2">
        <v>7</v>
      </c>
      <c r="H1103" t="str">
        <f>"2002 FORD INSPECTION/PCT#2"</f>
        <v>2002 FORD INSPECTION/PCT#2</v>
      </c>
    </row>
    <row r="1104" spans="1:8" x14ac:dyDescent="0.25">
      <c r="A1104" t="s">
        <v>342</v>
      </c>
      <c r="B1104">
        <v>1993</v>
      </c>
      <c r="C1104" s="2">
        <v>200</v>
      </c>
      <c r="D1104" s="1">
        <v>43844</v>
      </c>
      <c r="E1104" t="str">
        <f>"SCTHDEC20"</f>
        <v>SCTHDEC20</v>
      </c>
      <c r="F1104" t="str">
        <f>"INV SCTHDEC20"</f>
        <v>INV SCTHDEC20</v>
      </c>
      <c r="G1104" s="2">
        <v>200</v>
      </c>
      <c r="H1104" t="str">
        <f>"INV SCTHDEC20"</f>
        <v>INV SCTHDEC20</v>
      </c>
    </row>
    <row r="1105" spans="1:8" x14ac:dyDescent="0.25">
      <c r="A1105" t="s">
        <v>343</v>
      </c>
      <c r="B1105">
        <v>130462</v>
      </c>
      <c r="C1105" s="2">
        <v>29.2</v>
      </c>
      <c r="D1105" s="1">
        <v>43843</v>
      </c>
      <c r="E1105" t="str">
        <f>"4844543"</f>
        <v>4844543</v>
      </c>
      <c r="F1105" t="str">
        <f>"INV 4844543"</f>
        <v>INV 4844543</v>
      </c>
      <c r="G1105" s="2">
        <v>29.2</v>
      </c>
      <c r="H1105" t="str">
        <f>"INV 4844543"</f>
        <v>INV 4844543</v>
      </c>
    </row>
    <row r="1106" spans="1:8" x14ac:dyDescent="0.25">
      <c r="A1106" t="s">
        <v>344</v>
      </c>
      <c r="B1106">
        <v>2061</v>
      </c>
      <c r="C1106" s="2">
        <v>3500</v>
      </c>
      <c r="D1106" s="1">
        <v>43858</v>
      </c>
      <c r="E1106" t="str">
        <f>"WA2273-2019"</f>
        <v>WA2273-2019</v>
      </c>
      <c r="F1106" t="str">
        <f>"ROW Lamaloa Lane"</f>
        <v>ROW Lamaloa Lane</v>
      </c>
      <c r="G1106" s="2">
        <v>3500</v>
      </c>
      <c r="H1106" t="str">
        <f>"Payment"</f>
        <v>Payment</v>
      </c>
    </row>
    <row r="1107" spans="1:8" x14ac:dyDescent="0.25">
      <c r="A1107" t="s">
        <v>345</v>
      </c>
      <c r="B1107">
        <v>130622</v>
      </c>
      <c r="C1107" s="2">
        <v>350</v>
      </c>
      <c r="D1107" s="1">
        <v>43857</v>
      </c>
      <c r="E1107" t="str">
        <f>"191216-3"</f>
        <v>191216-3</v>
      </c>
      <c r="F1107" t="str">
        <f>"Uniform Shirts"</f>
        <v>Uniform Shirts</v>
      </c>
      <c r="G1107" s="2">
        <v>46</v>
      </c>
      <c r="H1107" t="str">
        <f>"GD5400"</f>
        <v>GD5400</v>
      </c>
    </row>
    <row r="1108" spans="1:8" x14ac:dyDescent="0.25">
      <c r="E1108" t="str">
        <f>""</f>
        <v/>
      </c>
      <c r="F1108" t="str">
        <f>""</f>
        <v/>
      </c>
      <c r="H1108" t="str">
        <f>"GD18500"</f>
        <v>GD18500</v>
      </c>
    </row>
    <row r="1109" spans="1:8" x14ac:dyDescent="0.25">
      <c r="E1109" t="str">
        <f>""</f>
        <v/>
      </c>
      <c r="F1109" t="str">
        <f>""</f>
        <v/>
      </c>
      <c r="H1109" t="str">
        <f>"GD64V00"</f>
        <v>GD64V00</v>
      </c>
    </row>
    <row r="1110" spans="1:8" x14ac:dyDescent="0.25">
      <c r="E1110" t="str">
        <f>"191216-4"</f>
        <v>191216-4</v>
      </c>
      <c r="F1110" t="str">
        <f>"Uniform Shirts"</f>
        <v>Uniform Shirts</v>
      </c>
      <c r="G1110" s="2">
        <v>304</v>
      </c>
      <c r="H1110" t="str">
        <f>"GD18000- L-VAR"</f>
        <v>GD18000- L-VAR</v>
      </c>
    </row>
    <row r="1111" spans="1:8" x14ac:dyDescent="0.25">
      <c r="E1111" t="str">
        <f>""</f>
        <v/>
      </c>
      <c r="F1111" t="str">
        <f>""</f>
        <v/>
      </c>
      <c r="H1111" t="str">
        <f>"GD18000-XL-VAR"</f>
        <v>GD18000-XL-VAR</v>
      </c>
    </row>
    <row r="1112" spans="1:8" x14ac:dyDescent="0.25">
      <c r="E1112" t="str">
        <f>""</f>
        <v/>
      </c>
      <c r="F1112" t="str">
        <f>""</f>
        <v/>
      </c>
      <c r="H1112" t="str">
        <f>"GD18000-2XL-LT BLUE"</f>
        <v>GD18000-2XL-LT BLUE</v>
      </c>
    </row>
    <row r="1113" spans="1:8" x14ac:dyDescent="0.25">
      <c r="E1113" t="str">
        <f>""</f>
        <v/>
      </c>
      <c r="F1113" t="str">
        <f>""</f>
        <v/>
      </c>
      <c r="H1113" t="str">
        <f>"GD18500-S-VAR"</f>
        <v>GD18500-S-VAR</v>
      </c>
    </row>
    <row r="1114" spans="1:8" x14ac:dyDescent="0.25">
      <c r="E1114" t="str">
        <f>""</f>
        <v/>
      </c>
      <c r="F1114" t="str">
        <f>""</f>
        <v/>
      </c>
      <c r="H1114" t="str">
        <f>"GD18500-M-VAR"</f>
        <v>GD18500-M-VAR</v>
      </c>
    </row>
    <row r="1115" spans="1:8" x14ac:dyDescent="0.25">
      <c r="E1115" t="str">
        <f>""</f>
        <v/>
      </c>
      <c r="F1115" t="str">
        <f>""</f>
        <v/>
      </c>
      <c r="H1115" t="str">
        <f>"GD18500-L-VAR"</f>
        <v>GD18500-L-VAR</v>
      </c>
    </row>
    <row r="1116" spans="1:8" x14ac:dyDescent="0.25">
      <c r="E1116" t="str">
        <f>""</f>
        <v/>
      </c>
      <c r="F1116" t="str">
        <f>""</f>
        <v/>
      </c>
      <c r="H1116" t="str">
        <f>"GD18500-XL-VAR"</f>
        <v>GD18500-XL-VAR</v>
      </c>
    </row>
    <row r="1117" spans="1:8" x14ac:dyDescent="0.25">
      <c r="E1117" t="str">
        <f>""</f>
        <v/>
      </c>
      <c r="F1117" t="str">
        <f>""</f>
        <v/>
      </c>
      <c r="H1117" t="str">
        <f>"PC78ZH-M-VAR"</f>
        <v>PC78ZH-M-VAR</v>
      </c>
    </row>
    <row r="1118" spans="1:8" x14ac:dyDescent="0.25">
      <c r="E1118" t="str">
        <f>""</f>
        <v/>
      </c>
      <c r="F1118" t="str">
        <f>""</f>
        <v/>
      </c>
      <c r="H1118" t="str">
        <f>"PC78ZH-L-VAR"</f>
        <v>PC78ZH-L-VAR</v>
      </c>
    </row>
    <row r="1119" spans="1:8" x14ac:dyDescent="0.25">
      <c r="E1119" t="str">
        <f>""</f>
        <v/>
      </c>
      <c r="F1119" t="str">
        <f>""</f>
        <v/>
      </c>
      <c r="H1119" t="str">
        <f>"PC78ZH-3XL-DK GRAY"</f>
        <v>PC78ZH-3XL-DK GRAY</v>
      </c>
    </row>
    <row r="1120" spans="1:8" x14ac:dyDescent="0.25">
      <c r="A1120" t="s">
        <v>346</v>
      </c>
      <c r="B1120">
        <v>130623</v>
      </c>
      <c r="C1120" s="2">
        <v>107.07</v>
      </c>
      <c r="D1120" s="1">
        <v>43857</v>
      </c>
      <c r="E1120" t="str">
        <f>"202001164671"</f>
        <v>202001164671</v>
      </c>
      <c r="F1120" t="str">
        <f>"TRAVEL ADVANCE-PER DIEM"</f>
        <v>TRAVEL ADVANCE-PER DIEM</v>
      </c>
      <c r="G1120" s="2">
        <v>85</v>
      </c>
      <c r="H1120" t="str">
        <f>"TRAVEL ADVANCE-PER DIEM"</f>
        <v>TRAVEL ADVANCE-PER DIEM</v>
      </c>
    </row>
    <row r="1121" spans="1:8" x14ac:dyDescent="0.25">
      <c r="E1121" t="str">
        <f>"202001164672"</f>
        <v>202001164672</v>
      </c>
      <c r="F1121" t="str">
        <f>"OFFICE SUPPLIES"</f>
        <v>OFFICE SUPPLIES</v>
      </c>
      <c r="G1121" s="2">
        <v>22.07</v>
      </c>
      <c r="H1121" t="str">
        <f>"OFFICE SUPPLIES"</f>
        <v>OFFICE SUPPLIES</v>
      </c>
    </row>
    <row r="1122" spans="1:8" x14ac:dyDescent="0.25">
      <c r="A1122" t="s">
        <v>347</v>
      </c>
      <c r="B1122">
        <v>130624</v>
      </c>
      <c r="C1122" s="2">
        <v>310</v>
      </c>
      <c r="D1122" s="1">
        <v>43857</v>
      </c>
      <c r="E1122" t="str">
        <f>"202001214732"</f>
        <v>202001214732</v>
      </c>
      <c r="F1122" t="str">
        <f>"LPHCP RECORDING FEES"</f>
        <v>LPHCP RECORDING FEES</v>
      </c>
      <c r="G1122" s="2">
        <v>310</v>
      </c>
      <c r="H1122" t="str">
        <f>"LPHCP RECORDING FEES"</f>
        <v>LPHCP RECORDING FEES</v>
      </c>
    </row>
    <row r="1123" spans="1:8" x14ac:dyDescent="0.25">
      <c r="A1123" t="s">
        <v>347</v>
      </c>
      <c r="B1123">
        <v>130625</v>
      </c>
      <c r="C1123" s="2">
        <v>110</v>
      </c>
      <c r="D1123" s="1">
        <v>43857</v>
      </c>
      <c r="E1123" t="str">
        <f>"202001214733"</f>
        <v>202001214733</v>
      </c>
      <c r="F1123" t="str">
        <f>"DEVELOPMENT SVCS RECORDING FEE"</f>
        <v>DEVELOPMENT SVCS RECORDING FEE</v>
      </c>
      <c r="G1123" s="2">
        <v>110</v>
      </c>
      <c r="H1123" t="str">
        <f>"DEVELOPMENT SVCS RECORDING FEE"</f>
        <v>DEVELOPMENT SVCS RECORDING FEE</v>
      </c>
    </row>
    <row r="1124" spans="1:8" x14ac:dyDescent="0.25">
      <c r="A1124" t="s">
        <v>348</v>
      </c>
      <c r="B1124">
        <v>130463</v>
      </c>
      <c r="C1124" s="2">
        <v>70.569999999999993</v>
      </c>
      <c r="D1124" s="1">
        <v>43843</v>
      </c>
      <c r="E1124" t="str">
        <f>"CM6463"</f>
        <v>CM6463</v>
      </c>
      <c r="F1124" t="str">
        <f>"CUST#9486/PCT#4"</f>
        <v>CUST#9486/PCT#4</v>
      </c>
      <c r="G1124" s="2">
        <v>-31.22</v>
      </c>
      <c r="H1124" t="str">
        <f>"CUST#9486/PCT#4"</f>
        <v>CUST#9486/PCT#4</v>
      </c>
    </row>
    <row r="1125" spans="1:8" x14ac:dyDescent="0.25">
      <c r="E1125" t="str">
        <f>"6463"</f>
        <v>6463</v>
      </c>
      <c r="F1125" t="str">
        <f>"CUST#9486/PCT#4"</f>
        <v>CUST#9486/PCT#4</v>
      </c>
      <c r="G1125" s="2">
        <v>64.77</v>
      </c>
      <c r="H1125" t="str">
        <f>"CUST#9486/PCT#4"</f>
        <v>CUST#9486/PCT#4</v>
      </c>
    </row>
    <row r="1126" spans="1:8" x14ac:dyDescent="0.25">
      <c r="E1126" t="str">
        <f>"6464"</f>
        <v>6464</v>
      </c>
      <c r="F1126" t="str">
        <f>"CUST#9486/PCT#4"</f>
        <v>CUST#9486/PCT#4</v>
      </c>
      <c r="G1126" s="2">
        <v>37.020000000000003</v>
      </c>
      <c r="H1126" t="str">
        <f>"CUST#9486/PCT#4"</f>
        <v>CUST#9486/PCT#4</v>
      </c>
    </row>
    <row r="1127" spans="1:8" x14ac:dyDescent="0.25">
      <c r="A1127" t="s">
        <v>349</v>
      </c>
      <c r="B1127">
        <v>130626</v>
      </c>
      <c r="C1127" s="2">
        <v>605.5</v>
      </c>
      <c r="D1127" s="1">
        <v>43857</v>
      </c>
      <c r="E1127" t="str">
        <f>"3017740208"</f>
        <v>3017740208</v>
      </c>
      <c r="F1127" t="str">
        <f>"ACCT#729644/PCT#4"</f>
        <v>ACCT#729644/PCT#4</v>
      </c>
      <c r="G1127" s="2">
        <v>605.5</v>
      </c>
      <c r="H1127" t="str">
        <f>"ACCT#729644/PCT#4"</f>
        <v>ACCT#729644/PCT#4</v>
      </c>
    </row>
    <row r="1128" spans="1:8" x14ac:dyDescent="0.25">
      <c r="A1128" t="s">
        <v>350</v>
      </c>
      <c r="B1128">
        <v>130627</v>
      </c>
      <c r="C1128" s="2">
        <v>147.19999999999999</v>
      </c>
      <c r="D1128" s="1">
        <v>43857</v>
      </c>
      <c r="E1128" t="str">
        <f>"31658"</f>
        <v>31658</v>
      </c>
      <c r="F1128" t="str">
        <f>"PARTS / P1"</f>
        <v>PARTS / P1</v>
      </c>
      <c r="G1128" s="2">
        <v>147.19999999999999</v>
      </c>
      <c r="H1128" t="str">
        <f>"PARTS / P1"</f>
        <v>PARTS / P1</v>
      </c>
    </row>
    <row r="1129" spans="1:8" x14ac:dyDescent="0.25">
      <c r="A1129" t="s">
        <v>351</v>
      </c>
      <c r="B1129">
        <v>2095</v>
      </c>
      <c r="C1129" s="2">
        <v>351.75</v>
      </c>
      <c r="D1129" s="1">
        <v>43858</v>
      </c>
      <c r="E1129" t="str">
        <f>"202001214714"</f>
        <v>202001214714</v>
      </c>
      <c r="F1129" t="str">
        <f>"INDIGENT HEALTH"</f>
        <v>INDIGENT HEALTH</v>
      </c>
      <c r="G1129" s="2">
        <v>351.75</v>
      </c>
      <c r="H1129" t="str">
        <f>"INDIGENT HEALTH"</f>
        <v>INDIGENT HEALTH</v>
      </c>
    </row>
    <row r="1130" spans="1:8" x14ac:dyDescent="0.25">
      <c r="A1130" t="s">
        <v>352</v>
      </c>
      <c r="B1130">
        <v>130464</v>
      </c>
      <c r="C1130" s="2">
        <v>55</v>
      </c>
      <c r="D1130" s="1">
        <v>43843</v>
      </c>
      <c r="E1130" t="str">
        <f>"202001024386"</f>
        <v>202001024386</v>
      </c>
      <c r="F1130" t="str">
        <f>"FERAL HOGS"</f>
        <v>FERAL HOGS</v>
      </c>
      <c r="G1130" s="2">
        <v>55</v>
      </c>
      <c r="H1130" t="str">
        <f>"FERAL HOGS"</f>
        <v>FERAL HOGS</v>
      </c>
    </row>
    <row r="1131" spans="1:8" x14ac:dyDescent="0.25">
      <c r="A1131" t="s">
        <v>353</v>
      </c>
      <c r="B1131">
        <v>130628</v>
      </c>
      <c r="C1131" s="2">
        <v>113.49</v>
      </c>
      <c r="D1131" s="1">
        <v>43857</v>
      </c>
      <c r="E1131" t="str">
        <f>"202001214718"</f>
        <v>202001214718</v>
      </c>
      <c r="F1131" t="str">
        <f>"INDIGENT HEALTH"</f>
        <v>INDIGENT HEALTH</v>
      </c>
      <c r="G1131" s="2">
        <v>113.49</v>
      </c>
      <c r="H1131" t="str">
        <f>"INDIGENT HEALTH"</f>
        <v>INDIGENT HEALTH</v>
      </c>
    </row>
    <row r="1132" spans="1:8" x14ac:dyDescent="0.25">
      <c r="E1132" t="str">
        <f>""</f>
        <v/>
      </c>
      <c r="F1132" t="str">
        <f>""</f>
        <v/>
      </c>
      <c r="H1132" t="str">
        <f>"INDIGENT HEALTH"</f>
        <v>INDIGENT HEALTH</v>
      </c>
    </row>
    <row r="1133" spans="1:8" x14ac:dyDescent="0.25">
      <c r="A1133" t="s">
        <v>354</v>
      </c>
      <c r="B1133">
        <v>130629</v>
      </c>
      <c r="C1133" s="2">
        <v>1405.05</v>
      </c>
      <c r="D1133" s="1">
        <v>43857</v>
      </c>
      <c r="E1133" t="str">
        <f>"202001214719"</f>
        <v>202001214719</v>
      </c>
      <c r="F1133" t="str">
        <f>"INDIGENT HEALTH"</f>
        <v>INDIGENT HEALTH</v>
      </c>
      <c r="G1133" s="2">
        <v>1405.05</v>
      </c>
      <c r="H1133" t="str">
        <f>"INDIGENT HEALTH"</f>
        <v>INDIGENT HEALTH</v>
      </c>
    </row>
    <row r="1134" spans="1:8" x14ac:dyDescent="0.25">
      <c r="A1134" t="s">
        <v>355</v>
      </c>
      <c r="B1134">
        <v>2022</v>
      </c>
      <c r="C1134" s="2">
        <v>1260</v>
      </c>
      <c r="D1134" s="1">
        <v>43844</v>
      </c>
      <c r="E1134" t="str">
        <f>"6748"</f>
        <v>6748</v>
      </c>
      <c r="F1134" t="str">
        <f>"Panic Buttons"</f>
        <v>Panic Buttons</v>
      </c>
      <c r="G1134" s="2">
        <v>1260</v>
      </c>
      <c r="H1134" t="str">
        <f>"Panic Buttons"</f>
        <v>Panic Buttons</v>
      </c>
    </row>
    <row r="1135" spans="1:8" x14ac:dyDescent="0.25">
      <c r="E1135" t="str">
        <f>""</f>
        <v/>
      </c>
      <c r="F1135" t="str">
        <f>""</f>
        <v/>
      </c>
      <c r="H1135" t="str">
        <f>"shiping"</f>
        <v>shiping</v>
      </c>
    </row>
    <row r="1136" spans="1:8" x14ac:dyDescent="0.25">
      <c r="A1136" t="s">
        <v>356</v>
      </c>
      <c r="B1136">
        <v>130630</v>
      </c>
      <c r="C1136" s="2">
        <v>3333</v>
      </c>
      <c r="D1136" s="1">
        <v>43857</v>
      </c>
      <c r="E1136" t="str">
        <f>"1220191"</f>
        <v>1220191</v>
      </c>
      <c r="F1136" t="str">
        <f>"RX ASSISTANCE PROGRAM"</f>
        <v>RX ASSISTANCE PROGRAM</v>
      </c>
      <c r="G1136" s="2">
        <v>3333</v>
      </c>
      <c r="H1136" t="str">
        <f>"RX ASSISTANCE PROGRAM"</f>
        <v>RX ASSISTANCE PROGRAM</v>
      </c>
    </row>
    <row r="1137" spans="1:9" x14ac:dyDescent="0.25">
      <c r="A1137" t="s">
        <v>357</v>
      </c>
      <c r="B1137">
        <v>130631</v>
      </c>
      <c r="C1137" s="2">
        <v>30</v>
      </c>
      <c r="D1137" s="1">
        <v>43857</v>
      </c>
      <c r="E1137" t="s">
        <v>358</v>
      </c>
      <c r="F1137" t="s">
        <v>359</v>
      </c>
      <c r="G1137" s="2" t="str">
        <f>"RESTITUTION-D. MCCOMB"</f>
        <v>RESTITUTION-D. MCCOMB</v>
      </c>
      <c r="H1137" t="str">
        <f>"210-0000"</f>
        <v>210-0000</v>
      </c>
      <c r="I1137" t="str">
        <f>""</f>
        <v/>
      </c>
    </row>
    <row r="1138" spans="1:9" x14ac:dyDescent="0.25">
      <c r="A1138" t="s">
        <v>360</v>
      </c>
      <c r="B1138">
        <v>130465</v>
      </c>
      <c r="C1138" s="2">
        <v>1002.22</v>
      </c>
      <c r="D1138" s="1">
        <v>43843</v>
      </c>
      <c r="E1138" t="str">
        <f>"202001074428"</f>
        <v>202001074428</v>
      </c>
      <c r="F1138" t="str">
        <f>"ACCT#20147/ANIMAL SERVICES"</f>
        <v>ACCT#20147/ANIMAL SERVICES</v>
      </c>
      <c r="G1138" s="2">
        <v>665.3</v>
      </c>
      <c r="H1138" t="str">
        <f>"ACCT#20147/ANIMAL SERVICES"</f>
        <v>ACCT#20147/ANIMAL SERVICES</v>
      </c>
    </row>
    <row r="1139" spans="1:9" x14ac:dyDescent="0.25">
      <c r="E1139" t="str">
        <f>"202001074429"</f>
        <v>202001074429</v>
      </c>
      <c r="F1139" t="str">
        <f>"ACCT#20150/PRECINCT#1"</f>
        <v>ACCT#20150/PRECINCT#1</v>
      </c>
      <c r="G1139" s="2">
        <v>336.92</v>
      </c>
      <c r="H1139" t="str">
        <f>"ACCT#20150/PRECINCT#1"</f>
        <v>ACCT#20150/PRECINCT#1</v>
      </c>
    </row>
    <row r="1140" spans="1:9" x14ac:dyDescent="0.25">
      <c r="A1140" t="s">
        <v>361</v>
      </c>
      <c r="B1140">
        <v>130466</v>
      </c>
      <c r="C1140" s="2">
        <v>25296.49</v>
      </c>
      <c r="D1140" s="1">
        <v>43843</v>
      </c>
      <c r="E1140" t="str">
        <f>"202001104596"</f>
        <v>202001104596</v>
      </c>
      <c r="F1140" t="str">
        <f>" INV# GB00352717"</f>
        <v xml:space="preserve"> INV# GB00352717</v>
      </c>
      <c r="G1140" s="2">
        <v>1886.49</v>
      </c>
      <c r="H1140" t="str">
        <f>" INV# GB00352717"</f>
        <v xml:space="preserve"> INV# GB00352717</v>
      </c>
    </row>
    <row r="1141" spans="1:9" x14ac:dyDescent="0.25">
      <c r="E1141" t="str">
        <f>""</f>
        <v/>
      </c>
      <c r="F1141" t="str">
        <f>""</f>
        <v/>
      </c>
      <c r="H1141" t="str">
        <f>" INV# GB00352717"</f>
        <v xml:space="preserve"> INV# GB00352717</v>
      </c>
    </row>
    <row r="1142" spans="1:9" x14ac:dyDescent="0.25">
      <c r="E1142" t="str">
        <f>"GB00351895"</f>
        <v>GB00351895</v>
      </c>
      <c r="F1142" t="str">
        <f>"CommVault Premium Support"</f>
        <v>CommVault Premium Support</v>
      </c>
      <c r="G1142" s="2">
        <v>21390</v>
      </c>
      <c r="H1142" t="str">
        <f>"FY 20/21; S-PREM-RNW"</f>
        <v>FY 20/21; S-PREM-RNW</v>
      </c>
    </row>
    <row r="1143" spans="1:9" x14ac:dyDescent="0.25">
      <c r="E1143" t="str">
        <f>""</f>
        <v/>
      </c>
      <c r="F1143" t="str">
        <f>""</f>
        <v/>
      </c>
      <c r="H1143" t="str">
        <f>"FY20/21; ED-OD-PRO-M"</f>
        <v>FY20/21; ED-OD-PRO-M</v>
      </c>
    </row>
    <row r="1144" spans="1:9" x14ac:dyDescent="0.25">
      <c r="E1144" t="str">
        <f>""</f>
        <v/>
      </c>
      <c r="F1144" t="str">
        <f>""</f>
        <v/>
      </c>
      <c r="H1144" t="str">
        <f>"FY19/20; S-PREM-RNWL"</f>
        <v>FY19/20; S-PREM-RNWL</v>
      </c>
    </row>
    <row r="1145" spans="1:9" x14ac:dyDescent="0.25">
      <c r="E1145" t="str">
        <f>""</f>
        <v/>
      </c>
      <c r="F1145" t="str">
        <f>""</f>
        <v/>
      </c>
      <c r="H1145" t="str">
        <f>"FY19/20; ED-OD-PRO-M"</f>
        <v>FY19/20; ED-OD-PRO-M</v>
      </c>
    </row>
    <row r="1146" spans="1:9" x14ac:dyDescent="0.25">
      <c r="E1146" t="str">
        <f>"GB00353538"</f>
        <v>GB00353538</v>
      </c>
      <c r="F1146" t="str">
        <f>"Adobe Renewal"</f>
        <v>Adobe Renewal</v>
      </c>
      <c r="G1146" s="2">
        <v>2020</v>
      </c>
      <c r="H1146" t="str">
        <f>"InDesign"</f>
        <v>InDesign</v>
      </c>
    </row>
    <row r="1147" spans="1:9" x14ac:dyDescent="0.25">
      <c r="E1147" t="str">
        <f>""</f>
        <v/>
      </c>
      <c r="F1147" t="str">
        <f>""</f>
        <v/>
      </c>
      <c r="H1147" t="str">
        <f>"Photoshop"</f>
        <v>Photoshop</v>
      </c>
    </row>
    <row r="1148" spans="1:9" x14ac:dyDescent="0.25">
      <c r="A1148" t="s">
        <v>361</v>
      </c>
      <c r="B1148">
        <v>130632</v>
      </c>
      <c r="C1148" s="2">
        <v>1164</v>
      </c>
      <c r="D1148" s="1">
        <v>43857</v>
      </c>
      <c r="E1148" t="str">
        <f>"GB00353788"</f>
        <v>GB00353788</v>
      </c>
      <c r="F1148" t="str">
        <f>"Phone for HR"</f>
        <v>Phone for HR</v>
      </c>
      <c r="G1148" s="2">
        <v>211</v>
      </c>
      <c r="H1148" t="str">
        <f>"Part# CP-8811-K9="</f>
        <v>Part# CP-8811-K9=</v>
      </c>
    </row>
    <row r="1149" spans="1:9" x14ac:dyDescent="0.25">
      <c r="E1149" t="str">
        <f>"GB00353916"</f>
        <v>GB00353916</v>
      </c>
      <c r="F1149" t="str">
        <f>"Scanner for County Clerk'"</f>
        <v>Scanner for County Clerk'</v>
      </c>
      <c r="G1149" s="2">
        <v>953</v>
      </c>
      <c r="H1149" t="str">
        <f>"Part#: PA03670-B065"</f>
        <v>Part#: PA03670-B065</v>
      </c>
    </row>
    <row r="1150" spans="1:9" x14ac:dyDescent="0.25">
      <c r="A1150" t="s">
        <v>362</v>
      </c>
      <c r="B1150">
        <v>130633</v>
      </c>
      <c r="C1150" s="2">
        <v>14.98</v>
      </c>
      <c r="D1150" s="1">
        <v>43857</v>
      </c>
      <c r="E1150" t="str">
        <f>"1082462"</f>
        <v>1082462</v>
      </c>
      <c r="F1150" t="str">
        <f>"PARTS / P2"</f>
        <v>PARTS / P2</v>
      </c>
      <c r="G1150" s="2">
        <v>14.98</v>
      </c>
      <c r="H1150" t="str">
        <f>"PARTS / P2"</f>
        <v>PARTS / P2</v>
      </c>
    </row>
    <row r="1151" spans="1:9" x14ac:dyDescent="0.25">
      <c r="A1151" t="s">
        <v>363</v>
      </c>
      <c r="B1151">
        <v>130467</v>
      </c>
      <c r="C1151" s="2">
        <v>506.84</v>
      </c>
      <c r="D1151" s="1">
        <v>43843</v>
      </c>
      <c r="E1151" t="str">
        <f>"8128918800"</f>
        <v>8128918800</v>
      </c>
      <c r="F1151" t="str">
        <f>"INV 8128918800"</f>
        <v>INV 8128918800</v>
      </c>
      <c r="G1151" s="2">
        <v>159.91</v>
      </c>
      <c r="H1151" t="str">
        <f>"INV 8128918800 (LE)"</f>
        <v>INV 8128918800 (LE)</v>
      </c>
    </row>
    <row r="1152" spans="1:9" x14ac:dyDescent="0.25">
      <c r="E1152" t="str">
        <f>""</f>
        <v/>
      </c>
      <c r="F1152" t="str">
        <f>""</f>
        <v/>
      </c>
      <c r="H1152" t="str">
        <f>"INV 8128918800 (JAIL"</f>
        <v>INV 8128918800 (JAIL</v>
      </c>
    </row>
    <row r="1153" spans="1:8" x14ac:dyDescent="0.25">
      <c r="E1153" t="str">
        <f>"8128919363"</f>
        <v>8128919363</v>
      </c>
      <c r="F1153" t="str">
        <f>"CUST#16155373/PURCHASING"</f>
        <v>CUST#16155373/PURCHASING</v>
      </c>
      <c r="G1153" s="2">
        <v>123.44</v>
      </c>
      <c r="H1153" t="str">
        <f t="shared" ref="H1153:H1158" si="19">"CUST#16155373/PURCHASING"</f>
        <v>CUST#16155373/PURCHASING</v>
      </c>
    </row>
    <row r="1154" spans="1:8" x14ac:dyDescent="0.25">
      <c r="E1154" t="str">
        <f>""</f>
        <v/>
      </c>
      <c r="F1154" t="str">
        <f>""</f>
        <v/>
      </c>
      <c r="H1154" t="str">
        <f t="shared" si="19"/>
        <v>CUST#16155373/PURCHASING</v>
      </c>
    </row>
    <row r="1155" spans="1:8" x14ac:dyDescent="0.25">
      <c r="E1155" t="str">
        <f>""</f>
        <v/>
      </c>
      <c r="F1155" t="str">
        <f>""</f>
        <v/>
      </c>
      <c r="H1155" t="str">
        <f t="shared" si="19"/>
        <v>CUST#16155373/PURCHASING</v>
      </c>
    </row>
    <row r="1156" spans="1:8" x14ac:dyDescent="0.25">
      <c r="E1156" t="str">
        <f>""</f>
        <v/>
      </c>
      <c r="F1156" t="str">
        <f>""</f>
        <v/>
      </c>
      <c r="H1156" t="str">
        <f t="shared" si="19"/>
        <v>CUST#16155373/PURCHASING</v>
      </c>
    </row>
    <row r="1157" spans="1:8" x14ac:dyDescent="0.25">
      <c r="E1157" t="str">
        <f>""</f>
        <v/>
      </c>
      <c r="F1157" t="str">
        <f>""</f>
        <v/>
      </c>
      <c r="H1157" t="str">
        <f t="shared" si="19"/>
        <v>CUST#16155373/PURCHASING</v>
      </c>
    </row>
    <row r="1158" spans="1:8" x14ac:dyDescent="0.25">
      <c r="E1158" t="str">
        <f>""</f>
        <v/>
      </c>
      <c r="F1158" t="str">
        <f>""</f>
        <v/>
      </c>
      <c r="H1158" t="str">
        <f t="shared" si="19"/>
        <v>CUST#16155373/PURCHASING</v>
      </c>
    </row>
    <row r="1159" spans="1:8" x14ac:dyDescent="0.25">
      <c r="E1159" t="str">
        <f>"8128919406"</f>
        <v>8128919406</v>
      </c>
      <c r="F1159" t="str">
        <f>"CUST#16156071/TAX OFFICE"</f>
        <v>CUST#16156071/TAX OFFICE</v>
      </c>
      <c r="G1159" s="2">
        <v>83.89</v>
      </c>
      <c r="H1159" t="str">
        <f>"CUST#16156071/TAX OFFICE"</f>
        <v>CUST#16156071/TAX OFFICE</v>
      </c>
    </row>
    <row r="1160" spans="1:8" x14ac:dyDescent="0.25">
      <c r="E1160" t="str">
        <f>"8128919485"</f>
        <v>8128919485</v>
      </c>
      <c r="F1160" t="str">
        <f>"CUST#16158670"</f>
        <v>CUST#16158670</v>
      </c>
      <c r="G1160" s="2">
        <v>67.510000000000005</v>
      </c>
      <c r="H1160" t="str">
        <f>"CUST#16158670"</f>
        <v>CUST#16158670</v>
      </c>
    </row>
    <row r="1161" spans="1:8" x14ac:dyDescent="0.25">
      <c r="E1161" t="str">
        <f>"8128919610"</f>
        <v>8128919610</v>
      </c>
      <c r="F1161" t="str">
        <f>"CUST#16160327/OEM"</f>
        <v>CUST#16160327/OEM</v>
      </c>
      <c r="G1161" s="2">
        <v>72.09</v>
      </c>
      <c r="H1161" t="str">
        <f>"CUST#16160327/OEM"</f>
        <v>CUST#16160327/OEM</v>
      </c>
    </row>
    <row r="1162" spans="1:8" x14ac:dyDescent="0.25">
      <c r="E1162" t="str">
        <f>""</f>
        <v/>
      </c>
      <c r="F1162" t="str">
        <f>""</f>
        <v/>
      </c>
      <c r="H1162" t="str">
        <f>"CUST#16160327/OEM"</f>
        <v>CUST#16160327/OEM</v>
      </c>
    </row>
    <row r="1163" spans="1:8" x14ac:dyDescent="0.25">
      <c r="A1163" t="s">
        <v>364</v>
      </c>
      <c r="B1163">
        <v>130634</v>
      </c>
      <c r="C1163" s="2">
        <v>501.64</v>
      </c>
      <c r="D1163" s="1">
        <v>43857</v>
      </c>
      <c r="E1163" t="str">
        <f>"202001214720"</f>
        <v>202001214720</v>
      </c>
      <c r="F1163" t="str">
        <f>"INDIGENT HEALTH"</f>
        <v>INDIGENT HEALTH</v>
      </c>
      <c r="G1163" s="2">
        <v>501.64</v>
      </c>
      <c r="H1163" t="str">
        <f>"INDIGENT HEALTH"</f>
        <v>INDIGENT HEALTH</v>
      </c>
    </row>
    <row r="1164" spans="1:8" x14ac:dyDescent="0.25">
      <c r="A1164" t="s">
        <v>365</v>
      </c>
      <c r="B1164">
        <v>130468</v>
      </c>
      <c r="C1164" s="2">
        <v>6.95</v>
      </c>
      <c r="D1164" s="1">
        <v>43843</v>
      </c>
      <c r="E1164" t="str">
        <f>"3175*146*1"</f>
        <v>3175*146*1</v>
      </c>
      <c r="F1164" t="str">
        <f>"JAIL MEDICAL"</f>
        <v>JAIL MEDICAL</v>
      </c>
      <c r="G1164" s="2">
        <v>6.95</v>
      </c>
      <c r="H1164" t="str">
        <f>"JAIL MEDICAL"</f>
        <v>JAIL MEDICAL</v>
      </c>
    </row>
    <row r="1165" spans="1:8" x14ac:dyDescent="0.25">
      <c r="A1165" t="s">
        <v>365</v>
      </c>
      <c r="B1165">
        <v>130635</v>
      </c>
      <c r="C1165" s="2">
        <v>5.88</v>
      </c>
      <c r="D1165" s="1">
        <v>43857</v>
      </c>
      <c r="E1165" t="str">
        <f>"202001214721"</f>
        <v>202001214721</v>
      </c>
      <c r="F1165" t="str">
        <f>"INDIGENT HEALTH"</f>
        <v>INDIGENT HEALTH</v>
      </c>
      <c r="G1165" s="2">
        <v>5.88</v>
      </c>
      <c r="H1165" t="str">
        <f>"INDIGENT HEALTH"</f>
        <v>INDIGENT HEALTH</v>
      </c>
    </row>
    <row r="1166" spans="1:8" x14ac:dyDescent="0.25">
      <c r="A1166" t="s">
        <v>366</v>
      </c>
      <c r="B1166">
        <v>130469</v>
      </c>
      <c r="C1166" s="2">
        <v>154.06</v>
      </c>
      <c r="D1166" s="1">
        <v>43843</v>
      </c>
      <c r="E1166" t="str">
        <f>"32316"</f>
        <v>32316</v>
      </c>
      <c r="F1166" t="str">
        <f>"SUPPLIES/PCT#2"</f>
        <v>SUPPLIES/PCT#2</v>
      </c>
      <c r="G1166" s="2">
        <v>154.06</v>
      </c>
      <c r="H1166" t="str">
        <f>"SUPPLIES/PCT#2"</f>
        <v>SUPPLIES/PCT#2</v>
      </c>
    </row>
    <row r="1167" spans="1:8" x14ac:dyDescent="0.25">
      <c r="A1167" t="s">
        <v>367</v>
      </c>
      <c r="B1167">
        <v>130470</v>
      </c>
      <c r="C1167" s="2">
        <v>151.26</v>
      </c>
      <c r="D1167" s="1">
        <v>43843</v>
      </c>
      <c r="E1167" t="str">
        <f>"202001074438"</f>
        <v>202001074438</v>
      </c>
      <c r="F1167" t="str">
        <f>"ACCT#260/PCT#2"</f>
        <v>ACCT#260/PCT#2</v>
      </c>
      <c r="G1167" s="2">
        <v>151.26</v>
      </c>
      <c r="H1167" t="str">
        <f>"ACCT#260/PCT#2"</f>
        <v>ACCT#260/PCT#2</v>
      </c>
    </row>
    <row r="1168" spans="1:8" x14ac:dyDescent="0.25">
      <c r="A1168" t="s">
        <v>368</v>
      </c>
      <c r="B1168">
        <v>130636</v>
      </c>
      <c r="C1168" s="2">
        <v>280</v>
      </c>
      <c r="D1168" s="1">
        <v>43857</v>
      </c>
      <c r="E1168" t="str">
        <f>"IN463245"</f>
        <v>IN463245</v>
      </c>
      <c r="F1168" t="str">
        <f>"Renewal"</f>
        <v>Renewal</v>
      </c>
      <c r="G1168" s="2">
        <v>280</v>
      </c>
      <c r="H1168" t="str">
        <f>"DameWare"</f>
        <v>DameWare</v>
      </c>
    </row>
    <row r="1169" spans="1:8" x14ac:dyDescent="0.25">
      <c r="A1169" t="s">
        <v>369</v>
      </c>
      <c r="B1169">
        <v>130471</v>
      </c>
      <c r="C1169" s="2">
        <v>2223.31</v>
      </c>
      <c r="D1169" s="1">
        <v>43843</v>
      </c>
      <c r="E1169" t="str">
        <f>"4650032070"</f>
        <v>4650032070</v>
      </c>
      <c r="F1169" t="str">
        <f>"CUST#52157/PCT#4"</f>
        <v>CUST#52157/PCT#4</v>
      </c>
      <c r="G1169" s="2">
        <v>125</v>
      </c>
      <c r="H1169" t="str">
        <f>"CUST#52157/PCT#4"</f>
        <v>CUST#52157/PCT#4</v>
      </c>
    </row>
    <row r="1170" spans="1:8" x14ac:dyDescent="0.25">
      <c r="E1170" t="str">
        <f>"4650033502"</f>
        <v>4650033502</v>
      </c>
      <c r="F1170" t="str">
        <f>"CUST#52157/PCT#3"</f>
        <v>CUST#52157/PCT#3</v>
      </c>
      <c r="G1170" s="2">
        <v>225.45</v>
      </c>
      <c r="H1170" t="str">
        <f>"CUST#52157/PCT#3"</f>
        <v>CUST#52157/PCT#3</v>
      </c>
    </row>
    <row r="1171" spans="1:8" x14ac:dyDescent="0.25">
      <c r="E1171" t="str">
        <f>"4660009766"</f>
        <v>4660009766</v>
      </c>
      <c r="F1171" t="str">
        <f>"CUST#52157/PCT#4"</f>
        <v>CUST#52157/PCT#4</v>
      </c>
      <c r="G1171" s="2">
        <v>1872.86</v>
      </c>
      <c r="H1171" t="str">
        <f>"CUST#52157/PCT#4"</f>
        <v>CUST#52157/PCT#4</v>
      </c>
    </row>
    <row r="1172" spans="1:8" x14ac:dyDescent="0.25">
      <c r="A1172" t="s">
        <v>369</v>
      </c>
      <c r="B1172">
        <v>130637</v>
      </c>
      <c r="C1172" s="2">
        <v>2355.31</v>
      </c>
      <c r="D1172" s="1">
        <v>43857</v>
      </c>
      <c r="E1172" t="str">
        <f>"4650033919"</f>
        <v>4650033919</v>
      </c>
      <c r="F1172" t="str">
        <f>"CUST#52157/PCT#4"</f>
        <v>CUST#52157/PCT#4</v>
      </c>
      <c r="G1172" s="2">
        <v>766.48</v>
      </c>
      <c r="H1172" t="str">
        <f>"CUST#52157/PCT#4"</f>
        <v>CUST#52157/PCT#4</v>
      </c>
    </row>
    <row r="1173" spans="1:8" x14ac:dyDescent="0.25">
      <c r="E1173" t="str">
        <f>"4650033970"</f>
        <v>4650033970</v>
      </c>
      <c r="F1173" t="str">
        <f>"CUST#52157/PCT#3"</f>
        <v>CUST#52157/PCT#3</v>
      </c>
      <c r="G1173" s="2">
        <v>662.5</v>
      </c>
      <c r="H1173" t="str">
        <f>"CUST#52157/PCT#3"</f>
        <v>CUST#52157/PCT#3</v>
      </c>
    </row>
    <row r="1174" spans="1:8" x14ac:dyDescent="0.25">
      <c r="E1174" t="str">
        <f>"4650034262"</f>
        <v>4650034262</v>
      </c>
      <c r="F1174" t="str">
        <f>"CUST#52157/PCT#1"</f>
        <v>CUST#52157/PCT#1</v>
      </c>
      <c r="G1174" s="2">
        <v>185.5</v>
      </c>
      <c r="H1174" t="str">
        <f>"CUST#52157/PCT#1"</f>
        <v>CUST#52157/PCT#1</v>
      </c>
    </row>
    <row r="1175" spans="1:8" x14ac:dyDescent="0.25">
      <c r="E1175" t="str">
        <f>"4650034684"</f>
        <v>4650034684</v>
      </c>
      <c r="F1175" t="str">
        <f>"CUST#52157/PCT#3"</f>
        <v>CUST#52157/PCT#3</v>
      </c>
      <c r="G1175" s="2">
        <v>69.180000000000007</v>
      </c>
      <c r="H1175" t="str">
        <f>"CUST#52157/PCT#3"</f>
        <v>CUST#52157/PCT#3</v>
      </c>
    </row>
    <row r="1176" spans="1:8" x14ac:dyDescent="0.25">
      <c r="E1176" t="str">
        <f>"4650034705"</f>
        <v>4650034705</v>
      </c>
      <c r="F1176" t="str">
        <f>"CUST#52157/PCT#3"</f>
        <v>CUST#52157/PCT#3</v>
      </c>
      <c r="G1176" s="2">
        <v>295.89999999999998</v>
      </c>
      <c r="H1176" t="str">
        <f>"CUST#52157/PCT#3"</f>
        <v>CUST#52157/PCT#3</v>
      </c>
    </row>
    <row r="1177" spans="1:8" x14ac:dyDescent="0.25">
      <c r="E1177" t="str">
        <f>"4660010204"</f>
        <v>4660010204</v>
      </c>
      <c r="F1177" t="str">
        <f>"TIRES-SERVICE / P2"</f>
        <v>TIRES-SERVICE / P2</v>
      </c>
      <c r="G1177" s="2">
        <v>375.75</v>
      </c>
      <c r="H1177" t="str">
        <f>"TIRES-SERVICE / P2"</f>
        <v>TIRES-SERVICE / P2</v>
      </c>
    </row>
    <row r="1178" spans="1:8" x14ac:dyDescent="0.25">
      <c r="A1178" t="s">
        <v>370</v>
      </c>
      <c r="B1178">
        <v>130638</v>
      </c>
      <c r="C1178" s="2">
        <v>15.03</v>
      </c>
      <c r="D1178" s="1">
        <v>43857</v>
      </c>
      <c r="E1178" t="str">
        <f>"9604456 010220"</f>
        <v>9604456 010220</v>
      </c>
      <c r="F1178" t="str">
        <f>"ACCT#46668439604456/JP2"</f>
        <v>ACCT#46668439604456/JP2</v>
      </c>
      <c r="G1178" s="2">
        <v>15.03</v>
      </c>
      <c r="H1178" t="str">
        <f>"ACCT#46668439604456/JP2"</f>
        <v>ACCT#46668439604456/JP2</v>
      </c>
    </row>
    <row r="1179" spans="1:8" x14ac:dyDescent="0.25">
      <c r="A1179" t="s">
        <v>371</v>
      </c>
      <c r="B1179">
        <v>130472</v>
      </c>
      <c r="C1179" s="2">
        <v>159.47</v>
      </c>
      <c r="D1179" s="1">
        <v>43843</v>
      </c>
      <c r="E1179" t="str">
        <f>"S1033885"</f>
        <v>S1033885</v>
      </c>
      <c r="F1179" t="str">
        <f>"ACCT#114382/ANIMAL SHELTER"</f>
        <v>ACCT#114382/ANIMAL SHELTER</v>
      </c>
      <c r="G1179" s="2">
        <v>159.47</v>
      </c>
      <c r="H1179" t="str">
        <f>"ACCT#114382/ANIMAL SHELTER"</f>
        <v>ACCT#114382/ANIMAL SHELTER</v>
      </c>
    </row>
    <row r="1180" spans="1:8" x14ac:dyDescent="0.25">
      <c r="A1180" t="s">
        <v>372</v>
      </c>
      <c r="B1180">
        <v>130639</v>
      </c>
      <c r="C1180" s="2">
        <v>4682.88</v>
      </c>
      <c r="D1180" s="1">
        <v>43857</v>
      </c>
      <c r="E1180" t="str">
        <f>"202001214722"</f>
        <v>202001214722</v>
      </c>
      <c r="F1180" t="str">
        <f>"INDIGENT HEALTH"</f>
        <v>INDIGENT HEALTH</v>
      </c>
      <c r="G1180" s="2">
        <v>4682.88</v>
      </c>
      <c r="H1180" t="str">
        <f>"INDIGENT HEALTH"</f>
        <v>INDIGENT HEALTH</v>
      </c>
    </row>
    <row r="1181" spans="1:8" x14ac:dyDescent="0.25">
      <c r="A1181" t="s">
        <v>373</v>
      </c>
      <c r="B1181">
        <v>130473</v>
      </c>
      <c r="C1181" s="2">
        <v>1961.57</v>
      </c>
      <c r="D1181" s="1">
        <v>43843</v>
      </c>
      <c r="E1181" t="str">
        <f>"8056822531"</f>
        <v>8056822531</v>
      </c>
      <c r="F1181" t="str">
        <f>"sum inv# 8056822531"</f>
        <v>sum inv# 8056822531</v>
      </c>
      <c r="G1181" s="2">
        <v>1961.57</v>
      </c>
      <c r="H1181" t="str">
        <f>"Inv# 3433912303"</f>
        <v>Inv# 3433912303</v>
      </c>
    </row>
    <row r="1182" spans="1:8" x14ac:dyDescent="0.25">
      <c r="E1182" t="str">
        <f>""</f>
        <v/>
      </c>
      <c r="F1182" t="str">
        <f>""</f>
        <v/>
      </c>
      <c r="H1182" t="str">
        <f>"Inv# 3433912304"</f>
        <v>Inv# 3433912304</v>
      </c>
    </row>
    <row r="1183" spans="1:8" x14ac:dyDescent="0.25">
      <c r="E1183" t="str">
        <f>""</f>
        <v/>
      </c>
      <c r="F1183" t="str">
        <f>""</f>
        <v/>
      </c>
      <c r="H1183" t="str">
        <f>"Inv# 3433912305"</f>
        <v>Inv# 3433912305</v>
      </c>
    </row>
    <row r="1184" spans="1:8" x14ac:dyDescent="0.25">
      <c r="E1184" t="str">
        <f>""</f>
        <v/>
      </c>
      <c r="F1184" t="str">
        <f>""</f>
        <v/>
      </c>
      <c r="H1184" t="str">
        <f>"Inv# 3433912307"</f>
        <v>Inv# 3433912307</v>
      </c>
    </row>
    <row r="1185" spans="1:8" x14ac:dyDescent="0.25">
      <c r="E1185" t="str">
        <f>""</f>
        <v/>
      </c>
      <c r="F1185" t="str">
        <f>""</f>
        <v/>
      </c>
      <c r="H1185" t="str">
        <f>"Inv# 3433912308"</f>
        <v>Inv# 3433912308</v>
      </c>
    </row>
    <row r="1186" spans="1:8" x14ac:dyDescent="0.25">
      <c r="E1186" t="str">
        <f>""</f>
        <v/>
      </c>
      <c r="F1186" t="str">
        <f>""</f>
        <v/>
      </c>
      <c r="H1186" t="str">
        <f>"Inv# 3433912311"</f>
        <v>Inv# 3433912311</v>
      </c>
    </row>
    <row r="1187" spans="1:8" x14ac:dyDescent="0.25">
      <c r="E1187" t="str">
        <f>""</f>
        <v/>
      </c>
      <c r="F1187" t="str">
        <f>""</f>
        <v/>
      </c>
      <c r="H1187" t="str">
        <f>"Inv# 3433912312"</f>
        <v>Inv# 3433912312</v>
      </c>
    </row>
    <row r="1188" spans="1:8" x14ac:dyDescent="0.25">
      <c r="E1188" t="str">
        <f>""</f>
        <v/>
      </c>
      <c r="F1188" t="str">
        <f>""</f>
        <v/>
      </c>
      <c r="H1188" t="str">
        <f>"Inv# 3433912313"</f>
        <v>Inv# 3433912313</v>
      </c>
    </row>
    <row r="1189" spans="1:8" x14ac:dyDescent="0.25">
      <c r="E1189" t="str">
        <f>""</f>
        <v/>
      </c>
      <c r="F1189" t="str">
        <f>""</f>
        <v/>
      </c>
      <c r="H1189" t="str">
        <f>"Inv# 3433912309"</f>
        <v>Inv# 3433912309</v>
      </c>
    </row>
    <row r="1190" spans="1:8" x14ac:dyDescent="0.25">
      <c r="E1190" t="str">
        <f>""</f>
        <v/>
      </c>
      <c r="F1190" t="str">
        <f>""</f>
        <v/>
      </c>
      <c r="H1190" t="str">
        <f>"Inv# 3433912310"</f>
        <v>Inv# 3433912310</v>
      </c>
    </row>
    <row r="1191" spans="1:8" x14ac:dyDescent="0.25">
      <c r="E1191" t="str">
        <f>""</f>
        <v/>
      </c>
      <c r="F1191" t="str">
        <f>""</f>
        <v/>
      </c>
      <c r="H1191" t="str">
        <f>"Inv# 3433912317"</f>
        <v>Inv# 3433912317</v>
      </c>
    </row>
    <row r="1192" spans="1:8" x14ac:dyDescent="0.25">
      <c r="E1192" t="str">
        <f>""</f>
        <v/>
      </c>
      <c r="F1192" t="str">
        <f>""</f>
        <v/>
      </c>
      <c r="H1192" t="str">
        <f>"Inv# 3433912314"</f>
        <v>Inv# 3433912314</v>
      </c>
    </row>
    <row r="1193" spans="1:8" x14ac:dyDescent="0.25">
      <c r="E1193" t="str">
        <f>""</f>
        <v/>
      </c>
      <c r="F1193" t="str">
        <f>""</f>
        <v/>
      </c>
      <c r="H1193" t="str">
        <f>"Inv# 3433912315"</f>
        <v>Inv# 3433912315</v>
      </c>
    </row>
    <row r="1194" spans="1:8" x14ac:dyDescent="0.25">
      <c r="E1194" t="str">
        <f>""</f>
        <v/>
      </c>
      <c r="F1194" t="str">
        <f>""</f>
        <v/>
      </c>
      <c r="H1194" t="str">
        <f>"Inv# 3433912302"</f>
        <v>Inv# 3433912302</v>
      </c>
    </row>
    <row r="1195" spans="1:8" x14ac:dyDescent="0.25">
      <c r="E1195" t="str">
        <f>""</f>
        <v/>
      </c>
      <c r="F1195" t="str">
        <f>""</f>
        <v/>
      </c>
      <c r="H1195" t="str">
        <f>"Inv# 3433912321"</f>
        <v>Inv# 3433912321</v>
      </c>
    </row>
    <row r="1196" spans="1:8" x14ac:dyDescent="0.25">
      <c r="E1196" t="str">
        <f>""</f>
        <v/>
      </c>
      <c r="F1196" t="str">
        <f>""</f>
        <v/>
      </c>
      <c r="H1196" t="str">
        <f>"Inv# 3433912320"</f>
        <v>Inv# 3433912320</v>
      </c>
    </row>
    <row r="1197" spans="1:8" x14ac:dyDescent="0.25">
      <c r="E1197" t="str">
        <f>""</f>
        <v/>
      </c>
      <c r="F1197" t="str">
        <f>""</f>
        <v/>
      </c>
      <c r="H1197" t="str">
        <f>"Inv# 3433912316"</f>
        <v>Inv# 3433912316</v>
      </c>
    </row>
    <row r="1198" spans="1:8" x14ac:dyDescent="0.25">
      <c r="E1198" t="str">
        <f>""</f>
        <v/>
      </c>
      <c r="F1198" t="str">
        <f>""</f>
        <v/>
      </c>
      <c r="H1198" t="str">
        <f>"Inv# 3433912319"</f>
        <v>Inv# 3433912319</v>
      </c>
    </row>
    <row r="1199" spans="1:8" x14ac:dyDescent="0.25">
      <c r="A1199" t="s">
        <v>373</v>
      </c>
      <c r="B1199">
        <v>130640</v>
      </c>
      <c r="C1199" s="2">
        <v>1325.74</v>
      </c>
      <c r="D1199" s="1">
        <v>43857</v>
      </c>
      <c r="E1199" t="str">
        <f>"8056955692"</f>
        <v>8056955692</v>
      </c>
      <c r="F1199" t="str">
        <f>"sum inv# 8056955692"</f>
        <v>sum inv# 8056955692</v>
      </c>
      <c r="G1199" s="2">
        <v>1325.74</v>
      </c>
      <c r="H1199" t="str">
        <f>"inv# 3435082256"</f>
        <v>inv# 3435082256</v>
      </c>
    </row>
    <row r="1200" spans="1:8" x14ac:dyDescent="0.25">
      <c r="E1200" t="str">
        <f>""</f>
        <v/>
      </c>
      <c r="F1200" t="str">
        <f>""</f>
        <v/>
      </c>
      <c r="H1200" t="str">
        <f>"inv# 3435082257"</f>
        <v>inv# 3435082257</v>
      </c>
    </row>
    <row r="1201" spans="1:8" x14ac:dyDescent="0.25">
      <c r="E1201" t="str">
        <f>""</f>
        <v/>
      </c>
      <c r="F1201" t="str">
        <f>""</f>
        <v/>
      </c>
      <c r="H1201" t="str">
        <f>"inv# 335082248"</f>
        <v>inv# 335082248</v>
      </c>
    </row>
    <row r="1202" spans="1:8" x14ac:dyDescent="0.25">
      <c r="E1202" t="str">
        <f>""</f>
        <v/>
      </c>
      <c r="F1202" t="str">
        <f>""</f>
        <v/>
      </c>
      <c r="H1202" t="str">
        <f>"inv# 3435082250"</f>
        <v>inv# 3435082250</v>
      </c>
    </row>
    <row r="1203" spans="1:8" x14ac:dyDescent="0.25">
      <c r="E1203" t="str">
        <f>""</f>
        <v/>
      </c>
      <c r="F1203" t="str">
        <f>""</f>
        <v/>
      </c>
      <c r="H1203" t="str">
        <f>"inv# 3435082251"</f>
        <v>inv# 3435082251</v>
      </c>
    </row>
    <row r="1204" spans="1:8" x14ac:dyDescent="0.25">
      <c r="E1204" t="str">
        <f>""</f>
        <v/>
      </c>
      <c r="F1204" t="str">
        <f>""</f>
        <v/>
      </c>
      <c r="H1204" t="str">
        <f>"inv# 3435082252"</f>
        <v>inv# 3435082252</v>
      </c>
    </row>
    <row r="1205" spans="1:8" x14ac:dyDescent="0.25">
      <c r="E1205" t="str">
        <f>""</f>
        <v/>
      </c>
      <c r="F1205" t="str">
        <f>""</f>
        <v/>
      </c>
      <c r="H1205" t="str">
        <f>"inv# 3435082254"</f>
        <v>inv# 3435082254</v>
      </c>
    </row>
    <row r="1206" spans="1:8" x14ac:dyDescent="0.25">
      <c r="E1206" t="str">
        <f>""</f>
        <v/>
      </c>
      <c r="F1206" t="str">
        <f>""</f>
        <v/>
      </c>
      <c r="H1206" t="str">
        <f>"inv# 3435082255"</f>
        <v>inv# 3435082255</v>
      </c>
    </row>
    <row r="1207" spans="1:8" x14ac:dyDescent="0.25">
      <c r="A1207" t="s">
        <v>374</v>
      </c>
      <c r="B1207">
        <v>130641</v>
      </c>
      <c r="C1207" s="2">
        <v>615.61</v>
      </c>
      <c r="D1207" s="1">
        <v>43857</v>
      </c>
      <c r="E1207" t="str">
        <f>"202001164633"</f>
        <v>202001164633</v>
      </c>
      <c r="F1207" t="str">
        <f>"DECEMBER 2019"</f>
        <v>DECEMBER 2019</v>
      </c>
      <c r="G1207" s="2">
        <v>615.61</v>
      </c>
      <c r="H1207" t="str">
        <f>"DECEMBER 2019"</f>
        <v>DECEMBER 2019</v>
      </c>
    </row>
    <row r="1208" spans="1:8" x14ac:dyDescent="0.25">
      <c r="A1208" t="s">
        <v>375</v>
      </c>
      <c r="B1208">
        <v>130474</v>
      </c>
      <c r="C1208" s="2">
        <v>55</v>
      </c>
      <c r="D1208" s="1">
        <v>43843</v>
      </c>
      <c r="E1208" t="str">
        <f>"202001024387"</f>
        <v>202001024387</v>
      </c>
      <c r="F1208" t="str">
        <f>"FERAL HOGS"</f>
        <v>FERAL HOGS</v>
      </c>
      <c r="G1208" s="2">
        <v>50</v>
      </c>
      <c r="H1208" t="str">
        <f>"FERAL HOGS"</f>
        <v>FERAL HOGS</v>
      </c>
    </row>
    <row r="1209" spans="1:8" x14ac:dyDescent="0.25">
      <c r="E1209" t="str">
        <f>"202001024388"</f>
        <v>202001024388</v>
      </c>
      <c r="F1209" t="str">
        <f>"FERAL HOGS"</f>
        <v>FERAL HOGS</v>
      </c>
      <c r="G1209" s="2">
        <v>5</v>
      </c>
      <c r="H1209" t="str">
        <f>"FERAL HOGS"</f>
        <v>FERAL HOGS</v>
      </c>
    </row>
    <row r="1210" spans="1:8" x14ac:dyDescent="0.25">
      <c r="A1210" t="s">
        <v>376</v>
      </c>
      <c r="B1210">
        <v>130475</v>
      </c>
      <c r="C1210" s="2">
        <v>795.59</v>
      </c>
      <c r="D1210" s="1">
        <v>43843</v>
      </c>
      <c r="E1210" t="str">
        <f>"409048394"</f>
        <v>409048394</v>
      </c>
      <c r="F1210" t="str">
        <f>"INV 409048394"</f>
        <v>INV 409048394</v>
      </c>
      <c r="G1210" s="2">
        <v>795.59</v>
      </c>
      <c r="H1210" t="str">
        <f>"INV 409048394"</f>
        <v>INV 409048394</v>
      </c>
    </row>
    <row r="1211" spans="1:8" x14ac:dyDescent="0.25">
      <c r="A1211" t="s">
        <v>376</v>
      </c>
      <c r="B1211">
        <v>130642</v>
      </c>
      <c r="C1211" s="2">
        <v>5057.25</v>
      </c>
      <c r="D1211" s="1">
        <v>43857</v>
      </c>
      <c r="E1211" t="str">
        <f>"4009115516"</f>
        <v>4009115516</v>
      </c>
      <c r="F1211" t="str">
        <f>"INV 4009115516"</f>
        <v>INV 4009115516</v>
      </c>
      <c r="G1211" s="2">
        <v>795.59</v>
      </c>
      <c r="H1211" t="str">
        <f>"INV 4009115516"</f>
        <v>INV 4009115516</v>
      </c>
    </row>
    <row r="1212" spans="1:8" x14ac:dyDescent="0.25">
      <c r="E1212" t="str">
        <f>"62802708384"</f>
        <v>62802708384</v>
      </c>
      <c r="F1212" t="str">
        <f>"CUST#94027/HAZARDOUS WASTE COL"</f>
        <v>CUST#94027/HAZARDOUS WASTE COL</v>
      </c>
      <c r="G1212" s="2">
        <v>4261.66</v>
      </c>
      <c r="H1212" t="str">
        <f>"CUST#94027/HAZARDOUS WASTE COL"</f>
        <v>CUST#94027/HAZARDOUS WASTE COL</v>
      </c>
    </row>
    <row r="1213" spans="1:8" x14ac:dyDescent="0.25">
      <c r="A1213" t="s">
        <v>377</v>
      </c>
      <c r="B1213">
        <v>130476</v>
      </c>
      <c r="C1213" s="2">
        <v>546</v>
      </c>
      <c r="D1213" s="1">
        <v>43843</v>
      </c>
      <c r="E1213" t="str">
        <f>"202001074441"</f>
        <v>202001074441</v>
      </c>
      <c r="F1213" t="str">
        <f>"TRASH REMOVAL12/23/19-12/31/19"</f>
        <v>TRASH REMOVAL12/23/19-12/31/19</v>
      </c>
      <c r="G1213" s="2">
        <v>325</v>
      </c>
      <c r="H1213" t="str">
        <f>"TRASH REMOVAL12/23/19-12/31/19"</f>
        <v>TRASH REMOVAL12/23/19-12/31/19</v>
      </c>
    </row>
    <row r="1214" spans="1:8" x14ac:dyDescent="0.25">
      <c r="E1214" t="str">
        <f>"202001074442"</f>
        <v>202001074442</v>
      </c>
      <c r="F1214" t="str">
        <f>"TRASH REMOVAL01/06/20-01/10/20"</f>
        <v>TRASH REMOVAL01/06/20-01/10/20</v>
      </c>
      <c r="G1214" s="2">
        <v>221</v>
      </c>
      <c r="H1214" t="str">
        <f>"TRASH REMOVAL01/06/20-01/10/20"</f>
        <v>TRASH REMOVAL01/06/20-01/10/20</v>
      </c>
    </row>
    <row r="1215" spans="1:8" x14ac:dyDescent="0.25">
      <c r="A1215" t="s">
        <v>377</v>
      </c>
      <c r="B1215">
        <v>130643</v>
      </c>
      <c r="C1215" s="2">
        <v>396.5</v>
      </c>
      <c r="D1215" s="1">
        <v>43857</v>
      </c>
      <c r="E1215" t="str">
        <f>"202001214734"</f>
        <v>202001214734</v>
      </c>
      <c r="F1215" t="str">
        <f>"TRASH REMOVAL 01/13-01/27/P4"</f>
        <v>TRASH REMOVAL 01/13-01/27/P4</v>
      </c>
      <c r="G1215" s="2">
        <v>396.5</v>
      </c>
      <c r="H1215" t="str">
        <f>"TRASH REMOVAL 01/13-01/27/P4"</f>
        <v>TRASH REMOVAL 01/13-01/27/P4</v>
      </c>
    </row>
    <row r="1216" spans="1:8" x14ac:dyDescent="0.25">
      <c r="A1216" t="s">
        <v>378</v>
      </c>
      <c r="B1216">
        <v>1994</v>
      </c>
      <c r="C1216" s="2">
        <v>1200</v>
      </c>
      <c r="D1216" s="1">
        <v>43844</v>
      </c>
      <c r="E1216" t="str">
        <f>"365"</f>
        <v>365</v>
      </c>
      <c r="F1216" t="str">
        <f>"MOW/SHRED ONLY/PCT#2"</f>
        <v>MOW/SHRED ONLY/PCT#2</v>
      </c>
      <c r="G1216" s="2">
        <v>1200</v>
      </c>
      <c r="H1216" t="str">
        <f>"MOW/SHRED ONLY/PCT#2"</f>
        <v>MOW/SHRED ONLY/PCT#2</v>
      </c>
    </row>
    <row r="1217" spans="1:8" x14ac:dyDescent="0.25">
      <c r="A1217" t="s">
        <v>378</v>
      </c>
      <c r="B1217">
        <v>2059</v>
      </c>
      <c r="C1217" s="2">
        <v>14228.42</v>
      </c>
      <c r="D1217" s="1">
        <v>43858</v>
      </c>
      <c r="E1217" t="str">
        <f>"370"</f>
        <v>370</v>
      </c>
      <c r="F1217" t="str">
        <f>"REMOVED VEGETATION/PCT#2"</f>
        <v>REMOVED VEGETATION/PCT#2</v>
      </c>
      <c r="G1217" s="2">
        <v>14228.42</v>
      </c>
      <c r="H1217" t="str">
        <f>"REMOVED VEGETATION/PCT#2"</f>
        <v>REMOVED VEGETATION/PCT#2</v>
      </c>
    </row>
    <row r="1218" spans="1:8" x14ac:dyDescent="0.25">
      <c r="A1218" t="s">
        <v>379</v>
      </c>
      <c r="B1218">
        <v>2001</v>
      </c>
      <c r="C1218" s="2">
        <v>3579.33</v>
      </c>
      <c r="D1218" s="1">
        <v>43844</v>
      </c>
      <c r="E1218" t="str">
        <f>"95539630"</f>
        <v>95539630</v>
      </c>
      <c r="F1218" t="str">
        <f>"ACCT#10187718/PCT#2"</f>
        <v>ACCT#10187718/PCT#2</v>
      </c>
      <c r="G1218" s="2">
        <v>3579.33</v>
      </c>
      <c r="H1218" t="str">
        <f>"ACCT#10187718/PCT#2"</f>
        <v>ACCT#10187718/PCT#2</v>
      </c>
    </row>
    <row r="1219" spans="1:8" x14ac:dyDescent="0.25">
      <c r="A1219" t="s">
        <v>379</v>
      </c>
      <c r="B1219">
        <v>2068</v>
      </c>
      <c r="C1219" s="2">
        <v>2634.82</v>
      </c>
      <c r="D1219" s="1">
        <v>43858</v>
      </c>
      <c r="E1219" t="str">
        <f>"95565687"</f>
        <v>95565687</v>
      </c>
      <c r="F1219" t="str">
        <f>"FUEL / P2"</f>
        <v>FUEL / P2</v>
      </c>
      <c r="G1219" s="2">
        <v>2634.82</v>
      </c>
      <c r="H1219" t="str">
        <f>"FUEL / P2"</f>
        <v>FUEL / P2</v>
      </c>
    </row>
    <row r="1220" spans="1:8" x14ac:dyDescent="0.25">
      <c r="A1220" t="s">
        <v>380</v>
      </c>
      <c r="B1220">
        <v>1990</v>
      </c>
      <c r="C1220" s="2">
        <v>41.28</v>
      </c>
      <c r="D1220" s="1">
        <v>43844</v>
      </c>
      <c r="E1220" t="str">
        <f>"20010206"</f>
        <v>20010206</v>
      </c>
      <c r="F1220" t="str">
        <f>"SVC CONTRACT 12/02/19-01/02/20"</f>
        <v>SVC CONTRACT 12/02/19-01/02/20</v>
      </c>
      <c r="G1220" s="2">
        <v>41.28</v>
      </c>
      <c r="H1220" t="str">
        <f>"SVC CONTRACT 12/02/19-01/02/20"</f>
        <v>SVC CONTRACT 12/02/19-01/02/20</v>
      </c>
    </row>
    <row r="1221" spans="1:8" x14ac:dyDescent="0.25">
      <c r="A1221" t="s">
        <v>381</v>
      </c>
      <c r="B1221">
        <v>2034</v>
      </c>
      <c r="C1221" s="2">
        <v>102.15</v>
      </c>
      <c r="D1221" s="1">
        <v>43844</v>
      </c>
      <c r="E1221" t="str">
        <f>"21752"</f>
        <v>21752</v>
      </c>
      <c r="F1221" t="str">
        <f>"FLAT BAR/PCT#4"</f>
        <v>FLAT BAR/PCT#4</v>
      </c>
      <c r="G1221" s="2">
        <v>102.15</v>
      </c>
      <c r="H1221" t="str">
        <f>"FLAT BAR/PCT#4"</f>
        <v>FLAT BAR/PCT#4</v>
      </c>
    </row>
    <row r="1222" spans="1:8" x14ac:dyDescent="0.25">
      <c r="A1222" t="s">
        <v>382</v>
      </c>
      <c r="B1222">
        <v>130644</v>
      </c>
      <c r="C1222" s="2">
        <v>1000</v>
      </c>
      <c r="D1222" s="1">
        <v>43857</v>
      </c>
      <c r="E1222" t="str">
        <f>"20-0035"</f>
        <v>20-0035</v>
      </c>
      <c r="F1222" t="str">
        <f>"RTI#407703/CONTRACT TRAINING"</f>
        <v>RTI#407703/CONTRACT TRAINING</v>
      </c>
      <c r="G1222" s="2">
        <v>1000</v>
      </c>
      <c r="H1222" t="str">
        <f>"RTI#407703/CONTRACT TRAINING"</f>
        <v>RTI#407703/CONTRACT TRAINING</v>
      </c>
    </row>
    <row r="1223" spans="1:8" x14ac:dyDescent="0.25">
      <c r="A1223" t="s">
        <v>383</v>
      </c>
      <c r="B1223">
        <v>130645</v>
      </c>
      <c r="C1223" s="2">
        <v>175</v>
      </c>
      <c r="D1223" s="1">
        <v>43857</v>
      </c>
      <c r="E1223" t="str">
        <f>"166821"</f>
        <v>166821</v>
      </c>
      <c r="F1223" t="str">
        <f>"2020 INVESTIGATOR SCHOOL-D LEW"</f>
        <v>2020 INVESTIGATOR SCHOOL-D LEW</v>
      </c>
      <c r="G1223" s="2">
        <v>175</v>
      </c>
      <c r="H1223" t="str">
        <f>"2020 INVESTIGATOR SCHOOL-D LEW"</f>
        <v>2020 INVESTIGATOR SCHOOL-D LEW</v>
      </c>
    </row>
    <row r="1224" spans="1:8" x14ac:dyDescent="0.25">
      <c r="A1224" t="s">
        <v>384</v>
      </c>
      <c r="B1224">
        <v>2107</v>
      </c>
      <c r="C1224" s="2">
        <v>217</v>
      </c>
      <c r="D1224" s="1">
        <v>43858</v>
      </c>
      <c r="E1224" t="str">
        <f>"2002055"</f>
        <v>2002055</v>
      </c>
      <c r="F1224" t="str">
        <f>"MONTHLY CONTRACT BILLING"</f>
        <v>MONTHLY CONTRACT BILLING</v>
      </c>
      <c r="G1224" s="2">
        <v>217</v>
      </c>
      <c r="H1224" t="str">
        <f>"MONTHLY CONTRACT BILLING"</f>
        <v>MONTHLY CONTRACT BILLING</v>
      </c>
    </row>
    <row r="1225" spans="1:8" x14ac:dyDescent="0.25">
      <c r="A1225" t="s">
        <v>385</v>
      </c>
      <c r="B1225">
        <v>2094</v>
      </c>
      <c r="C1225" s="2">
        <v>208.8</v>
      </c>
      <c r="D1225" s="1">
        <v>43858</v>
      </c>
      <c r="E1225" t="str">
        <f>"202001164635"</f>
        <v>202001164635</v>
      </c>
      <c r="F1225" t="str">
        <f>"REIMBURSE MILEAGE/PARKING"</f>
        <v>REIMBURSE MILEAGE/PARKING</v>
      </c>
      <c r="G1225" s="2">
        <v>139.19999999999999</v>
      </c>
      <c r="H1225" t="str">
        <f>"REIMBURSE MILEAGE/PARKING"</f>
        <v>REIMBURSE MILEAGE/PARKING</v>
      </c>
    </row>
    <row r="1226" spans="1:8" x14ac:dyDescent="0.25">
      <c r="E1226" t="str">
        <f>"202001164636"</f>
        <v>202001164636</v>
      </c>
      <c r="F1226" t="str">
        <f>"REIMBURSE MILEAGE/PARKING"</f>
        <v>REIMBURSE MILEAGE/PARKING</v>
      </c>
      <c r="G1226" s="2">
        <v>69.599999999999994</v>
      </c>
      <c r="H1226" t="str">
        <f>"REIMBURSE MILEAGE/PARKING"</f>
        <v>REIMBURSE MILEAGE/PARKING</v>
      </c>
    </row>
    <row r="1227" spans="1:8" x14ac:dyDescent="0.25">
      <c r="A1227" t="s">
        <v>386</v>
      </c>
      <c r="B1227">
        <v>130477</v>
      </c>
      <c r="C1227" s="2">
        <v>9824.9</v>
      </c>
      <c r="D1227" s="1">
        <v>43843</v>
      </c>
      <c r="E1227" t="str">
        <f>"0929914-IN"</f>
        <v>0929914-IN</v>
      </c>
      <c r="F1227" t="str">
        <f>"ACCT#01-0112917/FUEL/PCT#3"</f>
        <v>ACCT#01-0112917/FUEL/PCT#3</v>
      </c>
      <c r="G1227" s="2">
        <v>3480.44</v>
      </c>
      <c r="H1227" t="str">
        <f>"ACCT#01-0112917/FUEL/PCT#3"</f>
        <v>ACCT#01-0112917/FUEL/PCT#3</v>
      </c>
    </row>
    <row r="1228" spans="1:8" x14ac:dyDescent="0.25">
      <c r="E1228" t="str">
        <f>"0932541-IN"</f>
        <v>0932541-IN</v>
      </c>
      <c r="F1228" t="str">
        <f>"ACCT#01-0112917/PCT#1"</f>
        <v>ACCT#01-0112917/PCT#1</v>
      </c>
      <c r="G1228" s="2">
        <v>825.54</v>
      </c>
      <c r="H1228" t="str">
        <f>"ACCT#01-0112917/PCT#1"</f>
        <v>ACCT#01-0112917/PCT#1</v>
      </c>
    </row>
    <row r="1229" spans="1:8" x14ac:dyDescent="0.25">
      <c r="E1229" t="str">
        <f>"0932765-IN"</f>
        <v>0932765-IN</v>
      </c>
      <c r="F1229" t="str">
        <f>"ACCT#01-0112917/FUEL/PCT#1"</f>
        <v>ACCT#01-0112917/FUEL/PCT#1</v>
      </c>
      <c r="G1229" s="2">
        <v>5518.92</v>
      </c>
      <c r="H1229" t="str">
        <f>"ACCT#01-0112917/FUEL/PCT#1"</f>
        <v>ACCT#01-0112917/FUEL/PCT#1</v>
      </c>
    </row>
    <row r="1230" spans="1:8" x14ac:dyDescent="0.25">
      <c r="A1230" t="s">
        <v>386</v>
      </c>
      <c r="B1230">
        <v>130646</v>
      </c>
      <c r="C1230" s="2">
        <v>12212.59</v>
      </c>
      <c r="D1230" s="1">
        <v>43857</v>
      </c>
      <c r="E1230" t="str">
        <f>"0934024-IN"</f>
        <v>0934024-IN</v>
      </c>
      <c r="F1230" t="str">
        <f>"ACCT#01-0112917/PCT#4"</f>
        <v>ACCT#01-0112917/PCT#4</v>
      </c>
      <c r="G1230" s="2">
        <v>5522.63</v>
      </c>
      <c r="H1230" t="str">
        <f>"ACCT#01-0112917/PCT#4"</f>
        <v>ACCT#01-0112917/PCT#4</v>
      </c>
    </row>
    <row r="1231" spans="1:8" x14ac:dyDescent="0.25">
      <c r="E1231" t="str">
        <f>"0934886-IN"</f>
        <v>0934886-IN</v>
      </c>
      <c r="F1231" t="str">
        <f>"ACCT#01-0112917/PCT#4"</f>
        <v>ACCT#01-0112917/PCT#4</v>
      </c>
      <c r="G1231" s="2">
        <v>1671.75</v>
      </c>
      <c r="H1231" t="str">
        <f>"ACCT#01-0112917/PCT#4"</f>
        <v>ACCT#01-0112917/PCT#4</v>
      </c>
    </row>
    <row r="1232" spans="1:8" x14ac:dyDescent="0.25">
      <c r="E1232" t="str">
        <f>"0936184-IN"</f>
        <v>0936184-IN</v>
      </c>
      <c r="F1232" t="str">
        <f>"ACCT#01-0112917/PCT#3"</f>
        <v>ACCT#01-0112917/PCT#3</v>
      </c>
      <c r="G1232" s="2">
        <v>1638.78</v>
      </c>
      <c r="H1232" t="str">
        <f>"ACCT#01-0112917/PCT#3"</f>
        <v>ACCT#01-0112917/PCT#3</v>
      </c>
    </row>
    <row r="1233" spans="1:8" x14ac:dyDescent="0.25">
      <c r="E1233" t="str">
        <f>"0936433-IN"</f>
        <v>0936433-IN</v>
      </c>
      <c r="F1233" t="str">
        <f>"ACCT#01-0112917/PCT#3"</f>
        <v>ACCT#01-0112917/PCT#3</v>
      </c>
      <c r="G1233" s="2">
        <v>3379.43</v>
      </c>
      <c r="H1233" t="str">
        <f>"ACCT#01-0112917/PCT#3"</f>
        <v>ACCT#01-0112917/PCT#3</v>
      </c>
    </row>
    <row r="1234" spans="1:8" x14ac:dyDescent="0.25">
      <c r="A1234" t="s">
        <v>387</v>
      </c>
      <c r="B1234">
        <v>2101</v>
      </c>
      <c r="C1234" s="2">
        <v>1065.05</v>
      </c>
      <c r="D1234" s="1">
        <v>43858</v>
      </c>
      <c r="E1234" t="str">
        <f>"E000716"</f>
        <v>E000716</v>
      </c>
      <c r="F1234" t="str">
        <f>"CUST#5500000000427"</f>
        <v>CUST#5500000000427</v>
      </c>
      <c r="G1234" s="2">
        <v>1065.05</v>
      </c>
      <c r="H1234" t="str">
        <f>"CUST#5500000000427"</f>
        <v>CUST#5500000000427</v>
      </c>
    </row>
    <row r="1235" spans="1:8" x14ac:dyDescent="0.25">
      <c r="A1235" t="s">
        <v>388</v>
      </c>
      <c r="B1235">
        <v>130647</v>
      </c>
      <c r="C1235" s="2">
        <v>1792.35</v>
      </c>
      <c r="D1235" s="1">
        <v>43857</v>
      </c>
      <c r="E1235" t="str">
        <f>"4518"</f>
        <v>4518</v>
      </c>
      <c r="F1235" t="str">
        <f>"RIP RAP/PCT#4"</f>
        <v>RIP RAP/PCT#4</v>
      </c>
      <c r="G1235" s="2">
        <v>826</v>
      </c>
      <c r="H1235" t="str">
        <f>"RIP RAP/PCT#4"</f>
        <v>RIP RAP/PCT#4</v>
      </c>
    </row>
    <row r="1236" spans="1:8" x14ac:dyDescent="0.25">
      <c r="E1236" t="str">
        <f>"4537"</f>
        <v>4537</v>
      </c>
      <c r="F1236" t="str">
        <f>"RIP RAP/PCT#4"</f>
        <v>RIP RAP/PCT#4</v>
      </c>
      <c r="G1236" s="2">
        <v>966.35</v>
      </c>
      <c r="H1236" t="str">
        <f>"RIP RAP/PCT#4"</f>
        <v>RIP RAP/PCT#4</v>
      </c>
    </row>
    <row r="1237" spans="1:8" x14ac:dyDescent="0.25">
      <c r="A1237" t="s">
        <v>389</v>
      </c>
      <c r="B1237">
        <v>130478</v>
      </c>
      <c r="C1237" s="2">
        <v>855</v>
      </c>
      <c r="D1237" s="1">
        <v>43843</v>
      </c>
      <c r="E1237" t="str">
        <f>"202001074514"</f>
        <v>202001074514</v>
      </c>
      <c r="F1237" t="str">
        <f>"JAN BOND RENEWALS"</f>
        <v>JAN BOND RENEWALS</v>
      </c>
      <c r="G1237" s="2">
        <v>400</v>
      </c>
      <c r="H1237" t="str">
        <f>"JAN BOND RENEWALS"</f>
        <v>JAN BOND RENEWALS</v>
      </c>
    </row>
    <row r="1238" spans="1:8" x14ac:dyDescent="0.25">
      <c r="E1238" t="str">
        <f>"4589"</f>
        <v>4589</v>
      </c>
      <c r="F1238" t="str">
        <f>"ACCT#BASTCOU-09/CNTY CLK BOND"</f>
        <v>ACCT#BASTCOU-09/CNTY CLK BOND</v>
      </c>
      <c r="G1238" s="2">
        <v>455</v>
      </c>
      <c r="H1238" t="str">
        <f>"20-21 CNTY CLERK BOND/#101976"</f>
        <v>20-21 CNTY CLERK BOND/#101976</v>
      </c>
    </row>
    <row r="1239" spans="1:8" x14ac:dyDescent="0.25">
      <c r="A1239" t="s">
        <v>389</v>
      </c>
      <c r="B1239">
        <v>130648</v>
      </c>
      <c r="C1239" s="2">
        <v>321</v>
      </c>
      <c r="D1239" s="1">
        <v>43857</v>
      </c>
      <c r="E1239" t="str">
        <f>"202001214742"</f>
        <v>202001214742</v>
      </c>
      <c r="F1239" t="str">
        <f>"FEBRUARY 20-21 BOND RENEW"</f>
        <v>FEBRUARY 20-21 BOND RENEW</v>
      </c>
      <c r="G1239" s="2">
        <v>200</v>
      </c>
      <c r="H1239" t="str">
        <f>"FEBRUARY 20-21 BOND RENEW"</f>
        <v>FEBRUARY 20-21 BOND RENEW</v>
      </c>
    </row>
    <row r="1240" spans="1:8" x14ac:dyDescent="0.25">
      <c r="E1240" t="str">
        <f>"4609"</f>
        <v>4609</v>
      </c>
      <c r="F1240" t="str">
        <f>"INV 4609"</f>
        <v>INV 4609</v>
      </c>
      <c r="G1240" s="2">
        <v>71</v>
      </c>
      <c r="H1240" t="str">
        <f>"INV 4609"</f>
        <v>INV 4609</v>
      </c>
    </row>
    <row r="1241" spans="1:8" x14ac:dyDescent="0.25">
      <c r="E1241" t="str">
        <f>"4643"</f>
        <v>4643</v>
      </c>
      <c r="F1241" t="str">
        <f>"INV 4643"</f>
        <v>INV 4643</v>
      </c>
      <c r="G1241" s="2">
        <v>50</v>
      </c>
      <c r="H1241" t="str">
        <f>"INV 4643"</f>
        <v>INV 4643</v>
      </c>
    </row>
    <row r="1242" spans="1:8" x14ac:dyDescent="0.25">
      <c r="A1242" t="s">
        <v>390</v>
      </c>
      <c r="B1242">
        <v>130479</v>
      </c>
      <c r="C1242" s="2">
        <v>970</v>
      </c>
      <c r="D1242" s="1">
        <v>43843</v>
      </c>
      <c r="E1242" t="str">
        <f>"103440  01/01/2020"</f>
        <v>103440  01/01/2020</v>
      </c>
      <c r="F1242" t="str">
        <f>"JPCA MEMBERSHIP-AUGUST MEDUNA"</f>
        <v>JPCA MEMBERSHIP-AUGUST MEDUNA</v>
      </c>
      <c r="G1242" s="2">
        <v>60</v>
      </c>
      <c r="H1242" t="str">
        <f>"JPCA MEMBERSHIP-AUGUST MEDUNA"</f>
        <v>JPCA MEMBERSHIP-AUGUST MEDUNA</v>
      </c>
    </row>
    <row r="1243" spans="1:8" x14ac:dyDescent="0.25">
      <c r="E1243" t="str">
        <f>"191454  01/01/2020"</f>
        <v>191454  01/01/2020</v>
      </c>
      <c r="F1243" t="str">
        <f>"JPCA MEMBERSHIP-L. DUNNE"</f>
        <v>JPCA MEMBERSHIP-L. DUNNE</v>
      </c>
      <c r="G1243" s="2">
        <v>60</v>
      </c>
      <c r="H1243" t="str">
        <f>"JPCA MEMBERSHIP-L. DUNNE"</f>
        <v>JPCA MEMBERSHIP-L. DUNNE</v>
      </c>
    </row>
    <row r="1244" spans="1:8" x14ac:dyDescent="0.25">
      <c r="E1244" t="str">
        <f>"202001084585"</f>
        <v>202001084585</v>
      </c>
      <c r="F1244" t="str">
        <f>"TX ASSOC OF CNTY AUDITORS DUES"</f>
        <v>TX ASSOC OF CNTY AUDITORS DUES</v>
      </c>
      <c r="G1244" s="2">
        <v>565</v>
      </c>
      <c r="H1244" t="str">
        <f>"TX ASSOC OF CNTY AUDITORS DUES"</f>
        <v>TX ASSOC OF CNTY AUDITORS DUES</v>
      </c>
    </row>
    <row r="1245" spans="1:8" x14ac:dyDescent="0.25">
      <c r="E1245" t="str">
        <f>"202785 01/01/2020"</f>
        <v>202785 01/01/2020</v>
      </c>
      <c r="F1245" t="str">
        <f>"JPCA MEMBERSHIP DUES-R. DAVIS"</f>
        <v>JPCA MEMBERSHIP DUES-R. DAVIS</v>
      </c>
      <c r="G1245" s="2">
        <v>60</v>
      </c>
      <c r="H1245" t="str">
        <f>"JPCA MEMBERSHIP DUES-R. DAVIS"</f>
        <v>JPCA MEMBERSHIP DUES-R. DAVIS</v>
      </c>
    </row>
    <row r="1246" spans="1:8" x14ac:dyDescent="0.25">
      <c r="E1246" t="str">
        <f>"20977 01/01/2020"</f>
        <v>20977 01/01/2020</v>
      </c>
      <c r="F1246" t="str">
        <f>"JPCA MEMBERSHIP DUES-K. HANNA"</f>
        <v>JPCA MEMBERSHIP DUES-K. HANNA</v>
      </c>
      <c r="G1246" s="2">
        <v>60</v>
      </c>
      <c r="H1246" t="str">
        <f>"JPCA MEMBERSHIP DUES-K. HANNA"</f>
        <v>JPCA MEMBERSHIP DUES-K. HANNA</v>
      </c>
    </row>
    <row r="1247" spans="1:8" x14ac:dyDescent="0.25">
      <c r="E1247" t="str">
        <f>"217451  01/01/2020"</f>
        <v>217451  01/01/2020</v>
      </c>
      <c r="F1247" t="str">
        <f>"JPCA MEMBERSHIP DUES-M. BURNS"</f>
        <v>JPCA MEMBERSHIP DUES-M. BURNS</v>
      </c>
      <c r="G1247" s="2">
        <v>35</v>
      </c>
      <c r="H1247" t="str">
        <f>"JPCA MEMBERSHIP DUES-M. BURNS"</f>
        <v>JPCA MEMBERSHIP DUES-M. BURNS</v>
      </c>
    </row>
    <row r="1248" spans="1:8" x14ac:dyDescent="0.25">
      <c r="E1248" t="str">
        <f>"240506  01/01/2020"</f>
        <v>240506  01/01/2020</v>
      </c>
      <c r="F1248" t="str">
        <f>"JPCA MEMBERSHIP DUES-N.RAGLAND"</f>
        <v>JPCA MEMBERSHIP DUES-N.RAGLAND</v>
      </c>
      <c r="G1248" s="2">
        <v>35</v>
      </c>
      <c r="H1248" t="str">
        <f>"JPCA MEMBERSHIP DUES-N.RAGLAND"</f>
        <v>JPCA MEMBERSHIP DUES-N.RAGLAND</v>
      </c>
    </row>
    <row r="1249" spans="1:8" x14ac:dyDescent="0.25">
      <c r="E1249" t="str">
        <f>"240641  01/01/2020"</f>
        <v>240641  01/01/2020</v>
      </c>
      <c r="F1249" t="str">
        <f>"JPCA MEMBERSHIP-D.M. TINER"</f>
        <v>JPCA MEMBERSHIP-D.M. TINER</v>
      </c>
      <c r="G1249" s="2">
        <v>35</v>
      </c>
      <c r="H1249" t="str">
        <f>"JPCA MEMBERSHIP-D.M. TINER"</f>
        <v>JPCA MEMBERSHIP-D.M. TINER</v>
      </c>
    </row>
    <row r="1250" spans="1:8" x14ac:dyDescent="0.25">
      <c r="E1250" t="str">
        <f>"249224  01/01/2020"</f>
        <v>249224  01/01/2020</v>
      </c>
      <c r="F1250" t="str">
        <f>"JPCA MEMBERSHIP-CINDY ALLEN"</f>
        <v>JPCA MEMBERSHIP-CINDY ALLEN</v>
      </c>
      <c r="G1250" s="2">
        <v>60</v>
      </c>
      <c r="H1250" t="str">
        <f>"JPCA MEMBERSHIP-CINDY ALLEN"</f>
        <v>JPCA MEMBERSHIP-CINDY ALLEN</v>
      </c>
    </row>
    <row r="1251" spans="1:8" x14ac:dyDescent="0.25">
      <c r="A1251" t="s">
        <v>390</v>
      </c>
      <c r="B1251">
        <v>130480</v>
      </c>
      <c r="C1251" s="2">
        <v>6010.11</v>
      </c>
      <c r="D1251" s="1">
        <v>43843</v>
      </c>
      <c r="E1251" t="str">
        <f>"D-2020-1-0110"</f>
        <v>D-2020-1-0110</v>
      </c>
      <c r="F1251" t="str">
        <f>"UNEMPLOYMENT QTR END 12/31/19"</f>
        <v>UNEMPLOYMENT QTR END 12/31/19</v>
      </c>
      <c r="G1251" s="2">
        <v>6010.11</v>
      </c>
      <c r="H1251" t="str">
        <f t="shared" ref="H1251:H1289" si="20">"UNEMPLOYMENT QTR END 12/31/19"</f>
        <v>UNEMPLOYMENT QTR END 12/31/19</v>
      </c>
    </row>
    <row r="1252" spans="1:8" x14ac:dyDescent="0.25">
      <c r="E1252" t="str">
        <f>""</f>
        <v/>
      </c>
      <c r="F1252" t="str">
        <f>""</f>
        <v/>
      </c>
      <c r="H1252" t="str">
        <f t="shared" si="20"/>
        <v>UNEMPLOYMENT QTR END 12/31/19</v>
      </c>
    </row>
    <row r="1253" spans="1:8" x14ac:dyDescent="0.25">
      <c r="E1253" t="str">
        <f>""</f>
        <v/>
      </c>
      <c r="F1253" t="str">
        <f>""</f>
        <v/>
      </c>
      <c r="H1253" t="str">
        <f t="shared" si="20"/>
        <v>UNEMPLOYMENT QTR END 12/31/19</v>
      </c>
    </row>
    <row r="1254" spans="1:8" x14ac:dyDescent="0.25">
      <c r="E1254" t="str">
        <f>""</f>
        <v/>
      </c>
      <c r="F1254" t="str">
        <f>""</f>
        <v/>
      </c>
      <c r="H1254" t="str">
        <f t="shared" si="20"/>
        <v>UNEMPLOYMENT QTR END 12/31/19</v>
      </c>
    </row>
    <row r="1255" spans="1:8" x14ac:dyDescent="0.25">
      <c r="E1255" t="str">
        <f>""</f>
        <v/>
      </c>
      <c r="F1255" t="str">
        <f>""</f>
        <v/>
      </c>
      <c r="H1255" t="str">
        <f t="shared" si="20"/>
        <v>UNEMPLOYMENT QTR END 12/31/19</v>
      </c>
    </row>
    <row r="1256" spans="1:8" x14ac:dyDescent="0.25">
      <c r="E1256" t="str">
        <f>""</f>
        <v/>
      </c>
      <c r="F1256" t="str">
        <f>""</f>
        <v/>
      </c>
      <c r="H1256" t="str">
        <f t="shared" si="20"/>
        <v>UNEMPLOYMENT QTR END 12/31/19</v>
      </c>
    </row>
    <row r="1257" spans="1:8" x14ac:dyDescent="0.25">
      <c r="E1257" t="str">
        <f>""</f>
        <v/>
      </c>
      <c r="F1257" t="str">
        <f>""</f>
        <v/>
      </c>
      <c r="H1257" t="str">
        <f t="shared" si="20"/>
        <v>UNEMPLOYMENT QTR END 12/31/19</v>
      </c>
    </row>
    <row r="1258" spans="1:8" x14ac:dyDescent="0.25">
      <c r="E1258" t="str">
        <f>""</f>
        <v/>
      </c>
      <c r="F1258" t="str">
        <f>""</f>
        <v/>
      </c>
      <c r="H1258" t="str">
        <f t="shared" si="20"/>
        <v>UNEMPLOYMENT QTR END 12/31/19</v>
      </c>
    </row>
    <row r="1259" spans="1:8" x14ac:dyDescent="0.25">
      <c r="E1259" t="str">
        <f>""</f>
        <v/>
      </c>
      <c r="F1259" t="str">
        <f>""</f>
        <v/>
      </c>
      <c r="H1259" t="str">
        <f t="shared" si="20"/>
        <v>UNEMPLOYMENT QTR END 12/31/19</v>
      </c>
    </row>
    <row r="1260" spans="1:8" x14ac:dyDescent="0.25">
      <c r="E1260" t="str">
        <f>""</f>
        <v/>
      </c>
      <c r="F1260" t="str">
        <f>""</f>
        <v/>
      </c>
      <c r="H1260" t="str">
        <f t="shared" si="20"/>
        <v>UNEMPLOYMENT QTR END 12/31/19</v>
      </c>
    </row>
    <row r="1261" spans="1:8" x14ac:dyDescent="0.25">
      <c r="E1261" t="str">
        <f>""</f>
        <v/>
      </c>
      <c r="F1261" t="str">
        <f>""</f>
        <v/>
      </c>
      <c r="H1261" t="str">
        <f t="shared" si="20"/>
        <v>UNEMPLOYMENT QTR END 12/31/19</v>
      </c>
    </row>
    <row r="1262" spans="1:8" x14ac:dyDescent="0.25">
      <c r="E1262" t="str">
        <f>""</f>
        <v/>
      </c>
      <c r="F1262" t="str">
        <f>""</f>
        <v/>
      </c>
      <c r="H1262" t="str">
        <f t="shared" si="20"/>
        <v>UNEMPLOYMENT QTR END 12/31/19</v>
      </c>
    </row>
    <row r="1263" spans="1:8" x14ac:dyDescent="0.25">
      <c r="E1263" t="str">
        <f>""</f>
        <v/>
      </c>
      <c r="F1263" t="str">
        <f>""</f>
        <v/>
      </c>
      <c r="H1263" t="str">
        <f t="shared" si="20"/>
        <v>UNEMPLOYMENT QTR END 12/31/19</v>
      </c>
    </row>
    <row r="1264" spans="1:8" x14ac:dyDescent="0.25">
      <c r="E1264" t="str">
        <f>""</f>
        <v/>
      </c>
      <c r="F1264" t="str">
        <f>""</f>
        <v/>
      </c>
      <c r="H1264" t="str">
        <f t="shared" si="20"/>
        <v>UNEMPLOYMENT QTR END 12/31/19</v>
      </c>
    </row>
    <row r="1265" spans="5:8" x14ac:dyDescent="0.25">
      <c r="E1265" t="str">
        <f>""</f>
        <v/>
      </c>
      <c r="F1265" t="str">
        <f>""</f>
        <v/>
      </c>
      <c r="H1265" t="str">
        <f t="shared" si="20"/>
        <v>UNEMPLOYMENT QTR END 12/31/19</v>
      </c>
    </row>
    <row r="1266" spans="5:8" x14ac:dyDescent="0.25">
      <c r="E1266" t="str">
        <f>""</f>
        <v/>
      </c>
      <c r="F1266" t="str">
        <f>""</f>
        <v/>
      </c>
      <c r="H1266" t="str">
        <f t="shared" si="20"/>
        <v>UNEMPLOYMENT QTR END 12/31/19</v>
      </c>
    </row>
    <row r="1267" spans="5:8" x14ac:dyDescent="0.25">
      <c r="E1267" t="str">
        <f>""</f>
        <v/>
      </c>
      <c r="F1267" t="str">
        <f>""</f>
        <v/>
      </c>
      <c r="H1267" t="str">
        <f t="shared" si="20"/>
        <v>UNEMPLOYMENT QTR END 12/31/19</v>
      </c>
    </row>
    <row r="1268" spans="5:8" x14ac:dyDescent="0.25">
      <c r="E1268" t="str">
        <f>""</f>
        <v/>
      </c>
      <c r="F1268" t="str">
        <f>""</f>
        <v/>
      </c>
      <c r="H1268" t="str">
        <f t="shared" si="20"/>
        <v>UNEMPLOYMENT QTR END 12/31/19</v>
      </c>
    </row>
    <row r="1269" spans="5:8" x14ac:dyDescent="0.25">
      <c r="E1269" t="str">
        <f>""</f>
        <v/>
      </c>
      <c r="F1269" t="str">
        <f>""</f>
        <v/>
      </c>
      <c r="H1269" t="str">
        <f t="shared" si="20"/>
        <v>UNEMPLOYMENT QTR END 12/31/19</v>
      </c>
    </row>
    <row r="1270" spans="5:8" x14ac:dyDescent="0.25">
      <c r="E1270" t="str">
        <f>""</f>
        <v/>
      </c>
      <c r="F1270" t="str">
        <f>""</f>
        <v/>
      </c>
      <c r="H1270" t="str">
        <f t="shared" si="20"/>
        <v>UNEMPLOYMENT QTR END 12/31/19</v>
      </c>
    </row>
    <row r="1271" spans="5:8" x14ac:dyDescent="0.25">
      <c r="E1271" t="str">
        <f>""</f>
        <v/>
      </c>
      <c r="F1271" t="str">
        <f>""</f>
        <v/>
      </c>
      <c r="H1271" t="str">
        <f t="shared" si="20"/>
        <v>UNEMPLOYMENT QTR END 12/31/19</v>
      </c>
    </row>
    <row r="1272" spans="5:8" x14ac:dyDescent="0.25">
      <c r="E1272" t="str">
        <f>""</f>
        <v/>
      </c>
      <c r="F1272" t="str">
        <f>""</f>
        <v/>
      </c>
      <c r="H1272" t="str">
        <f t="shared" si="20"/>
        <v>UNEMPLOYMENT QTR END 12/31/19</v>
      </c>
    </row>
    <row r="1273" spans="5:8" x14ac:dyDescent="0.25">
      <c r="E1273" t="str">
        <f>""</f>
        <v/>
      </c>
      <c r="F1273" t="str">
        <f>""</f>
        <v/>
      </c>
      <c r="H1273" t="str">
        <f t="shared" si="20"/>
        <v>UNEMPLOYMENT QTR END 12/31/19</v>
      </c>
    </row>
    <row r="1274" spans="5:8" x14ac:dyDescent="0.25">
      <c r="E1274" t="str">
        <f>""</f>
        <v/>
      </c>
      <c r="F1274" t="str">
        <f>""</f>
        <v/>
      </c>
      <c r="H1274" t="str">
        <f t="shared" si="20"/>
        <v>UNEMPLOYMENT QTR END 12/31/19</v>
      </c>
    </row>
    <row r="1275" spans="5:8" x14ac:dyDescent="0.25">
      <c r="E1275" t="str">
        <f>""</f>
        <v/>
      </c>
      <c r="F1275" t="str">
        <f>""</f>
        <v/>
      </c>
      <c r="H1275" t="str">
        <f t="shared" si="20"/>
        <v>UNEMPLOYMENT QTR END 12/31/19</v>
      </c>
    </row>
    <row r="1276" spans="5:8" x14ac:dyDescent="0.25">
      <c r="E1276" t="str">
        <f>""</f>
        <v/>
      </c>
      <c r="F1276" t="str">
        <f>""</f>
        <v/>
      </c>
      <c r="H1276" t="str">
        <f t="shared" si="20"/>
        <v>UNEMPLOYMENT QTR END 12/31/19</v>
      </c>
    </row>
    <row r="1277" spans="5:8" x14ac:dyDescent="0.25">
      <c r="E1277" t="str">
        <f>""</f>
        <v/>
      </c>
      <c r="F1277" t="str">
        <f>""</f>
        <v/>
      </c>
      <c r="H1277" t="str">
        <f t="shared" si="20"/>
        <v>UNEMPLOYMENT QTR END 12/31/19</v>
      </c>
    </row>
    <row r="1278" spans="5:8" x14ac:dyDescent="0.25">
      <c r="E1278" t="str">
        <f>""</f>
        <v/>
      </c>
      <c r="F1278" t="str">
        <f>""</f>
        <v/>
      </c>
      <c r="H1278" t="str">
        <f t="shared" si="20"/>
        <v>UNEMPLOYMENT QTR END 12/31/19</v>
      </c>
    </row>
    <row r="1279" spans="5:8" x14ac:dyDescent="0.25">
      <c r="E1279" t="str">
        <f>""</f>
        <v/>
      </c>
      <c r="F1279" t="str">
        <f>""</f>
        <v/>
      </c>
      <c r="H1279" t="str">
        <f t="shared" si="20"/>
        <v>UNEMPLOYMENT QTR END 12/31/19</v>
      </c>
    </row>
    <row r="1280" spans="5:8" x14ac:dyDescent="0.25">
      <c r="E1280" t="str">
        <f>""</f>
        <v/>
      </c>
      <c r="F1280" t="str">
        <f>""</f>
        <v/>
      </c>
      <c r="H1280" t="str">
        <f t="shared" si="20"/>
        <v>UNEMPLOYMENT QTR END 12/31/19</v>
      </c>
    </row>
    <row r="1281" spans="1:9" x14ac:dyDescent="0.25">
      <c r="E1281" t="str">
        <f>""</f>
        <v/>
      </c>
      <c r="F1281" t="str">
        <f>""</f>
        <v/>
      </c>
      <c r="H1281" t="str">
        <f t="shared" si="20"/>
        <v>UNEMPLOYMENT QTR END 12/31/19</v>
      </c>
    </row>
    <row r="1282" spans="1:9" x14ac:dyDescent="0.25">
      <c r="E1282" t="str">
        <f>""</f>
        <v/>
      </c>
      <c r="F1282" t="str">
        <f>""</f>
        <v/>
      </c>
      <c r="H1282" t="str">
        <f t="shared" si="20"/>
        <v>UNEMPLOYMENT QTR END 12/31/19</v>
      </c>
    </row>
    <row r="1283" spans="1:9" x14ac:dyDescent="0.25">
      <c r="E1283" t="str">
        <f>""</f>
        <v/>
      </c>
      <c r="F1283" t="str">
        <f>""</f>
        <v/>
      </c>
      <c r="H1283" t="str">
        <f t="shared" si="20"/>
        <v>UNEMPLOYMENT QTR END 12/31/19</v>
      </c>
    </row>
    <row r="1284" spans="1:9" x14ac:dyDescent="0.25">
      <c r="E1284" t="str">
        <f>""</f>
        <v/>
      </c>
      <c r="F1284" t="str">
        <f>""</f>
        <v/>
      </c>
      <c r="H1284" t="str">
        <f t="shared" si="20"/>
        <v>UNEMPLOYMENT QTR END 12/31/19</v>
      </c>
    </row>
    <row r="1285" spans="1:9" x14ac:dyDescent="0.25">
      <c r="E1285" t="str">
        <f>""</f>
        <v/>
      </c>
      <c r="F1285" t="str">
        <f>""</f>
        <v/>
      </c>
      <c r="H1285" t="str">
        <f t="shared" si="20"/>
        <v>UNEMPLOYMENT QTR END 12/31/19</v>
      </c>
    </row>
    <row r="1286" spans="1:9" x14ac:dyDescent="0.25">
      <c r="E1286" t="str">
        <f>""</f>
        <v/>
      </c>
      <c r="F1286" t="str">
        <f>""</f>
        <v/>
      </c>
      <c r="H1286" t="str">
        <f t="shared" si="20"/>
        <v>UNEMPLOYMENT QTR END 12/31/19</v>
      </c>
    </row>
    <row r="1287" spans="1:9" x14ac:dyDescent="0.25">
      <c r="E1287" t="str">
        <f>""</f>
        <v/>
      </c>
      <c r="F1287" t="str">
        <f>""</f>
        <v/>
      </c>
      <c r="H1287" t="str">
        <f t="shared" si="20"/>
        <v>UNEMPLOYMENT QTR END 12/31/19</v>
      </c>
    </row>
    <row r="1288" spans="1:9" x14ac:dyDescent="0.25">
      <c r="E1288" t="str">
        <f>""</f>
        <v/>
      </c>
      <c r="F1288" t="str">
        <f>""</f>
        <v/>
      </c>
      <c r="H1288" t="str">
        <f t="shared" si="20"/>
        <v>UNEMPLOYMENT QTR END 12/31/19</v>
      </c>
    </row>
    <row r="1289" spans="1:9" x14ac:dyDescent="0.25">
      <c r="E1289" t="str">
        <f>""</f>
        <v/>
      </c>
      <c r="F1289" t="str">
        <f>""</f>
        <v/>
      </c>
      <c r="H1289" t="str">
        <f t="shared" si="20"/>
        <v>UNEMPLOYMENT QTR END 12/31/19</v>
      </c>
    </row>
    <row r="1290" spans="1:9" x14ac:dyDescent="0.25">
      <c r="A1290" t="s">
        <v>390</v>
      </c>
      <c r="B1290">
        <v>130649</v>
      </c>
      <c r="C1290" s="2">
        <v>1560</v>
      </c>
      <c r="D1290" s="1">
        <v>43857</v>
      </c>
      <c r="E1290" t="str">
        <f>"64799"</f>
        <v>64799</v>
      </c>
      <c r="F1290" t="str">
        <f>"236245/110-MBRSHIP DUES-P.PAPE"</f>
        <v>236245/110-MBRSHIP DUES-P.PAPE</v>
      </c>
      <c r="G1290" s="2">
        <v>1560</v>
      </c>
      <c r="H1290" t="str">
        <f>"236245/110-MBRSHIP DUES-P.PAPE"</f>
        <v>236245/110-MBRSHIP DUES-P.PAPE</v>
      </c>
    </row>
    <row r="1291" spans="1:9" x14ac:dyDescent="0.25">
      <c r="A1291" t="s">
        <v>391</v>
      </c>
      <c r="B1291">
        <v>130650</v>
      </c>
      <c r="C1291" s="2">
        <v>884.5</v>
      </c>
      <c r="D1291" s="1">
        <v>43857</v>
      </c>
      <c r="E1291" t="str">
        <f>"146651"</f>
        <v>146651</v>
      </c>
      <c r="F1291" t="str">
        <f>"POSTS/BOLTS/WASHERS/PCT#1"</f>
        <v>POSTS/BOLTS/WASHERS/PCT#1</v>
      </c>
      <c r="G1291" s="2">
        <v>884.5</v>
      </c>
      <c r="H1291" t="str">
        <f>"POSTS/BOLTS/WASHERS/PCT#1"</f>
        <v>POSTS/BOLTS/WASHERS/PCT#1</v>
      </c>
    </row>
    <row r="1292" spans="1:9" x14ac:dyDescent="0.25">
      <c r="A1292" t="s">
        <v>392</v>
      </c>
      <c r="B1292">
        <v>2075</v>
      </c>
      <c r="C1292" s="2">
        <v>55</v>
      </c>
      <c r="D1292" s="1">
        <v>43858</v>
      </c>
      <c r="E1292" t="str">
        <f>"14483"</f>
        <v>14483</v>
      </c>
      <c r="F1292" t="str">
        <f>"ACCT#1267/MEDICAL WASTE P/U"</f>
        <v>ACCT#1267/MEDICAL WASTE P/U</v>
      </c>
      <c r="G1292" s="2">
        <v>55</v>
      </c>
      <c r="H1292" t="str">
        <f>"ACCT#1267/MEDICAL WASTE P/U"</f>
        <v>ACCT#1267/MEDICAL WASTE P/U</v>
      </c>
    </row>
    <row r="1293" spans="1:9" x14ac:dyDescent="0.25">
      <c r="A1293" t="s">
        <v>393</v>
      </c>
      <c r="B1293">
        <v>130651</v>
      </c>
      <c r="C1293" s="2">
        <v>300</v>
      </c>
      <c r="D1293" s="1">
        <v>43857</v>
      </c>
      <c r="E1293" t="str">
        <f>"0667208"</f>
        <v>0667208</v>
      </c>
      <c r="F1293" t="str">
        <f>"BOOTH-HOUSTON LIVESTOCK SHOW"</f>
        <v>BOOTH-HOUSTON LIVESTOCK SHOW</v>
      </c>
      <c r="G1293" s="2">
        <v>300</v>
      </c>
      <c r="H1293" t="str">
        <f>"BOOTH-HOUSTON LIVESTOCK SHOW"</f>
        <v>BOOTH-HOUSTON LIVESTOCK SHOW</v>
      </c>
    </row>
    <row r="1294" spans="1:9" x14ac:dyDescent="0.25">
      <c r="A1294" t="s">
        <v>394</v>
      </c>
      <c r="B1294">
        <v>130481</v>
      </c>
      <c r="C1294" s="2">
        <v>2</v>
      </c>
      <c r="D1294" s="1">
        <v>43843</v>
      </c>
      <c r="E1294" t="str">
        <f>"202001074412"</f>
        <v>202001074412</v>
      </c>
      <c r="F1294" t="str">
        <f>"TEXAS DEPT OF MOTOR VEHICLES"</f>
        <v>TEXAS DEPT OF MOTOR VEHICLES</v>
      </c>
      <c r="G1294" s="2">
        <v>2</v>
      </c>
      <c r="H1294" t="str">
        <f>"Duplicate Title"</f>
        <v>Duplicate Title</v>
      </c>
    </row>
    <row r="1295" spans="1:9" x14ac:dyDescent="0.25">
      <c r="A1295" t="s">
        <v>395</v>
      </c>
      <c r="B1295">
        <v>130652</v>
      </c>
      <c r="C1295" s="2">
        <v>30</v>
      </c>
      <c r="D1295" s="1">
        <v>43857</v>
      </c>
      <c r="E1295" t="str">
        <f>"CRS-201910-182281"</f>
        <v>CRS-201910-182281</v>
      </c>
      <c r="F1295" t="str">
        <f>"SECURE SITE CCH NAME SEARCH"</f>
        <v>SECURE SITE CCH NAME SEARCH</v>
      </c>
      <c r="G1295" s="2">
        <v>30</v>
      </c>
      <c r="H1295" t="str">
        <f>"SECURE SITE CCH NAME SEARCH"</f>
        <v>SECURE SITE CCH NAME SEARCH</v>
      </c>
    </row>
    <row r="1296" spans="1:9" x14ac:dyDescent="0.25">
      <c r="A1296" t="s">
        <v>395</v>
      </c>
      <c r="B1296">
        <v>130653</v>
      </c>
      <c r="C1296" s="2">
        <v>220</v>
      </c>
      <c r="D1296" s="1">
        <v>43857</v>
      </c>
      <c r="E1296" t="s">
        <v>396</v>
      </c>
      <c r="F1296" t="s">
        <v>397</v>
      </c>
      <c r="G1296" s="2" t="str">
        <f>"RESTITUTION-G. CORONA"</f>
        <v>RESTITUTION-G. CORONA</v>
      </c>
      <c r="H1296" t="str">
        <f>"210-0000"</f>
        <v>210-0000</v>
      </c>
      <c r="I1296" t="str">
        <f>""</f>
        <v/>
      </c>
    </row>
    <row r="1297" spans="1:9" x14ac:dyDescent="0.25">
      <c r="E1297" t="s">
        <v>396</v>
      </c>
      <c r="F1297" t="s">
        <v>398</v>
      </c>
      <c r="G1297" s="2" t="str">
        <f>"RESTITUTION-L. ARMSTRONG"</f>
        <v>RESTITUTION-L. ARMSTRONG</v>
      </c>
      <c r="H1297" t="str">
        <f>"210-0000"</f>
        <v>210-0000</v>
      </c>
      <c r="I1297" t="str">
        <f>""</f>
        <v/>
      </c>
    </row>
    <row r="1298" spans="1:9" x14ac:dyDescent="0.25">
      <c r="A1298" t="s">
        <v>399</v>
      </c>
      <c r="B1298">
        <v>130654</v>
      </c>
      <c r="C1298" s="2">
        <v>310</v>
      </c>
      <c r="D1298" s="1">
        <v>43857</v>
      </c>
      <c r="E1298" t="str">
        <f>"5225128"</f>
        <v>5225128</v>
      </c>
      <c r="F1298" t="str">
        <f>"CUST#1-238865/TAHITIAN VILLAGE"</f>
        <v>CUST#1-238865/TAHITIAN VILLAGE</v>
      </c>
      <c r="G1298" s="2">
        <v>310</v>
      </c>
      <c r="H1298" t="str">
        <f>"CUST#1-238865/TAHITIAN VILLAGE"</f>
        <v>CUST#1-238865/TAHITIAN VILLAGE</v>
      </c>
    </row>
    <row r="1299" spans="1:9" x14ac:dyDescent="0.25">
      <c r="A1299" t="s">
        <v>400</v>
      </c>
      <c r="B1299">
        <v>130655</v>
      </c>
      <c r="C1299" s="2">
        <v>690</v>
      </c>
      <c r="D1299" s="1">
        <v>43857</v>
      </c>
      <c r="E1299" t="str">
        <f>"202001214743"</f>
        <v>202001214743</v>
      </c>
      <c r="F1299" t="str">
        <f>"TRAINING"</f>
        <v>TRAINING</v>
      </c>
      <c r="G1299" s="2">
        <v>690</v>
      </c>
      <c r="H1299" t="str">
        <f>"TRAINING- E. SANCHEZ"</f>
        <v>TRAINING- E. SANCHEZ</v>
      </c>
    </row>
    <row r="1300" spans="1:9" x14ac:dyDescent="0.25">
      <c r="E1300" t="str">
        <f>""</f>
        <v/>
      </c>
      <c r="F1300" t="str">
        <f>""</f>
        <v/>
      </c>
      <c r="H1300" t="str">
        <f>"TRAINING- J. LASOYA"</f>
        <v>TRAINING- J. LASOYA</v>
      </c>
    </row>
    <row r="1301" spans="1:9" x14ac:dyDescent="0.25">
      <c r="A1301" t="s">
        <v>401</v>
      </c>
      <c r="B1301">
        <v>130656</v>
      </c>
      <c r="C1301" s="2">
        <v>260</v>
      </c>
      <c r="D1301" s="1">
        <v>43857</v>
      </c>
      <c r="E1301" t="str">
        <f>"47612"</f>
        <v>47612</v>
      </c>
      <c r="F1301" t="str">
        <f>"NEW COURT PERS SEMINAR-D. RUIZ"</f>
        <v>NEW COURT PERS SEMINAR-D. RUIZ</v>
      </c>
      <c r="G1301" s="2">
        <v>260</v>
      </c>
      <c r="H1301" t="str">
        <f>"NEW COURT PERS SEMINAR-D. RUIZ"</f>
        <v>NEW COURT PERS SEMINAR-D. RUIZ</v>
      </c>
    </row>
    <row r="1302" spans="1:9" x14ac:dyDescent="0.25">
      <c r="A1302" t="s">
        <v>403</v>
      </c>
      <c r="B1302">
        <v>130482</v>
      </c>
      <c r="C1302" s="2">
        <v>170</v>
      </c>
      <c r="D1302" s="1">
        <v>43843</v>
      </c>
      <c r="E1302" t="str">
        <f>"J2-66757"</f>
        <v>J2-66757</v>
      </c>
      <c r="F1302" t="str">
        <f>"A8286600 - J.A. HENLEY"</f>
        <v>A8286600 - J.A. HENLEY</v>
      </c>
      <c r="G1302" s="2">
        <v>170</v>
      </c>
      <c r="H1302" t="str">
        <f>"A8286600 - J.A. HENLEY"</f>
        <v>A8286600 - J.A. HENLEY</v>
      </c>
    </row>
    <row r="1303" spans="1:9" x14ac:dyDescent="0.25">
      <c r="A1303" t="s">
        <v>403</v>
      </c>
      <c r="B1303">
        <v>130657</v>
      </c>
      <c r="C1303" s="2">
        <v>1355.8</v>
      </c>
      <c r="D1303" s="1">
        <v>43857</v>
      </c>
      <c r="E1303" t="str">
        <f>"1CO-3267-19"</f>
        <v>1CO-3267-19</v>
      </c>
      <c r="F1303" t="str">
        <f>"A8286581-L.V. QUESADA"</f>
        <v>A8286581-L.V. QUESADA</v>
      </c>
      <c r="G1303" s="2">
        <v>157.25</v>
      </c>
      <c r="H1303" t="str">
        <f>"A8286581-L.V. QUESADA"</f>
        <v>A8286581-L.V. QUESADA</v>
      </c>
    </row>
    <row r="1304" spans="1:9" x14ac:dyDescent="0.25">
      <c r="E1304" t="str">
        <f>"J2-45311"</f>
        <v>J2-45311</v>
      </c>
      <c r="F1304" t="str">
        <f>"A10848 - T.M. GARCIA"</f>
        <v>A10848 - T.M. GARCIA</v>
      </c>
      <c r="G1304" s="2">
        <v>81</v>
      </c>
      <c r="H1304" t="str">
        <f>"A10848 - T.M. GARCIA"</f>
        <v>A10848 - T.M. GARCIA</v>
      </c>
    </row>
    <row r="1305" spans="1:9" x14ac:dyDescent="0.25">
      <c r="E1305" t="str">
        <f>"J2-63097"</f>
        <v>J2-63097</v>
      </c>
      <c r="F1305" t="str">
        <f>"A8303641 - L. GAMBOA"</f>
        <v>A8303641 - L. GAMBOA</v>
      </c>
      <c r="G1305" s="2">
        <v>80.75</v>
      </c>
      <c r="H1305" t="str">
        <f>"A8303641 - L. GAMBOA"</f>
        <v>A8303641 - L. GAMBOA</v>
      </c>
    </row>
    <row r="1306" spans="1:9" x14ac:dyDescent="0.25">
      <c r="E1306" t="str">
        <f>"J2-64320"</f>
        <v>J2-64320</v>
      </c>
      <c r="F1306" t="str">
        <f>"A8286611 - F.C. DIAZ"</f>
        <v>A8286611 - F.C. DIAZ</v>
      </c>
      <c r="G1306" s="2">
        <v>114.75</v>
      </c>
      <c r="H1306" t="str">
        <f>"A8286611 - F.C. DIAZ"</f>
        <v>A8286611 - F.C. DIAZ</v>
      </c>
    </row>
    <row r="1307" spans="1:9" x14ac:dyDescent="0.25">
      <c r="E1307" t="str">
        <f>"J2-64870"</f>
        <v>J2-64870</v>
      </c>
      <c r="F1307" t="str">
        <f>"J2-64870 - E.L. PINA  SR."</f>
        <v>J2-64870 - E.L. PINA  SR.</v>
      </c>
      <c r="G1307" s="2">
        <v>114.75</v>
      </c>
      <c r="H1307" t="str">
        <f>"J2-64870"</f>
        <v>J2-64870</v>
      </c>
    </row>
    <row r="1308" spans="1:9" x14ac:dyDescent="0.25">
      <c r="E1308" t="str">
        <f>"J2-64885"</f>
        <v>J2-64885</v>
      </c>
      <c r="F1308" t="str">
        <f>"A8270605 - Z. DOMINGUEZ"</f>
        <v>A8270605 - Z. DOMINGUEZ</v>
      </c>
      <c r="G1308" s="2">
        <v>114.75</v>
      </c>
      <c r="H1308" t="str">
        <f>"A8270605 - Z. DOMINGUEZ"</f>
        <v>A8270605 - Z. DOMINGUEZ</v>
      </c>
    </row>
    <row r="1309" spans="1:9" x14ac:dyDescent="0.25">
      <c r="E1309" t="str">
        <f>"J2-64952"</f>
        <v>J2-64952</v>
      </c>
      <c r="F1309" t="str">
        <f>"A16700 - J.R. GUERRERO"</f>
        <v>A16700 - J.R. GUERRERO</v>
      </c>
      <c r="G1309" s="2">
        <v>114.75</v>
      </c>
      <c r="H1309" t="str">
        <f>"A16700 - J.R. GUERRERO"</f>
        <v>A16700 - J.R. GUERRERO</v>
      </c>
    </row>
    <row r="1310" spans="1:9" x14ac:dyDescent="0.25">
      <c r="E1310" t="str">
        <f>"J2-65216"</f>
        <v>J2-65216</v>
      </c>
      <c r="F1310" t="str">
        <f>"A16734 - J.L LOPEZ"</f>
        <v>A16734 - J.L LOPEZ</v>
      </c>
      <c r="G1310" s="2">
        <v>81</v>
      </c>
      <c r="H1310" t="str">
        <f>"A16734 - J.L LOPEZ"</f>
        <v>A16734 - J.L LOPEZ</v>
      </c>
    </row>
    <row r="1311" spans="1:9" x14ac:dyDescent="0.25">
      <c r="E1311" t="str">
        <f>"J2-65869"</f>
        <v>J2-65869</v>
      </c>
      <c r="F1311" t="str">
        <f>"A8270631 - J.G. GONZALEZ"</f>
        <v>A8270631 - J.G. GONZALEZ</v>
      </c>
      <c r="G1311" s="2">
        <v>115.75</v>
      </c>
      <c r="H1311" t="str">
        <f>"A8270631 - J.G. GONZALEZ"</f>
        <v>A8270631 - J.G. GONZALEZ</v>
      </c>
    </row>
    <row r="1312" spans="1:9" x14ac:dyDescent="0.25">
      <c r="E1312" t="str">
        <f>"J2-66027"</f>
        <v>J2-66027</v>
      </c>
      <c r="F1312" t="str">
        <f>"A8286621 - E.W. BUSH"</f>
        <v>A8286621 - E.W. BUSH</v>
      </c>
      <c r="G1312" s="2">
        <v>70.55</v>
      </c>
      <c r="H1312" t="str">
        <f>"A8286621 - E.W. BUSH"</f>
        <v>A8286621 - E.W. BUSH</v>
      </c>
    </row>
    <row r="1313" spans="1:8" x14ac:dyDescent="0.25">
      <c r="E1313" t="str">
        <f>"J2-66661"</f>
        <v>J2-66661</v>
      </c>
      <c r="F1313" t="str">
        <f>"A-12377 - R.M. BROWN"</f>
        <v>A-12377 - R.M. BROWN</v>
      </c>
      <c r="G1313" s="2">
        <v>81</v>
      </c>
      <c r="H1313" t="str">
        <f>"A-12377 - R.M. BROWN"</f>
        <v>A-12377 - R.M. BROWN</v>
      </c>
    </row>
    <row r="1314" spans="1:8" x14ac:dyDescent="0.25">
      <c r="E1314" t="str">
        <f>"J2-66767"</f>
        <v>J2-66767</v>
      </c>
      <c r="F1314" t="str">
        <f>"A8303689 - J.D. PRICE"</f>
        <v>A8303689 - J.D. PRICE</v>
      </c>
      <c r="G1314" s="2">
        <v>114.75</v>
      </c>
      <c r="H1314" t="str">
        <f>"A8303689 - J.D. PRICE"</f>
        <v>A8303689 - J.D. PRICE</v>
      </c>
    </row>
    <row r="1315" spans="1:8" x14ac:dyDescent="0.25">
      <c r="E1315" t="str">
        <f>"J2-66768"</f>
        <v>J2-66768</v>
      </c>
      <c r="F1315" t="str">
        <f>"A12387 - E.A. CORDOVA-ALVAREZ"</f>
        <v>A12387 - E.A. CORDOVA-ALVAREZ</v>
      </c>
      <c r="G1315" s="2">
        <v>114.75</v>
      </c>
      <c r="H1315" t="str">
        <f>"A12387 - E.A. CORDOVA-ALVAREZ"</f>
        <v>A12387 - E.A. CORDOVA-ALVAREZ</v>
      </c>
    </row>
    <row r="1316" spans="1:8" x14ac:dyDescent="0.25">
      <c r="A1316" t="s">
        <v>404</v>
      </c>
      <c r="B1316">
        <v>130483</v>
      </c>
      <c r="C1316" s="2">
        <v>100</v>
      </c>
      <c r="D1316" s="1">
        <v>43843</v>
      </c>
      <c r="E1316" t="str">
        <f>"202001094595"</f>
        <v>202001094595</v>
      </c>
      <c r="F1316" t="str">
        <f>"Annual Membership"</f>
        <v>Annual Membership</v>
      </c>
      <c r="G1316" s="2">
        <v>100</v>
      </c>
      <c r="H1316" t="str">
        <f>"Annual Membership"</f>
        <v>Annual Membership</v>
      </c>
    </row>
    <row r="1317" spans="1:8" x14ac:dyDescent="0.25">
      <c r="A1317" t="s">
        <v>405</v>
      </c>
      <c r="B1317">
        <v>130658</v>
      </c>
      <c r="C1317" s="2">
        <v>184.44</v>
      </c>
      <c r="D1317" s="1">
        <v>43857</v>
      </c>
      <c r="E1317" t="str">
        <f>"202001214723"</f>
        <v>202001214723</v>
      </c>
      <c r="F1317" t="str">
        <f>"INDIGENT HEALTH"</f>
        <v>INDIGENT HEALTH</v>
      </c>
      <c r="G1317" s="2">
        <v>184.44</v>
      </c>
      <c r="H1317" t="str">
        <f>"INDIGENT HEALTH"</f>
        <v>INDIGENT HEALTH</v>
      </c>
    </row>
    <row r="1318" spans="1:8" x14ac:dyDescent="0.25">
      <c r="A1318" t="s">
        <v>402</v>
      </c>
      <c r="B1318">
        <v>130659</v>
      </c>
      <c r="C1318" s="2">
        <v>1000</v>
      </c>
      <c r="D1318" s="1">
        <v>43857</v>
      </c>
      <c r="E1318" t="str">
        <f>"200114-FCW-01"</f>
        <v>200114-FCW-01</v>
      </c>
      <c r="F1318" t="str">
        <f>"ANTHROPOLOGICAL ANALYSIS"</f>
        <v>ANTHROPOLOGICAL ANALYSIS</v>
      </c>
      <c r="G1318" s="2">
        <v>1000</v>
      </c>
      <c r="H1318" t="str">
        <f>"ANTHROPOLOGICAL ANALYSIS"</f>
        <v>ANTHROPOLOGICAL ANALYSIS</v>
      </c>
    </row>
    <row r="1319" spans="1:8" x14ac:dyDescent="0.25">
      <c r="A1319" t="s">
        <v>406</v>
      </c>
      <c r="B1319">
        <v>2070</v>
      </c>
      <c r="C1319" s="2">
        <v>342.69</v>
      </c>
      <c r="D1319" s="1">
        <v>43858</v>
      </c>
      <c r="E1319" t="str">
        <f>"202001214724"</f>
        <v>202001214724</v>
      </c>
      <c r="F1319" t="str">
        <f>"INDIGENT HEALTH"</f>
        <v>INDIGENT HEALTH</v>
      </c>
      <c r="G1319" s="2">
        <v>342.69</v>
      </c>
      <c r="H1319" t="str">
        <f>"INDIGENT HEALTH"</f>
        <v>INDIGENT HEALTH</v>
      </c>
    </row>
    <row r="1320" spans="1:8" x14ac:dyDescent="0.25">
      <c r="A1320" t="s">
        <v>407</v>
      </c>
      <c r="B1320">
        <v>130484</v>
      </c>
      <c r="C1320" s="2">
        <v>804.5</v>
      </c>
      <c r="D1320" s="1">
        <v>43843</v>
      </c>
      <c r="E1320" t="str">
        <f>"137970"</f>
        <v>137970</v>
      </c>
      <c r="F1320" t="str">
        <f>"ACCT#188757/ANIMAL SHELTER"</f>
        <v>ACCT#188757/ANIMAL SHELTER</v>
      </c>
      <c r="G1320" s="2">
        <v>290</v>
      </c>
      <c r="H1320" t="str">
        <f>"ACCT#188757/ANIMAL SHELTER"</f>
        <v>ACCT#188757/ANIMAL SHELTER</v>
      </c>
    </row>
    <row r="1321" spans="1:8" x14ac:dyDescent="0.25">
      <c r="E1321" t="str">
        <f>"138709"</f>
        <v>138709</v>
      </c>
      <c r="F1321" t="str">
        <f>"ACCT#188757/PCT#4 RD &amp; BRIDGE"</f>
        <v>ACCT#188757/PCT#4 RD &amp; BRIDGE</v>
      </c>
      <c r="G1321" s="2">
        <v>95.5</v>
      </c>
      <c r="H1321" t="str">
        <f>"ACCT#188757/PCT#4 RD &amp; BRIDGE"</f>
        <v>ACCT#188757/PCT#4 RD &amp; BRIDGE</v>
      </c>
    </row>
    <row r="1322" spans="1:8" x14ac:dyDescent="0.25">
      <c r="E1322" t="str">
        <f>"138713"</f>
        <v>138713</v>
      </c>
      <c r="F1322" t="str">
        <f>"ACCT#188757/LBJ BLDG/HLTH DPT"</f>
        <v>ACCT#188757/LBJ BLDG/HLTH DPT</v>
      </c>
      <c r="G1322" s="2">
        <v>69</v>
      </c>
      <c r="H1322" t="str">
        <f>"ACCT#188757/LBJ BLDG/HLTH DPT"</f>
        <v>ACCT#188757/LBJ BLDG/HLTH DPT</v>
      </c>
    </row>
    <row r="1323" spans="1:8" x14ac:dyDescent="0.25">
      <c r="E1323" t="str">
        <f>"139593"</f>
        <v>139593</v>
      </c>
      <c r="F1323" t="str">
        <f>"ACCT#188757/CEDAR CREEK PARK"</f>
        <v>ACCT#188757/CEDAR CREEK PARK</v>
      </c>
      <c r="G1323" s="2">
        <v>125</v>
      </c>
      <c r="H1323" t="str">
        <f>"ACCT#188757/CEDAR CREEK PARK"</f>
        <v>ACCT#188757/CEDAR CREEK PARK</v>
      </c>
    </row>
    <row r="1324" spans="1:8" x14ac:dyDescent="0.25">
      <c r="E1324" t="str">
        <f>"139936"</f>
        <v>139936</v>
      </c>
      <c r="F1324" t="str">
        <f>"ACCT#188757/COURTHOUSE/ANNEX"</f>
        <v>ACCT#188757/COURTHOUSE/ANNEX</v>
      </c>
      <c r="G1324" s="2">
        <v>225</v>
      </c>
      <c r="H1324" t="str">
        <f>"ACCT#188757/COURTHOUSE/ANNEX"</f>
        <v>ACCT#188757/COURTHOUSE/ANNEX</v>
      </c>
    </row>
    <row r="1325" spans="1:8" x14ac:dyDescent="0.25">
      <c r="A1325" t="s">
        <v>407</v>
      </c>
      <c r="B1325">
        <v>130660</v>
      </c>
      <c r="C1325" s="2">
        <v>283</v>
      </c>
      <c r="D1325" s="1">
        <v>43857</v>
      </c>
      <c r="E1325" t="str">
        <f>"140890"</f>
        <v>140890</v>
      </c>
      <c r="F1325" t="str">
        <f>"ACCT#188757/DPS/TDL"</f>
        <v>ACCT#188757/DPS/TDL</v>
      </c>
      <c r="G1325" s="2">
        <v>76</v>
      </c>
      <c r="H1325" t="str">
        <f>"ACCT#188757/DPS/TDL"</f>
        <v>ACCT#188757/DPS/TDL</v>
      </c>
    </row>
    <row r="1326" spans="1:8" x14ac:dyDescent="0.25">
      <c r="E1326" t="str">
        <f>"141235"</f>
        <v>141235</v>
      </c>
      <c r="F1326" t="str">
        <f>"ACCT#188757/MIKE FISHER BLDG"</f>
        <v>ACCT#188757/MIKE FISHER BLDG</v>
      </c>
      <c r="G1326" s="2">
        <v>112</v>
      </c>
      <c r="H1326" t="str">
        <f>"ACCT#188757/MIKE FISHER BLDG"</f>
        <v>ACCT#188757/MIKE FISHER BLDG</v>
      </c>
    </row>
    <row r="1327" spans="1:8" x14ac:dyDescent="0.25">
      <c r="E1327" t="str">
        <f>"141249"</f>
        <v>141249</v>
      </c>
      <c r="F1327" t="str">
        <f>"ACCT#188757/JP4/TAX OFFICE"</f>
        <v>ACCT#188757/JP4/TAX OFFICE</v>
      </c>
      <c r="G1327" s="2">
        <v>95</v>
      </c>
      <c r="H1327" t="str">
        <f>"ACCT#188757/JP4/TAX OFFICE"</f>
        <v>ACCT#188757/JP4/TAX OFFICE</v>
      </c>
    </row>
    <row r="1328" spans="1:8" x14ac:dyDescent="0.25">
      <c r="A1328" t="s">
        <v>408</v>
      </c>
      <c r="B1328">
        <v>1980</v>
      </c>
      <c r="C1328" s="2">
        <v>1825</v>
      </c>
      <c r="D1328" s="1">
        <v>43844</v>
      </c>
      <c r="E1328" t="str">
        <f>"201912274311"</f>
        <v>201912274311</v>
      </c>
      <c r="F1328" t="str">
        <f>"16 737  20191524"</f>
        <v>16 737  20191524</v>
      </c>
      <c r="G1328" s="2">
        <v>600</v>
      </c>
      <c r="H1328" t="str">
        <f>"16 737  20191524"</f>
        <v>16 737  20191524</v>
      </c>
    </row>
    <row r="1329" spans="1:8" x14ac:dyDescent="0.25">
      <c r="E1329" t="str">
        <f>"201912274312"</f>
        <v>201912274312</v>
      </c>
      <c r="F1329" t="str">
        <f>"16 348"</f>
        <v>16 348</v>
      </c>
      <c r="G1329" s="2">
        <v>400</v>
      </c>
      <c r="H1329" t="str">
        <f>"16 348"</f>
        <v>16 348</v>
      </c>
    </row>
    <row r="1330" spans="1:8" x14ac:dyDescent="0.25">
      <c r="E1330" t="str">
        <f>"201912274313"</f>
        <v>201912274313</v>
      </c>
      <c r="F1330" t="str">
        <f>"1JP3417E  BSO17S01215"</f>
        <v>1JP3417E  BSO17S01215</v>
      </c>
      <c r="G1330" s="2">
        <v>400</v>
      </c>
      <c r="H1330" t="str">
        <f>"1JP3417E  BSO17S01215"</f>
        <v>1JP3417E  BSO17S01215</v>
      </c>
    </row>
    <row r="1331" spans="1:8" x14ac:dyDescent="0.25">
      <c r="E1331" t="str">
        <f>"202001084568"</f>
        <v>202001084568</v>
      </c>
      <c r="F1331" t="str">
        <f>"19-19711"</f>
        <v>19-19711</v>
      </c>
      <c r="G1331" s="2">
        <v>175</v>
      </c>
      <c r="H1331" t="str">
        <f>"19-19711"</f>
        <v>19-19711</v>
      </c>
    </row>
    <row r="1332" spans="1:8" x14ac:dyDescent="0.25">
      <c r="E1332" t="str">
        <f>"202001084569"</f>
        <v>202001084569</v>
      </c>
      <c r="F1332" t="str">
        <f>"405197-1  17-S-02616"</f>
        <v>405197-1  17-S-02616</v>
      </c>
      <c r="G1332" s="2">
        <v>250</v>
      </c>
      <c r="H1332" t="str">
        <f>"405197-1  17-S-02616"</f>
        <v>405197-1  17-S-02616</v>
      </c>
    </row>
    <row r="1333" spans="1:8" x14ac:dyDescent="0.25">
      <c r="A1333" t="s">
        <v>408</v>
      </c>
      <c r="B1333">
        <v>2048</v>
      </c>
      <c r="C1333" s="2">
        <v>1000</v>
      </c>
      <c r="D1333" s="1">
        <v>43858</v>
      </c>
      <c r="E1333" t="str">
        <f>"202001174693"</f>
        <v>202001174693</v>
      </c>
      <c r="F1333" t="str">
        <f>"16 294"</f>
        <v>16 294</v>
      </c>
      <c r="G1333" s="2">
        <v>1000</v>
      </c>
      <c r="H1333" t="str">
        <f>"16 294"</f>
        <v>16 294</v>
      </c>
    </row>
    <row r="1334" spans="1:8" x14ac:dyDescent="0.25">
      <c r="A1334" t="s">
        <v>409</v>
      </c>
      <c r="B1334">
        <v>2029</v>
      </c>
      <c r="C1334" s="2">
        <v>7687</v>
      </c>
      <c r="D1334" s="1">
        <v>43844</v>
      </c>
      <c r="E1334" t="str">
        <f>"202001084571"</f>
        <v>202001084571</v>
      </c>
      <c r="F1334" t="str">
        <f>"ACCT#BASTRCOU/POL#H-810-0B1665"</f>
        <v>ACCT#BASTRCOU/POL#H-810-0B1665</v>
      </c>
      <c r="G1334" s="2">
        <v>7687</v>
      </c>
      <c r="H1334" t="str">
        <f>"ACCT#BASTRCOU/POL#H-810-0B1665"</f>
        <v>ACCT#BASTRCOU/POL#H-810-0B1665</v>
      </c>
    </row>
    <row r="1335" spans="1:8" x14ac:dyDescent="0.25">
      <c r="A1335" t="s">
        <v>410</v>
      </c>
      <c r="B1335">
        <v>130661</v>
      </c>
      <c r="C1335" s="2">
        <v>45.43</v>
      </c>
      <c r="D1335" s="1">
        <v>43857</v>
      </c>
      <c r="E1335" t="str">
        <f>"202001164664"</f>
        <v>202001164664</v>
      </c>
      <c r="F1335" t="str">
        <f>"REIMBURSEMENT-OFFICE SUPPLIES"</f>
        <v>REIMBURSEMENT-OFFICE SUPPLIES</v>
      </c>
      <c r="G1335" s="2">
        <v>45.43</v>
      </c>
      <c r="H1335" t="str">
        <f>"REIMBURSEMENT-OFFICE SUPPLIES"</f>
        <v>REIMBURSEMENT-OFFICE SUPPLIES</v>
      </c>
    </row>
    <row r="1336" spans="1:8" x14ac:dyDescent="0.25">
      <c r="A1336" t="s">
        <v>411</v>
      </c>
      <c r="B1336">
        <v>130662</v>
      </c>
      <c r="C1336" s="2">
        <v>952</v>
      </c>
      <c r="D1336" s="1">
        <v>43857</v>
      </c>
      <c r="E1336" t="str">
        <f>"841565529"</f>
        <v>841565529</v>
      </c>
      <c r="F1336" t="str">
        <f>"ACCT#1000310962 / DEC 2019"</f>
        <v>ACCT#1000310962 / DEC 2019</v>
      </c>
      <c r="G1336" s="2">
        <v>952</v>
      </c>
      <c r="H1336" t="str">
        <f>"ACCT#1000310962 / DEC 2019"</f>
        <v>ACCT#1000310962 / DEC 2019</v>
      </c>
    </row>
    <row r="1337" spans="1:8" x14ac:dyDescent="0.25">
      <c r="A1337" t="s">
        <v>412</v>
      </c>
      <c r="B1337">
        <v>130485</v>
      </c>
      <c r="C1337" s="2">
        <v>884.5</v>
      </c>
      <c r="D1337" s="1">
        <v>43843</v>
      </c>
      <c r="E1337" t="str">
        <f>"202001074414"</f>
        <v>202001074414</v>
      </c>
      <c r="F1337" t="str">
        <f>"423-6363"</f>
        <v>423-6363</v>
      </c>
      <c r="G1337" s="2">
        <v>484.5</v>
      </c>
      <c r="H1337" t="str">
        <f>"423-6363"</f>
        <v>423-6363</v>
      </c>
    </row>
    <row r="1338" spans="1:8" x14ac:dyDescent="0.25">
      <c r="E1338" t="str">
        <f>"202001074419"</f>
        <v>202001074419</v>
      </c>
      <c r="F1338" t="str">
        <f>"423-6426"</f>
        <v>423-6426</v>
      </c>
      <c r="G1338" s="2">
        <v>400</v>
      </c>
      <c r="H1338" t="str">
        <f>"423-6426"</f>
        <v>423-6426</v>
      </c>
    </row>
    <row r="1339" spans="1:8" x14ac:dyDescent="0.25">
      <c r="A1339" t="s">
        <v>412</v>
      </c>
      <c r="B1339">
        <v>130663</v>
      </c>
      <c r="C1339" s="2">
        <v>869.85</v>
      </c>
      <c r="D1339" s="1">
        <v>43857</v>
      </c>
      <c r="E1339" t="str">
        <f>"202001164652"</f>
        <v>202001164652</v>
      </c>
      <c r="F1339" t="str">
        <f>"091-3192  09-13192"</f>
        <v>091-3192  09-13192</v>
      </c>
      <c r="G1339" s="2">
        <v>869.85</v>
      </c>
      <c r="H1339" t="str">
        <f>"091-3192  09-13192"</f>
        <v>091-3192  09-13192</v>
      </c>
    </row>
    <row r="1340" spans="1:8" x14ac:dyDescent="0.25">
      <c r="A1340" t="s">
        <v>413</v>
      </c>
      <c r="B1340">
        <v>130664</v>
      </c>
      <c r="C1340" s="2">
        <v>11190.42</v>
      </c>
      <c r="D1340" s="1">
        <v>43857</v>
      </c>
      <c r="E1340" t="str">
        <f>"202001164662"</f>
        <v>202001164662</v>
      </c>
      <c r="F1340" t="str">
        <f>"ACCT#8260163000003669"</f>
        <v>ACCT#8260163000003669</v>
      </c>
      <c r="G1340" s="2">
        <v>11190.42</v>
      </c>
      <c r="H1340" t="str">
        <f>"ACCT#8260163000003669"</f>
        <v>ACCT#8260163000003669</v>
      </c>
    </row>
    <row r="1341" spans="1:8" x14ac:dyDescent="0.25">
      <c r="A1341" t="s">
        <v>414</v>
      </c>
      <c r="B1341">
        <v>130486</v>
      </c>
      <c r="C1341" s="2">
        <v>20</v>
      </c>
      <c r="D1341" s="1">
        <v>43843</v>
      </c>
      <c r="E1341" t="str">
        <f>"201912314369"</f>
        <v>201912314369</v>
      </c>
      <c r="F1341" t="str">
        <f>"REIMBURSE-VCSO MEMBERSHIP FEE"</f>
        <v>REIMBURSE-VCSO MEMBERSHIP FEE</v>
      </c>
      <c r="G1341" s="2">
        <v>20</v>
      </c>
      <c r="H1341" t="str">
        <f>"REIMBURSE-VCSO MEMBERSHIP FEE"</f>
        <v>REIMBURSE-VCSO MEMBERSHIP FEE</v>
      </c>
    </row>
    <row r="1342" spans="1:8" x14ac:dyDescent="0.25">
      <c r="A1342" t="s">
        <v>415</v>
      </c>
      <c r="B1342">
        <v>130487</v>
      </c>
      <c r="C1342" s="2">
        <v>458.36</v>
      </c>
      <c r="D1342" s="1">
        <v>43843</v>
      </c>
      <c r="E1342" t="str">
        <f>"202001064407"</f>
        <v>202001064407</v>
      </c>
      <c r="F1342" t="str">
        <f>"acct# 6035301200160982"</f>
        <v>acct# 6035301200160982</v>
      </c>
      <c r="G1342" s="2">
        <v>458.36</v>
      </c>
      <c r="H1342" t="str">
        <f>"Inv# 300588245"</f>
        <v>Inv# 300588245</v>
      </c>
    </row>
    <row r="1343" spans="1:8" x14ac:dyDescent="0.25">
      <c r="E1343" t="str">
        <f>""</f>
        <v/>
      </c>
      <c r="F1343" t="str">
        <f>""</f>
        <v/>
      </c>
      <c r="H1343" t="str">
        <f>"Inv# 300590654"</f>
        <v>Inv# 300590654</v>
      </c>
    </row>
    <row r="1344" spans="1:8" x14ac:dyDescent="0.25">
      <c r="E1344" t="str">
        <f>""</f>
        <v/>
      </c>
      <c r="F1344" t="str">
        <f>""</f>
        <v/>
      </c>
      <c r="H1344" t="str">
        <f>"Inv# 200610731"</f>
        <v>Inv# 200610731</v>
      </c>
    </row>
    <row r="1345" spans="1:9" x14ac:dyDescent="0.25">
      <c r="E1345" t="str">
        <f>""</f>
        <v/>
      </c>
      <c r="F1345" t="str">
        <f>""</f>
        <v/>
      </c>
      <c r="H1345" t="str">
        <f>"Inv# 200612426"</f>
        <v>Inv# 200612426</v>
      </c>
    </row>
    <row r="1346" spans="1:9" x14ac:dyDescent="0.25">
      <c r="E1346" t="str">
        <f>""</f>
        <v/>
      </c>
      <c r="F1346" t="str">
        <f>""</f>
        <v/>
      </c>
      <c r="H1346" t="str">
        <f>"Inv# 300592262"</f>
        <v>Inv# 300592262</v>
      </c>
    </row>
    <row r="1347" spans="1:9" x14ac:dyDescent="0.25">
      <c r="E1347" t="str">
        <f>""</f>
        <v/>
      </c>
      <c r="F1347" t="str">
        <f>""</f>
        <v/>
      </c>
      <c r="H1347" t="str">
        <f>"Inv# 100150186"</f>
        <v>Inv# 100150186</v>
      </c>
    </row>
    <row r="1348" spans="1:9" x14ac:dyDescent="0.25">
      <c r="A1348" t="s">
        <v>416</v>
      </c>
      <c r="B1348">
        <v>130488</v>
      </c>
      <c r="C1348" s="2">
        <v>483</v>
      </c>
      <c r="D1348" s="1">
        <v>43843</v>
      </c>
      <c r="E1348" t="str">
        <f>"19-002589"</f>
        <v>19-002589</v>
      </c>
      <c r="F1348" t="str">
        <f>"C-1-MH-19-002589"</f>
        <v>C-1-MH-19-002589</v>
      </c>
      <c r="G1348" s="2">
        <v>483</v>
      </c>
      <c r="H1348" t="str">
        <f>"C-1-MH-19-002589"</f>
        <v>C-1-MH-19-002589</v>
      </c>
    </row>
    <row r="1349" spans="1:9" x14ac:dyDescent="0.25">
      <c r="A1349" t="s">
        <v>417</v>
      </c>
      <c r="B1349">
        <v>130489</v>
      </c>
      <c r="C1349" s="2">
        <v>958</v>
      </c>
      <c r="D1349" s="1">
        <v>43843</v>
      </c>
      <c r="E1349" t="s">
        <v>50</v>
      </c>
      <c r="F1349" t="s">
        <v>51</v>
      </c>
      <c r="G1349" s="2" t="str">
        <f>"SERVICE"</f>
        <v>SERVICE</v>
      </c>
      <c r="H1349" t="str">
        <f>"995-4110"</f>
        <v>995-4110</v>
      </c>
      <c r="I1349" t="str">
        <f>""</f>
        <v/>
      </c>
    </row>
    <row r="1350" spans="1:9" x14ac:dyDescent="0.25">
      <c r="E1350" t="str">
        <f>"12609"</f>
        <v>12609</v>
      </c>
      <c r="F1350" t="str">
        <f>"SERVICE"</f>
        <v>SERVICE</v>
      </c>
      <c r="G1350" s="2">
        <v>75</v>
      </c>
      <c r="H1350" t="str">
        <f>"SERVICE"</f>
        <v>SERVICE</v>
      </c>
    </row>
    <row r="1351" spans="1:9" x14ac:dyDescent="0.25">
      <c r="E1351" t="str">
        <f>"13091"</f>
        <v>13091</v>
      </c>
      <c r="F1351" t="str">
        <f>"SERVICE"</f>
        <v>SERVICE</v>
      </c>
      <c r="G1351" s="2">
        <v>150</v>
      </c>
      <c r="H1351" t="str">
        <f>"SERVICE"</f>
        <v>SERVICE</v>
      </c>
    </row>
    <row r="1352" spans="1:9" x14ac:dyDescent="0.25">
      <c r="E1352" t="str">
        <f>"13249  10/24/19"</f>
        <v>13249  10/24/19</v>
      </c>
      <c r="F1352" t="str">
        <f>"SERVICE"</f>
        <v>SERVICE</v>
      </c>
      <c r="G1352" s="2">
        <v>18</v>
      </c>
      <c r="H1352" t="str">
        <f>"SERVICE"</f>
        <v>SERVICE</v>
      </c>
    </row>
    <row r="1353" spans="1:9" x14ac:dyDescent="0.25">
      <c r="E1353" t="str">
        <f>"13259"</f>
        <v>13259</v>
      </c>
      <c r="F1353" t="str">
        <f>"SERVICE"</f>
        <v>SERVICE</v>
      </c>
      <c r="G1353" s="2">
        <v>225</v>
      </c>
      <c r="H1353" t="str">
        <f>"SERVICE"</f>
        <v>SERVICE</v>
      </c>
    </row>
    <row r="1354" spans="1:9" x14ac:dyDescent="0.25">
      <c r="A1354" t="s">
        <v>418</v>
      </c>
      <c r="B1354">
        <v>130490</v>
      </c>
      <c r="C1354" s="2">
        <v>285.52999999999997</v>
      </c>
      <c r="D1354" s="1">
        <v>43843</v>
      </c>
      <c r="E1354" t="str">
        <f>"202001084573"</f>
        <v>202001084573</v>
      </c>
      <c r="F1354" t="str">
        <f>"JAIL MEDICAL"</f>
        <v>JAIL MEDICAL</v>
      </c>
      <c r="G1354" s="2">
        <v>285.52999999999997</v>
      </c>
      <c r="H1354" t="str">
        <f>"JAIL MEDICAL"</f>
        <v>JAIL MEDICAL</v>
      </c>
    </row>
    <row r="1355" spans="1:9" x14ac:dyDescent="0.25">
      <c r="A1355" t="s">
        <v>419</v>
      </c>
      <c r="B1355">
        <v>130491</v>
      </c>
      <c r="C1355" s="2">
        <v>20300</v>
      </c>
      <c r="D1355" s="1">
        <v>43843</v>
      </c>
      <c r="E1355" t="str">
        <f>"33000002995"</f>
        <v>33000002995</v>
      </c>
      <c r="F1355" t="str">
        <f>"CUST#100011/INV#33000002995"</f>
        <v>CUST#100011/INV#33000002995</v>
      </c>
      <c r="G1355" s="2">
        <v>11600</v>
      </c>
      <c r="H1355" t="str">
        <f>"CUST#100011/INV#33000002995"</f>
        <v>CUST#100011/INV#33000002995</v>
      </c>
    </row>
    <row r="1356" spans="1:9" x14ac:dyDescent="0.25">
      <c r="E1356" t="str">
        <f>"3300002967"</f>
        <v>3300002967</v>
      </c>
      <c r="F1356" t="str">
        <f>"CUST#100011/INV#33000002967"</f>
        <v>CUST#100011/INV#33000002967</v>
      </c>
      <c r="G1356" s="2">
        <v>2900</v>
      </c>
      <c r="H1356" t="str">
        <f>"CUST#100011/INV#33000002967"</f>
        <v>CUST#100011/INV#33000002967</v>
      </c>
    </row>
    <row r="1357" spans="1:9" x14ac:dyDescent="0.25">
      <c r="E1357" t="str">
        <f>"3300003038"</f>
        <v>3300003038</v>
      </c>
      <c r="F1357" t="str">
        <f>"CUST#100733/INV#33000003038"</f>
        <v>CUST#100733/INV#33000003038</v>
      </c>
      <c r="G1357" s="2">
        <v>2900</v>
      </c>
      <c r="H1357" t="str">
        <f>"CUST#100733/INV#33000003038"</f>
        <v>CUST#100733/INV#33000003038</v>
      </c>
    </row>
    <row r="1358" spans="1:9" x14ac:dyDescent="0.25">
      <c r="E1358" t="str">
        <f>"3300003039"</f>
        <v>3300003039</v>
      </c>
      <c r="F1358" t="str">
        <f>"CUST#1000009/INV#3300003039"</f>
        <v>CUST#1000009/INV#3300003039</v>
      </c>
      <c r="G1358" s="2">
        <v>2900</v>
      </c>
      <c r="H1358" t="str">
        <f>"CUST#1000009/INV#3300003039"</f>
        <v>CUST#1000009/INV#3300003039</v>
      </c>
    </row>
    <row r="1359" spans="1:9" x14ac:dyDescent="0.25">
      <c r="A1359" t="s">
        <v>420</v>
      </c>
      <c r="B1359">
        <v>130665</v>
      </c>
      <c r="C1359" s="2">
        <v>493.76</v>
      </c>
      <c r="D1359" s="1">
        <v>43857</v>
      </c>
      <c r="E1359" t="str">
        <f>"T48054"</f>
        <v>T48054</v>
      </c>
      <c r="F1359" t="str">
        <f>"MASONRY SAND/FREIGHT"</f>
        <v>MASONRY SAND/FREIGHT</v>
      </c>
      <c r="G1359" s="2">
        <v>493.76</v>
      </c>
      <c r="H1359" t="str">
        <f>"MASONRY SAND/FREIGHT"</f>
        <v>MASONRY SAND/FREIGHT</v>
      </c>
    </row>
    <row r="1360" spans="1:9" x14ac:dyDescent="0.25">
      <c r="A1360" t="s">
        <v>421</v>
      </c>
      <c r="B1360">
        <v>1982</v>
      </c>
      <c r="C1360" s="2">
        <v>1440.38</v>
      </c>
      <c r="D1360" s="1">
        <v>43844</v>
      </c>
      <c r="E1360" t="str">
        <f>"792947"</f>
        <v>792947</v>
      </c>
      <c r="F1360" t="str">
        <f>"INV 792947 / UNIT 0122"</f>
        <v>INV 792947 / UNIT 0122</v>
      </c>
      <c r="G1360" s="2">
        <v>568.44000000000005</v>
      </c>
      <c r="H1360" t="str">
        <f>"INV 792947 / UNIT 0122"</f>
        <v>INV 792947 / UNIT 0122</v>
      </c>
    </row>
    <row r="1361" spans="1:8" x14ac:dyDescent="0.25">
      <c r="E1361" t="str">
        <f>"793976"</f>
        <v>793976</v>
      </c>
      <c r="F1361" t="str">
        <f>"INV 793976 / UNIT 119"</f>
        <v>INV 793976 / UNIT 119</v>
      </c>
      <c r="G1361" s="2">
        <v>320.04000000000002</v>
      </c>
      <c r="H1361" t="str">
        <f>"INV 793976 / UNIT 119"</f>
        <v>INV 793976 / UNIT 119</v>
      </c>
    </row>
    <row r="1362" spans="1:8" x14ac:dyDescent="0.25">
      <c r="E1362" t="str">
        <f>"795154"</f>
        <v>795154</v>
      </c>
      <c r="F1362" t="str">
        <f>"INV 795154 / UNIT 1666"</f>
        <v>INV 795154 / UNIT 1666</v>
      </c>
      <c r="G1362" s="2">
        <v>426.33</v>
      </c>
      <c r="H1362" t="str">
        <f>"INV 795154 / UNIT 1666"</f>
        <v>INV 795154 / UNIT 1666</v>
      </c>
    </row>
    <row r="1363" spans="1:8" x14ac:dyDescent="0.25">
      <c r="E1363" t="str">
        <f>"795298"</f>
        <v>795298</v>
      </c>
      <c r="F1363" t="str">
        <f>"INV 795298 / UNIT 5511"</f>
        <v>INV 795298 / UNIT 5511</v>
      </c>
      <c r="G1363" s="2">
        <v>125.57</v>
      </c>
      <c r="H1363" t="str">
        <f>"INV 795298 / UNIT 5511"</f>
        <v>INV 795298 / UNIT 5511</v>
      </c>
    </row>
    <row r="1364" spans="1:8" x14ac:dyDescent="0.25">
      <c r="A1364" t="s">
        <v>421</v>
      </c>
      <c r="B1364">
        <v>2049</v>
      </c>
      <c r="C1364" s="2">
        <v>122.11</v>
      </c>
      <c r="D1364" s="1">
        <v>43858</v>
      </c>
      <c r="E1364" t="str">
        <f>"796907"</f>
        <v>796907</v>
      </c>
      <c r="F1364" t="str">
        <f>"INV 796907 / UNIT 8953"</f>
        <v>INV 796907 / UNIT 8953</v>
      </c>
      <c r="G1364" s="2">
        <v>122.11</v>
      </c>
      <c r="H1364" t="str">
        <f>"INV 796907 / UNIT 8953"</f>
        <v>INV 796907 / UNIT 8953</v>
      </c>
    </row>
    <row r="1365" spans="1:8" x14ac:dyDescent="0.25">
      <c r="A1365" t="s">
        <v>422</v>
      </c>
      <c r="B1365">
        <v>130492</v>
      </c>
      <c r="C1365" s="2">
        <v>8843.75</v>
      </c>
      <c r="D1365" s="1">
        <v>43843</v>
      </c>
      <c r="E1365" t="str">
        <f>"025-277487"</f>
        <v>025-277487</v>
      </c>
      <c r="F1365" t="str">
        <f>"CUST#42161/ORD#51916"</f>
        <v>CUST#42161/ORD#51916</v>
      </c>
      <c r="G1365" s="2">
        <v>3656.25</v>
      </c>
      <c r="H1365" t="str">
        <f>"CUST#42161/ORD#51916"</f>
        <v>CUST#42161/ORD#51916</v>
      </c>
    </row>
    <row r="1366" spans="1:8" x14ac:dyDescent="0.25">
      <c r="E1366" t="str">
        <f>"025-279867"</f>
        <v>025-279867</v>
      </c>
      <c r="F1366" t="str">
        <f>"CUST#42161/ORD#51916"</f>
        <v>CUST#42161/ORD#51916</v>
      </c>
      <c r="G1366" s="2">
        <v>5125</v>
      </c>
      <c r="H1366" t="str">
        <f>"CUST#42161/ORD#51916"</f>
        <v>CUST#42161/ORD#51916</v>
      </c>
    </row>
    <row r="1367" spans="1:8" x14ac:dyDescent="0.25">
      <c r="E1367" t="str">
        <f>"025-280993"</f>
        <v>025-280993</v>
      </c>
      <c r="F1367" t="str">
        <f>"CUST#42161/ORD#51916"</f>
        <v>CUST#42161/ORD#51916</v>
      </c>
      <c r="G1367" s="2">
        <v>62.5</v>
      </c>
      <c r="H1367" t="str">
        <f>"CUST#42161/ORD#51916"</f>
        <v>CUST#42161/ORD#51916</v>
      </c>
    </row>
    <row r="1368" spans="1:8" x14ac:dyDescent="0.25">
      <c r="A1368" t="s">
        <v>423</v>
      </c>
      <c r="B1368">
        <v>1974</v>
      </c>
      <c r="C1368" s="2">
        <v>678.8</v>
      </c>
      <c r="D1368" s="1">
        <v>43844</v>
      </c>
      <c r="E1368" t="str">
        <f>"115397589"</f>
        <v>115397589</v>
      </c>
      <c r="F1368" t="str">
        <f>"INV 115397589"</f>
        <v>INV 115397589</v>
      </c>
      <c r="G1368" s="2">
        <v>377.44</v>
      </c>
      <c r="H1368" t="str">
        <f>"INV 115397589"</f>
        <v>INV 115397589</v>
      </c>
    </row>
    <row r="1369" spans="1:8" x14ac:dyDescent="0.25">
      <c r="E1369" t="str">
        <f>"115509398"</f>
        <v>115509398</v>
      </c>
      <c r="F1369" t="str">
        <f>"Bogus Paper"</f>
        <v>Bogus Paper</v>
      </c>
      <c r="G1369" s="2">
        <v>301.36</v>
      </c>
      <c r="H1369" t="str">
        <f>"S-12832"</f>
        <v>S-12832</v>
      </c>
    </row>
    <row r="1370" spans="1:8" x14ac:dyDescent="0.25">
      <c r="E1370" t="str">
        <f>""</f>
        <v/>
      </c>
      <c r="F1370" t="str">
        <f>""</f>
        <v/>
      </c>
      <c r="H1370" t="str">
        <f>"Shipping"</f>
        <v>Shipping</v>
      </c>
    </row>
    <row r="1371" spans="1:8" x14ac:dyDescent="0.25">
      <c r="A1371" t="s">
        <v>423</v>
      </c>
      <c r="B1371">
        <v>2041</v>
      </c>
      <c r="C1371" s="2">
        <v>714.12</v>
      </c>
      <c r="D1371" s="1">
        <v>43858</v>
      </c>
      <c r="E1371" t="str">
        <f>"115978994"</f>
        <v>115978994</v>
      </c>
      <c r="F1371" t="str">
        <f>"INV 115978994"</f>
        <v>INV 115978994</v>
      </c>
      <c r="G1371" s="2">
        <v>94.1</v>
      </c>
      <c r="H1371" t="str">
        <f>"INV 115978994"</f>
        <v>INV 115978994</v>
      </c>
    </row>
    <row r="1372" spans="1:8" x14ac:dyDescent="0.25">
      <c r="E1372" t="str">
        <f>"116074396"</f>
        <v>116074396</v>
      </c>
      <c r="F1372" t="str">
        <f>"INV 116074396"</f>
        <v>INV 116074396</v>
      </c>
      <c r="G1372" s="2">
        <v>620.02</v>
      </c>
      <c r="H1372" t="str">
        <f>"INV 116074396"</f>
        <v>INV 116074396</v>
      </c>
    </row>
    <row r="1373" spans="1:8" x14ac:dyDescent="0.25">
      <c r="A1373" t="s">
        <v>424</v>
      </c>
      <c r="B1373">
        <v>2044</v>
      </c>
      <c r="C1373" s="2">
        <v>1605.25</v>
      </c>
      <c r="D1373" s="1">
        <v>43858</v>
      </c>
      <c r="E1373" t="str">
        <f>"10771126"</f>
        <v>10771126</v>
      </c>
      <c r="F1373" t="str">
        <f>"ACCT#38049/PCT#4"</f>
        <v>ACCT#38049/PCT#4</v>
      </c>
      <c r="G1373" s="2">
        <v>405.55</v>
      </c>
      <c r="H1373" t="str">
        <f>"ACCT#38049/PCT#4"</f>
        <v>ACCT#38049/PCT#4</v>
      </c>
    </row>
    <row r="1374" spans="1:8" x14ac:dyDescent="0.25">
      <c r="E1374" t="str">
        <f>"202001174679"</f>
        <v>202001174679</v>
      </c>
      <c r="F1374" t="str">
        <f>"ACCT#38049/PCT#4"</f>
        <v>ACCT#38049/PCT#4</v>
      </c>
      <c r="G1374" s="2">
        <v>1199.7</v>
      </c>
      <c r="H1374" t="str">
        <f>"ACCT#38049/PCT#4"</f>
        <v>ACCT#38049/PCT#4</v>
      </c>
    </row>
    <row r="1375" spans="1:8" x14ac:dyDescent="0.25">
      <c r="A1375" t="s">
        <v>425</v>
      </c>
      <c r="B1375">
        <v>130493</v>
      </c>
      <c r="C1375" s="2">
        <v>1686.79</v>
      </c>
      <c r="D1375" s="1">
        <v>43843</v>
      </c>
      <c r="E1375" t="str">
        <f>"4584*98041*3 4616*"</f>
        <v>4584*98041*3 4616*</v>
      </c>
      <c r="F1375" t="str">
        <f>"JAIL MEDICAL"</f>
        <v>JAIL MEDICAL</v>
      </c>
      <c r="G1375" s="2">
        <v>1686.79</v>
      </c>
      <c r="H1375" t="str">
        <f>"JAIL MEDICAL"</f>
        <v>JAIL MEDICAL</v>
      </c>
    </row>
    <row r="1376" spans="1:8" x14ac:dyDescent="0.25">
      <c r="A1376" t="s">
        <v>426</v>
      </c>
      <c r="B1376">
        <v>130676</v>
      </c>
      <c r="C1376" s="2">
        <v>204.96</v>
      </c>
      <c r="D1376" s="1">
        <v>43857</v>
      </c>
      <c r="E1376" t="str">
        <f>"2009899"</f>
        <v>2009899</v>
      </c>
      <c r="F1376" t="str">
        <f>"ACCT#17460002268 003/DECEMBER"</f>
        <v>ACCT#17460002268 003/DECEMBER</v>
      </c>
      <c r="G1376" s="2">
        <v>204.96</v>
      </c>
      <c r="H1376" t="str">
        <f>"ACCT#17460002268 003/DECEMBER"</f>
        <v>ACCT#17460002268 003/DECEMBER</v>
      </c>
    </row>
    <row r="1377" spans="1:8" x14ac:dyDescent="0.25">
      <c r="A1377" t="s">
        <v>427</v>
      </c>
      <c r="B1377">
        <v>130494</v>
      </c>
      <c r="C1377" s="2">
        <v>40610.82</v>
      </c>
      <c r="D1377" s="1">
        <v>43843</v>
      </c>
      <c r="E1377" t="str">
        <f>"869395921952"</f>
        <v>869395921952</v>
      </c>
      <c r="F1377" t="str">
        <f>"inv# 869395921952"</f>
        <v>inv# 869395921952</v>
      </c>
      <c r="G1377" s="2">
        <v>40610.82</v>
      </c>
      <c r="H1377" t="str">
        <f>"fuel"</f>
        <v>fuel</v>
      </c>
    </row>
    <row r="1378" spans="1:8" x14ac:dyDescent="0.25">
      <c r="E1378" t="str">
        <f>""</f>
        <v/>
      </c>
      <c r="F1378" t="str">
        <f>""</f>
        <v/>
      </c>
      <c r="H1378" t="str">
        <f>"Tax"</f>
        <v>Tax</v>
      </c>
    </row>
    <row r="1379" spans="1:8" x14ac:dyDescent="0.25">
      <c r="E1379" t="str">
        <f>""</f>
        <v/>
      </c>
      <c r="F1379" t="str">
        <f>""</f>
        <v/>
      </c>
      <c r="H1379" t="str">
        <f>"Fuel"</f>
        <v>Fuel</v>
      </c>
    </row>
    <row r="1380" spans="1:8" x14ac:dyDescent="0.25">
      <c r="E1380" t="str">
        <f>""</f>
        <v/>
      </c>
      <c r="F1380" t="str">
        <f>""</f>
        <v/>
      </c>
      <c r="H1380" t="str">
        <f>"Tax"</f>
        <v>Tax</v>
      </c>
    </row>
    <row r="1381" spans="1:8" x14ac:dyDescent="0.25">
      <c r="E1381" t="str">
        <f>""</f>
        <v/>
      </c>
      <c r="F1381" t="str">
        <f>""</f>
        <v/>
      </c>
      <c r="H1381" t="str">
        <f>"Maintenance"</f>
        <v>Maintenance</v>
      </c>
    </row>
    <row r="1382" spans="1:8" x14ac:dyDescent="0.25">
      <c r="E1382" t="str">
        <f>""</f>
        <v/>
      </c>
      <c r="F1382" t="str">
        <f>""</f>
        <v/>
      </c>
      <c r="H1382" t="str">
        <f>"Fuel"</f>
        <v>Fuel</v>
      </c>
    </row>
    <row r="1383" spans="1:8" x14ac:dyDescent="0.25">
      <c r="E1383" t="str">
        <f>""</f>
        <v/>
      </c>
      <c r="F1383" t="str">
        <f>""</f>
        <v/>
      </c>
      <c r="H1383" t="str">
        <f>"Tax"</f>
        <v>Tax</v>
      </c>
    </row>
    <row r="1384" spans="1:8" x14ac:dyDescent="0.25">
      <c r="E1384" t="str">
        <f>""</f>
        <v/>
      </c>
      <c r="F1384" t="str">
        <f>""</f>
        <v/>
      </c>
      <c r="H1384" t="str">
        <f>"Fuel"</f>
        <v>Fuel</v>
      </c>
    </row>
    <row r="1385" spans="1:8" x14ac:dyDescent="0.25">
      <c r="E1385" t="str">
        <f>""</f>
        <v/>
      </c>
      <c r="F1385" t="str">
        <f>""</f>
        <v/>
      </c>
      <c r="H1385" t="str">
        <f>"Tax"</f>
        <v>Tax</v>
      </c>
    </row>
    <row r="1386" spans="1:8" x14ac:dyDescent="0.25">
      <c r="E1386" t="str">
        <f>""</f>
        <v/>
      </c>
      <c r="F1386" t="str">
        <f>""</f>
        <v/>
      </c>
      <c r="H1386" t="str">
        <f>"Maintenance"</f>
        <v>Maintenance</v>
      </c>
    </row>
    <row r="1387" spans="1:8" x14ac:dyDescent="0.25">
      <c r="E1387" t="str">
        <f>""</f>
        <v/>
      </c>
      <c r="F1387" t="str">
        <f>""</f>
        <v/>
      </c>
      <c r="H1387" t="str">
        <f>"Fuel"</f>
        <v>Fuel</v>
      </c>
    </row>
    <row r="1388" spans="1:8" x14ac:dyDescent="0.25">
      <c r="E1388" t="str">
        <f>""</f>
        <v/>
      </c>
      <c r="F1388" t="str">
        <f>""</f>
        <v/>
      </c>
      <c r="H1388" t="str">
        <f>"Tax"</f>
        <v>Tax</v>
      </c>
    </row>
    <row r="1389" spans="1:8" x14ac:dyDescent="0.25">
      <c r="E1389" t="str">
        <f>""</f>
        <v/>
      </c>
      <c r="F1389" t="str">
        <f>""</f>
        <v/>
      </c>
      <c r="H1389" t="str">
        <f>"Maintenance"</f>
        <v>Maintenance</v>
      </c>
    </row>
    <row r="1390" spans="1:8" x14ac:dyDescent="0.25">
      <c r="E1390" t="str">
        <f>""</f>
        <v/>
      </c>
      <c r="F1390" t="str">
        <f>""</f>
        <v/>
      </c>
      <c r="H1390" t="str">
        <f>"Fuel"</f>
        <v>Fuel</v>
      </c>
    </row>
    <row r="1391" spans="1:8" x14ac:dyDescent="0.25">
      <c r="E1391" t="str">
        <f>""</f>
        <v/>
      </c>
      <c r="F1391" t="str">
        <f>""</f>
        <v/>
      </c>
      <c r="H1391" t="str">
        <f>"Tax"</f>
        <v>Tax</v>
      </c>
    </row>
    <row r="1392" spans="1:8" x14ac:dyDescent="0.25">
      <c r="E1392" t="str">
        <f>""</f>
        <v/>
      </c>
      <c r="F1392" t="str">
        <f>""</f>
        <v/>
      </c>
      <c r="H1392" t="str">
        <f>"Maintenance"</f>
        <v>Maintenance</v>
      </c>
    </row>
    <row r="1393" spans="1:8" x14ac:dyDescent="0.25">
      <c r="E1393" t="str">
        <f>""</f>
        <v/>
      </c>
      <c r="F1393" t="str">
        <f>""</f>
        <v/>
      </c>
      <c r="H1393" t="str">
        <f>"Fuel"</f>
        <v>Fuel</v>
      </c>
    </row>
    <row r="1394" spans="1:8" x14ac:dyDescent="0.25">
      <c r="E1394" t="str">
        <f>""</f>
        <v/>
      </c>
      <c r="F1394" t="str">
        <f>""</f>
        <v/>
      </c>
      <c r="H1394" t="str">
        <f>"Tax"</f>
        <v>Tax</v>
      </c>
    </row>
    <row r="1395" spans="1:8" x14ac:dyDescent="0.25">
      <c r="E1395" t="str">
        <f>""</f>
        <v/>
      </c>
      <c r="F1395" t="str">
        <f>""</f>
        <v/>
      </c>
      <c r="H1395" t="str">
        <f>"Rebate"</f>
        <v>Rebate</v>
      </c>
    </row>
    <row r="1396" spans="1:8" x14ac:dyDescent="0.25">
      <c r="E1396" t="str">
        <f>""</f>
        <v/>
      </c>
      <c r="F1396" t="str">
        <f>""</f>
        <v/>
      </c>
      <c r="H1396" t="str">
        <f>"Fuel"</f>
        <v>Fuel</v>
      </c>
    </row>
    <row r="1397" spans="1:8" x14ac:dyDescent="0.25">
      <c r="E1397" t="str">
        <f>""</f>
        <v/>
      </c>
      <c r="F1397" t="str">
        <f>""</f>
        <v/>
      </c>
      <c r="H1397" t="str">
        <f>"Tax"</f>
        <v>Tax</v>
      </c>
    </row>
    <row r="1398" spans="1:8" x14ac:dyDescent="0.25">
      <c r="E1398" t="str">
        <f>""</f>
        <v/>
      </c>
      <c r="F1398" t="str">
        <f>""</f>
        <v/>
      </c>
      <c r="H1398" t="str">
        <f>"Maintenance"</f>
        <v>Maintenance</v>
      </c>
    </row>
    <row r="1399" spans="1:8" x14ac:dyDescent="0.25">
      <c r="E1399" t="str">
        <f>""</f>
        <v/>
      </c>
      <c r="F1399" t="str">
        <f>""</f>
        <v/>
      </c>
      <c r="H1399" t="str">
        <f>"Maintenance"</f>
        <v>Maintenance</v>
      </c>
    </row>
    <row r="1400" spans="1:8" x14ac:dyDescent="0.25">
      <c r="A1400" t="s">
        <v>428</v>
      </c>
      <c r="B1400">
        <v>130666</v>
      </c>
      <c r="C1400" s="2">
        <v>447.43</v>
      </c>
      <c r="D1400" s="1">
        <v>43857</v>
      </c>
      <c r="E1400" t="str">
        <f>"0819-DR14926"</f>
        <v>0819-DR14926</v>
      </c>
      <c r="F1400" t="str">
        <f>"CLIENT ID:CXD 14926/8/1-8/31"</f>
        <v>CLIENT ID:CXD 14926/8/1-8/31</v>
      </c>
      <c r="G1400" s="2">
        <v>79.33</v>
      </c>
      <c r="H1400" t="str">
        <f>"CLIENT ID:CXD 14926"</f>
        <v>CLIENT ID:CXD 14926</v>
      </c>
    </row>
    <row r="1401" spans="1:8" x14ac:dyDescent="0.25">
      <c r="E1401" t="str">
        <f>"0919-DR14926"</f>
        <v>0919-DR14926</v>
      </c>
      <c r="F1401" t="str">
        <f>"CLIENT ID:CXD 14926/09/1-09/30"</f>
        <v>CLIENT ID:CXD 14926/09/1-09/30</v>
      </c>
      <c r="G1401" s="2">
        <v>96.45</v>
      </c>
      <c r="H1401" t="str">
        <f>"CLIENT ID:CXD 14926/09/1-09/30"</f>
        <v>CLIENT ID:CXD 14926/09/1-09/30</v>
      </c>
    </row>
    <row r="1402" spans="1:8" x14ac:dyDescent="0.25">
      <c r="E1402" t="str">
        <f>"1019-DR14926"</f>
        <v>1019-DR14926</v>
      </c>
      <c r="F1402" t="str">
        <f>"CLIENT ID:CXD 14926/10/1-10/31"</f>
        <v>CLIENT ID:CXD 14926/10/1-10/31</v>
      </c>
      <c r="G1402" s="2">
        <v>101.15</v>
      </c>
      <c r="H1402" t="str">
        <f>"CLIENT ID:CXD 14926/10/1-10/31"</f>
        <v>CLIENT ID:CXD 14926/10/1-10/31</v>
      </c>
    </row>
    <row r="1403" spans="1:8" x14ac:dyDescent="0.25">
      <c r="E1403" t="str">
        <f>"1119-DR14926"</f>
        <v>1119-DR14926</v>
      </c>
      <c r="F1403" t="str">
        <f>"CLIENT ID:CXD 14926/11/1-11/30"</f>
        <v>CLIENT ID:CXD 14926/11/1-11/30</v>
      </c>
      <c r="G1403" s="2">
        <v>83.8</v>
      </c>
      <c r="H1403" t="str">
        <f>"CLIENT ID:CXD 14926/11/1-11/30"</f>
        <v>CLIENT ID:CXD 14926/11/1-11/30</v>
      </c>
    </row>
    <row r="1404" spans="1:8" x14ac:dyDescent="0.25">
      <c r="E1404" t="str">
        <f>"1219-DR14926"</f>
        <v>1219-DR14926</v>
      </c>
      <c r="F1404" t="str">
        <f>"CLIENT:CXD 14926/12/01-12/31"</f>
        <v>CLIENT:CXD 14926/12/01-12/31</v>
      </c>
      <c r="G1404" s="2">
        <v>86.7</v>
      </c>
      <c r="H1404" t="str">
        <f>"CLIENT:CXD 14926/12/01-12/31"</f>
        <v>CLIENT:CXD 14926/12/01-12/31</v>
      </c>
    </row>
    <row r="1405" spans="1:8" x14ac:dyDescent="0.25">
      <c r="A1405" t="s">
        <v>429</v>
      </c>
      <c r="B1405">
        <v>1987</v>
      </c>
      <c r="C1405" s="2">
        <v>2635.49</v>
      </c>
      <c r="D1405" s="1">
        <v>43844</v>
      </c>
      <c r="E1405" t="str">
        <f>"17945"</f>
        <v>17945</v>
      </c>
      <c r="F1405" t="str">
        <f>"COLD MIX/FREIGHT/PCT#4"</f>
        <v>COLD MIX/FREIGHT/PCT#4</v>
      </c>
      <c r="G1405" s="2">
        <v>2635.49</v>
      </c>
      <c r="H1405" t="str">
        <f>"COLD MIX/FREIGHT/PCT#4"</f>
        <v>COLD MIX/FREIGHT/PCT#4</v>
      </c>
    </row>
    <row r="1406" spans="1:8" x14ac:dyDescent="0.25">
      <c r="A1406" t="s">
        <v>429</v>
      </c>
      <c r="B1406">
        <v>2052</v>
      </c>
      <c r="C1406" s="2">
        <v>2571.75</v>
      </c>
      <c r="D1406" s="1">
        <v>43858</v>
      </c>
      <c r="E1406" t="str">
        <f>"17978"</f>
        <v>17978</v>
      </c>
      <c r="F1406" t="str">
        <f>"COLD MIX/FREIGHT/PCT#4"</f>
        <v>COLD MIX/FREIGHT/PCT#4</v>
      </c>
      <c r="G1406" s="2">
        <v>2571.75</v>
      </c>
      <c r="H1406" t="str">
        <f>"COLD MIX/FREIGHT/PCT#4"</f>
        <v>COLD MIX/FREIGHT/PCT#4</v>
      </c>
    </row>
    <row r="1407" spans="1:8" x14ac:dyDescent="0.25">
      <c r="A1407" t="s">
        <v>430</v>
      </c>
      <c r="B1407">
        <v>2102</v>
      </c>
      <c r="C1407" s="2">
        <v>273.86</v>
      </c>
      <c r="D1407" s="1">
        <v>43858</v>
      </c>
      <c r="E1407" t="str">
        <f>"SCAUS0062678"</f>
        <v>SCAUS0062678</v>
      </c>
      <c r="F1407" t="str">
        <f>"CUST ID:BASPR3/PCT#3"</f>
        <v>CUST ID:BASPR3/PCT#3</v>
      </c>
      <c r="G1407" s="2">
        <v>273.86</v>
      </c>
      <c r="H1407" t="str">
        <f>"CUST ID:BASPR3/PCT#3"</f>
        <v>CUST ID:BASPR3/PCT#3</v>
      </c>
    </row>
    <row r="1408" spans="1:8" x14ac:dyDescent="0.25">
      <c r="A1408" t="s">
        <v>431</v>
      </c>
      <c r="B1408">
        <v>130336</v>
      </c>
      <c r="C1408" s="2">
        <v>20492.21</v>
      </c>
      <c r="D1408" s="1">
        <v>43833</v>
      </c>
      <c r="E1408" t="str">
        <f>"10274051"</f>
        <v>10274051</v>
      </c>
      <c r="F1408" t="str">
        <f>"ACCT#5150-005117630 / 12312019"</f>
        <v>ACCT#5150-005117630 / 12312019</v>
      </c>
      <c r="G1408" s="2">
        <v>262.81</v>
      </c>
      <c r="H1408" t="str">
        <f>"ACCT#5150-005117630 / 12312019"</f>
        <v>ACCT#5150-005117630 / 12312019</v>
      </c>
    </row>
    <row r="1409" spans="1:8" x14ac:dyDescent="0.25">
      <c r="E1409" t="str">
        <f>"10274058"</f>
        <v>10274058</v>
      </c>
      <c r="F1409" t="str">
        <f>"ACCT#5150-005117766 / 12312019"</f>
        <v>ACCT#5150-005117766 / 12312019</v>
      </c>
      <c r="G1409" s="2">
        <v>115.36</v>
      </c>
      <c r="H1409" t="str">
        <f>"ACCT#5150-005117766 / 12312019"</f>
        <v>ACCT#5150-005117766 / 12312019</v>
      </c>
    </row>
    <row r="1410" spans="1:8" x14ac:dyDescent="0.25">
      <c r="E1410" t="str">
        <f>"10274062"</f>
        <v>10274062</v>
      </c>
      <c r="F1410" t="str">
        <f>"ACCT#5150-005117838 / 12312019"</f>
        <v>ACCT#5150-005117838 / 12312019</v>
      </c>
      <c r="G1410" s="2">
        <v>106.76</v>
      </c>
      <c r="H1410" t="str">
        <f>"ACCT#5150-005117838 / 12312019"</f>
        <v>ACCT#5150-005117838 / 12312019</v>
      </c>
    </row>
    <row r="1411" spans="1:8" x14ac:dyDescent="0.25">
      <c r="E1411" t="str">
        <f>"10274064"</f>
        <v>10274064</v>
      </c>
      <c r="F1411" t="str">
        <f>"ACCT#5150*005117882 / 12312019"</f>
        <v>ACCT#5150*005117882 / 12312019</v>
      </c>
      <c r="G1411" s="2">
        <v>144.19</v>
      </c>
      <c r="H1411" t="str">
        <f>"ACCT#5150*005117882 / 12312019"</f>
        <v>ACCT#5150*005117882 / 12312019</v>
      </c>
    </row>
    <row r="1412" spans="1:8" x14ac:dyDescent="0.25">
      <c r="E1412" t="str">
        <f>"10274072"</f>
        <v>10274072</v>
      </c>
      <c r="F1412" t="str">
        <f>"ACCT#5150-005118183 / 12312019"</f>
        <v>ACCT#5150-005118183 / 12312019</v>
      </c>
      <c r="G1412" s="2">
        <v>622.41999999999996</v>
      </c>
      <c r="H1412" t="str">
        <f>"ACCT#5150-005118183 / 12312019"</f>
        <v>ACCT#5150-005118183 / 12312019</v>
      </c>
    </row>
    <row r="1413" spans="1:8" x14ac:dyDescent="0.25">
      <c r="E1413" t="str">
        <f>"10274113"</f>
        <v>10274113</v>
      </c>
      <c r="F1413" t="str">
        <f>"ACCT#5150-005129483 / 12312019"</f>
        <v>ACCT#5150-005129483 / 12312019</v>
      </c>
      <c r="G1413" s="2">
        <v>19128.3</v>
      </c>
      <c r="H1413" t="str">
        <f>"ACCT#5150-005129483 / 12312019"</f>
        <v>ACCT#5150-005129483 / 12312019</v>
      </c>
    </row>
    <row r="1414" spans="1:8" x14ac:dyDescent="0.25">
      <c r="E1414" t="str">
        <f>"10278782"</f>
        <v>10278782</v>
      </c>
      <c r="F1414" t="str">
        <f>"ACCT#5150-16203415 / 01312020"</f>
        <v>ACCT#5150-16203415 / 01312020</v>
      </c>
      <c r="G1414" s="2">
        <v>83.48</v>
      </c>
      <c r="H1414" t="str">
        <f>"ACCT#5150-16203415 / 01312020"</f>
        <v>ACCT#5150-16203415 / 01312020</v>
      </c>
    </row>
    <row r="1415" spans="1:8" x14ac:dyDescent="0.25">
      <c r="E1415" t="str">
        <f>"10278783"</f>
        <v>10278783</v>
      </c>
      <c r="F1415" t="str">
        <f>"ACCT#5150-16203417 / 01312020"</f>
        <v>ACCT#5150-16203417 / 01312020</v>
      </c>
      <c r="G1415" s="2">
        <v>28.89</v>
      </c>
      <c r="H1415" t="str">
        <f>"ACCT#5150-16203417 / 01312020"</f>
        <v>ACCT#5150-16203417 / 01312020</v>
      </c>
    </row>
    <row r="1416" spans="1:8" x14ac:dyDescent="0.25">
      <c r="A1416" t="s">
        <v>432</v>
      </c>
      <c r="B1416">
        <v>130495</v>
      </c>
      <c r="C1416" s="2">
        <v>413.5</v>
      </c>
      <c r="D1416" s="1">
        <v>43843</v>
      </c>
      <c r="E1416" t="str">
        <f>"0068578-2161-2"</f>
        <v>0068578-2161-2</v>
      </c>
      <c r="F1416" t="str">
        <f>"CUST ID:2-56581-95066/ANIMAL C"</f>
        <v>CUST ID:2-56581-95066/ANIMAL C</v>
      </c>
      <c r="G1416" s="2">
        <v>413.5</v>
      </c>
      <c r="H1416" t="str">
        <f>"CUST ID:2-56581-95066/ANIMAL C"</f>
        <v>CUST ID:2-56581-95066/ANIMAL C</v>
      </c>
    </row>
    <row r="1417" spans="1:8" x14ac:dyDescent="0.25">
      <c r="A1417" t="s">
        <v>432</v>
      </c>
      <c r="B1417">
        <v>130667</v>
      </c>
      <c r="C1417" s="2">
        <v>4809.7</v>
      </c>
      <c r="D1417" s="1">
        <v>43857</v>
      </c>
      <c r="E1417" t="str">
        <f>"0024799-2161-7"</f>
        <v>0024799-2161-7</v>
      </c>
      <c r="F1417" t="str">
        <f>"CUST#2-57060-55062/PCT#4"</f>
        <v>CUST#2-57060-55062/PCT#4</v>
      </c>
      <c r="G1417" s="2">
        <v>4590</v>
      </c>
      <c r="H1417" t="str">
        <f>"CUST#2-57060-55062/PCT#4"</f>
        <v>CUST#2-57060-55062/PCT#4</v>
      </c>
    </row>
    <row r="1418" spans="1:8" x14ac:dyDescent="0.25">
      <c r="E1418" t="str">
        <f>"0039867-2162-3"</f>
        <v>0039867-2162-3</v>
      </c>
      <c r="F1418" t="str">
        <f>"CUST ID:16-27603-83003/ANIMAL"</f>
        <v>CUST ID:16-27603-83003/ANIMAL</v>
      </c>
      <c r="G1418" s="2">
        <v>219.7</v>
      </c>
      <c r="H1418" t="str">
        <f>"CUST ID:16-27603-83003/ANIMAL"</f>
        <v>CUST ID:16-27603-83003/ANIMAL</v>
      </c>
    </row>
    <row r="1419" spans="1:8" x14ac:dyDescent="0.25">
      <c r="A1419" t="s">
        <v>433</v>
      </c>
      <c r="B1419">
        <v>1995</v>
      </c>
      <c r="C1419" s="2">
        <v>618.9</v>
      </c>
      <c r="D1419" s="1">
        <v>43844</v>
      </c>
      <c r="E1419" t="str">
        <f>"4604"</f>
        <v>4604</v>
      </c>
      <c r="F1419" t="str">
        <f>"EMBROIDERY/PCT#3"</f>
        <v>EMBROIDERY/PCT#3</v>
      </c>
      <c r="G1419" s="2">
        <v>184</v>
      </c>
      <c r="H1419" t="str">
        <f>"EMBROIDERY/PCT#3"</f>
        <v>EMBROIDERY/PCT#3</v>
      </c>
    </row>
    <row r="1420" spans="1:8" x14ac:dyDescent="0.25">
      <c r="E1420" t="str">
        <f>"4681"</f>
        <v>4681</v>
      </c>
      <c r="F1420" t="str">
        <f>"INV 4681"</f>
        <v>INV 4681</v>
      </c>
      <c r="G1420" s="2">
        <v>137.9</v>
      </c>
      <c r="H1420" t="str">
        <f>"INV 4681"</f>
        <v>INV 4681</v>
      </c>
    </row>
    <row r="1421" spans="1:8" x14ac:dyDescent="0.25">
      <c r="E1421" t="str">
        <f>"4682"</f>
        <v>4682</v>
      </c>
      <c r="F1421" t="str">
        <f>"EMBROIDERY/ELECTIONS"</f>
        <v>EMBROIDERY/ELECTIONS</v>
      </c>
      <c r="G1421" s="2">
        <v>297</v>
      </c>
      <c r="H1421" t="str">
        <f>"EMBROIDERY/ELECTIONS"</f>
        <v>EMBROIDERY/ELECTIONS</v>
      </c>
    </row>
    <row r="1422" spans="1:8" x14ac:dyDescent="0.25">
      <c r="A1422" t="s">
        <v>434</v>
      </c>
      <c r="B1422">
        <v>2056</v>
      </c>
      <c r="C1422" s="2">
        <v>10574.98</v>
      </c>
      <c r="D1422" s="1">
        <v>43858</v>
      </c>
      <c r="E1422" t="str">
        <f>"23853"</f>
        <v>23853</v>
      </c>
      <c r="F1422" t="str">
        <f>"INV 23853"</f>
        <v>INV 23853</v>
      </c>
      <c r="G1422" s="2">
        <v>10574.98</v>
      </c>
      <c r="H1422" t="str">
        <f>"INV 23853"</f>
        <v>INV 23853</v>
      </c>
    </row>
    <row r="1423" spans="1:8" x14ac:dyDescent="0.25">
      <c r="A1423" t="s">
        <v>435</v>
      </c>
      <c r="B1423">
        <v>130496</v>
      </c>
      <c r="C1423" s="2">
        <v>155</v>
      </c>
      <c r="D1423" s="1">
        <v>43843</v>
      </c>
      <c r="E1423" t="str">
        <f>"202001024389"</f>
        <v>202001024389</v>
      </c>
      <c r="F1423" t="str">
        <f>"FERAL HOGS"</f>
        <v>FERAL HOGS</v>
      </c>
      <c r="G1423" s="2">
        <v>155</v>
      </c>
      <c r="H1423" t="str">
        <f>"FERAL HOGS"</f>
        <v>FERAL HOGS</v>
      </c>
    </row>
    <row r="1424" spans="1:8" x14ac:dyDescent="0.25">
      <c r="A1424" t="s">
        <v>436</v>
      </c>
      <c r="B1424">
        <v>130497</v>
      </c>
      <c r="C1424" s="2">
        <v>580</v>
      </c>
      <c r="D1424" s="1">
        <v>43843</v>
      </c>
      <c r="E1424" t="str">
        <f>"202001024390"</f>
        <v>202001024390</v>
      </c>
      <c r="F1424" t="str">
        <f>"FERAL HOGS"</f>
        <v>FERAL HOGS</v>
      </c>
      <c r="G1424" s="2">
        <v>580</v>
      </c>
      <c r="H1424" t="str">
        <f>"FERAL HOGS"</f>
        <v>FERAL HOGS</v>
      </c>
    </row>
    <row r="1425" spans="1:8" x14ac:dyDescent="0.25">
      <c r="A1425" t="s">
        <v>437</v>
      </c>
      <c r="B1425">
        <v>130498</v>
      </c>
      <c r="C1425" s="2">
        <v>13866</v>
      </c>
      <c r="D1425" s="1">
        <v>43843</v>
      </c>
      <c r="E1425" t="str">
        <f>"80290/80291"</f>
        <v>80290/80291</v>
      </c>
      <c r="F1425" t="str">
        <f>"Roadway Pipes"</f>
        <v>Roadway Pipes</v>
      </c>
      <c r="G1425" s="2">
        <v>13866</v>
      </c>
      <c r="H1425" t="str">
        <f>"18 X30 Des Arched 16"</f>
        <v>18 X30 Des Arched 16</v>
      </c>
    </row>
    <row r="1426" spans="1:8" x14ac:dyDescent="0.25">
      <c r="E1426" t="str">
        <f>""</f>
        <v/>
      </c>
      <c r="F1426" t="str">
        <f>""</f>
        <v/>
      </c>
      <c r="H1426" t="str">
        <f>"48X40Des Arched 14G"</f>
        <v>48X40Des Arched 14G</v>
      </c>
    </row>
    <row r="1427" spans="1:8" x14ac:dyDescent="0.25">
      <c r="A1427" t="s">
        <v>438</v>
      </c>
      <c r="B1427">
        <v>130499</v>
      </c>
      <c r="C1427" s="2">
        <v>4500</v>
      </c>
      <c r="D1427" s="1">
        <v>43843</v>
      </c>
      <c r="E1427" t="str">
        <f>"1459"</f>
        <v>1459</v>
      </c>
      <c r="F1427" t="str">
        <f>"SOIL/LABOR/EROSION MATS/SEED"</f>
        <v>SOIL/LABOR/EROSION MATS/SEED</v>
      </c>
      <c r="G1427" s="2">
        <v>4500</v>
      </c>
      <c r="H1427" t="str">
        <f>"SOIL/LABOR/EROSION MATS/SEED"</f>
        <v>SOIL/LABOR/EROSION MATS/SEED</v>
      </c>
    </row>
    <row r="1428" spans="1:8" x14ac:dyDescent="0.25">
      <c r="A1428" t="s">
        <v>438</v>
      </c>
      <c r="B1428">
        <v>130668</v>
      </c>
      <c r="C1428" s="2">
        <v>10131.48</v>
      </c>
      <c r="D1428" s="1">
        <v>43857</v>
      </c>
      <c r="E1428" t="str">
        <f>"1463"</f>
        <v>1463</v>
      </c>
      <c r="F1428" t="str">
        <f>"O'GRADY ROAD HMGP / PCT#2"</f>
        <v>O'GRADY ROAD HMGP / PCT#2</v>
      </c>
      <c r="G1428" s="2">
        <v>10131.48</v>
      </c>
      <c r="H1428" t="str">
        <f>"O'GRADY ROAD HMGP / PCT#2"</f>
        <v>O'GRADY ROAD HMGP / PCT#2</v>
      </c>
    </row>
    <row r="1429" spans="1:8" x14ac:dyDescent="0.25">
      <c r="A1429" t="s">
        <v>439</v>
      </c>
      <c r="B1429">
        <v>130669</v>
      </c>
      <c r="C1429" s="2">
        <v>1029.92</v>
      </c>
      <c r="D1429" s="1">
        <v>43857</v>
      </c>
      <c r="E1429" t="str">
        <f>"0013604"</f>
        <v>0013604</v>
      </c>
      <c r="F1429" t="str">
        <f>"INTERPRETER/MILEAGE"</f>
        <v>INTERPRETER/MILEAGE</v>
      </c>
      <c r="G1429" s="2">
        <v>362.64</v>
      </c>
      <c r="H1429" t="str">
        <f>"INTERPRETER/MILEAGE"</f>
        <v>INTERPRETER/MILEAGE</v>
      </c>
    </row>
    <row r="1430" spans="1:8" x14ac:dyDescent="0.25">
      <c r="E1430" t="str">
        <f>"0013659"</f>
        <v>0013659</v>
      </c>
      <c r="F1430" t="str">
        <f>"423-6648  423-6877  423-2289"</f>
        <v>423-6648  423-6877  423-2289</v>
      </c>
      <c r="G1430" s="2">
        <v>333.64</v>
      </c>
      <c r="H1430" t="str">
        <f>"423-6648  423-6877  423-2289"</f>
        <v>423-6648  423-6877  423-2289</v>
      </c>
    </row>
    <row r="1431" spans="1:8" x14ac:dyDescent="0.25">
      <c r="E1431" t="str">
        <f>"0013661"</f>
        <v>0013661</v>
      </c>
      <c r="F1431" t="str">
        <f>"15-17173  18-19221/MILEAGE"</f>
        <v>15-17173  18-19221/MILEAGE</v>
      </c>
      <c r="G1431" s="2">
        <v>333.64</v>
      </c>
      <c r="H1431" t="str">
        <f>"15-17173  18-19221/MILEAGE"</f>
        <v>15-17173  18-19221/MILEAGE</v>
      </c>
    </row>
    <row r="1432" spans="1:8" x14ac:dyDescent="0.25">
      <c r="A1432" t="s">
        <v>440</v>
      </c>
      <c r="B1432">
        <v>130500</v>
      </c>
      <c r="C1432" s="2">
        <v>140.05000000000001</v>
      </c>
      <c r="D1432" s="1">
        <v>43843</v>
      </c>
      <c r="E1432" t="str">
        <f>"506493"</f>
        <v>506493</v>
      </c>
      <c r="F1432" t="str">
        <f>"ORDER ID 506493"</f>
        <v>ORDER ID 506493</v>
      </c>
      <c r="G1432" s="2">
        <v>140.05000000000001</v>
      </c>
      <c r="H1432" t="str">
        <f>"ORDER ID 506493"</f>
        <v>ORDER ID 506493</v>
      </c>
    </row>
    <row r="1433" spans="1:8" x14ac:dyDescent="0.25">
      <c r="A1433" t="s">
        <v>441</v>
      </c>
      <c r="B1433">
        <v>130501</v>
      </c>
      <c r="C1433" s="2">
        <v>3040.28</v>
      </c>
      <c r="D1433" s="1">
        <v>43843</v>
      </c>
      <c r="E1433" t="str">
        <f>"9009526128"</f>
        <v>9009526128</v>
      </c>
      <c r="F1433" t="str">
        <f>"CUST#2000053103/ANIMAL SERVICE"</f>
        <v>CUST#2000053103/ANIMAL SERVICE</v>
      </c>
      <c r="G1433" s="2">
        <v>469.2</v>
      </c>
      <c r="H1433" t="str">
        <f>"CUST#2000053103/ANIMAL SERVICE"</f>
        <v>CUST#2000053103/ANIMAL SERVICE</v>
      </c>
    </row>
    <row r="1434" spans="1:8" x14ac:dyDescent="0.25">
      <c r="E1434" t="str">
        <f>"9009526156"</f>
        <v>9009526156</v>
      </c>
      <c r="F1434" t="str">
        <f>"CUST#2000053103/ANIMAL SERVICE"</f>
        <v>CUST#2000053103/ANIMAL SERVICE</v>
      </c>
      <c r="G1434" s="2">
        <v>124.6</v>
      </c>
      <c r="H1434" t="str">
        <f>"CUST#2000053103/ANIMAL SERVICE"</f>
        <v>CUST#2000053103/ANIMAL SERVICE</v>
      </c>
    </row>
    <row r="1435" spans="1:8" x14ac:dyDescent="0.25">
      <c r="E1435" t="str">
        <f>"9009536787"</f>
        <v>9009536787</v>
      </c>
      <c r="F1435" t="str">
        <f>"CUST#2000053103/ANIMAL SHELTER"</f>
        <v>CUST#2000053103/ANIMAL SHELTER</v>
      </c>
      <c r="G1435" s="2">
        <v>301.27999999999997</v>
      </c>
      <c r="H1435" t="str">
        <f>"CUST#2000053103/ANIMAL SHELTER"</f>
        <v>CUST#2000053103/ANIMAL SHELTER</v>
      </c>
    </row>
    <row r="1436" spans="1:8" x14ac:dyDescent="0.25">
      <c r="E1436" t="str">
        <f>"9009576053"</f>
        <v>9009576053</v>
      </c>
      <c r="F1436" t="str">
        <f>"CUST#200053103/ANIMAL SHELTER"</f>
        <v>CUST#200053103/ANIMAL SHELTER</v>
      </c>
      <c r="G1436" s="2">
        <v>520</v>
      </c>
      <c r="H1436" t="str">
        <f>"CUST#200053103/ANIMAL SHELTER"</f>
        <v>CUST#200053103/ANIMAL SHELTER</v>
      </c>
    </row>
    <row r="1437" spans="1:8" x14ac:dyDescent="0.25">
      <c r="E1437" t="str">
        <f>"9009576063"</f>
        <v>9009576063</v>
      </c>
      <c r="F1437" t="str">
        <f>"CUST#2000053103/ANIMAL SERVICE"</f>
        <v>CUST#2000053103/ANIMAL SERVICE</v>
      </c>
      <c r="G1437" s="2">
        <v>1166</v>
      </c>
      <c r="H1437" t="str">
        <f>"CUST#2000053103/ANIMAL SERVICE"</f>
        <v>CUST#2000053103/ANIMAL SERVICE</v>
      </c>
    </row>
    <row r="1438" spans="1:8" x14ac:dyDescent="0.25">
      <c r="E1438" t="str">
        <f>"9009576072"</f>
        <v>9009576072</v>
      </c>
      <c r="F1438" t="str">
        <f>"CUST#2000053103/ANIMAL SHELTER"</f>
        <v>CUST#2000053103/ANIMAL SHELTER</v>
      </c>
      <c r="G1438" s="2">
        <v>459.2</v>
      </c>
      <c r="H1438" t="str">
        <f>"CUST#2000053103/ANIMAL SHELTER"</f>
        <v>CUST#2000053103/ANIMAL SHELTER</v>
      </c>
    </row>
    <row r="1439" spans="1:8" x14ac:dyDescent="0.25">
      <c r="A1439" t="s">
        <v>441</v>
      </c>
      <c r="B1439">
        <v>130670</v>
      </c>
      <c r="C1439" s="2">
        <v>815.35</v>
      </c>
      <c r="D1439" s="1">
        <v>43857</v>
      </c>
      <c r="E1439" t="str">
        <f>"9009656770"</f>
        <v>9009656770</v>
      </c>
      <c r="F1439" t="str">
        <f>"CUST#1000113183/ANIMAL SHELTER"</f>
        <v>CUST#1000113183/ANIMAL SHELTER</v>
      </c>
      <c r="G1439" s="2">
        <v>507.2</v>
      </c>
      <c r="H1439" t="str">
        <f>"CUST#1000113183/ANIMAL SHELTER"</f>
        <v>CUST#1000113183/ANIMAL SHELTER</v>
      </c>
    </row>
    <row r="1440" spans="1:8" x14ac:dyDescent="0.25">
      <c r="E1440" t="str">
        <f>"9009669409"</f>
        <v>9009669409</v>
      </c>
      <c r="F1440" t="str">
        <f>"CUST#200005310/ANIMAL SHELTER"</f>
        <v>CUST#200005310/ANIMAL SHELTER</v>
      </c>
      <c r="G1440" s="2">
        <v>308.14999999999998</v>
      </c>
      <c r="H1440" t="str">
        <f>"CUST#200005310/ANIMAL SHELTER"</f>
        <v>CUST#200005310/ANIMAL SHELTER</v>
      </c>
    </row>
    <row r="1441" spans="1:8" x14ac:dyDescent="0.25">
      <c r="A1441" t="s">
        <v>442</v>
      </c>
      <c r="B1441">
        <v>130502</v>
      </c>
      <c r="C1441" s="2">
        <v>1495.11</v>
      </c>
      <c r="D1441" s="1">
        <v>43843</v>
      </c>
      <c r="E1441" t="str">
        <f>"INV6984787"</f>
        <v>INV6984787</v>
      </c>
      <c r="F1441" t="str">
        <f>"EOC Vest Kit for Small Lo"</f>
        <v>EOC Vest Kit for Small Lo</v>
      </c>
      <c r="G1441" s="2">
        <v>1495.11</v>
      </c>
      <c r="H1441" t="str">
        <f>"EOC Vest Kit for Small Lo"</f>
        <v>EOC Vest Kit for Small Lo</v>
      </c>
    </row>
    <row r="1442" spans="1:8" x14ac:dyDescent="0.25">
      <c r="E1442" t="str">
        <f>""</f>
        <v/>
      </c>
      <c r="F1442" t="str">
        <f>""</f>
        <v/>
      </c>
      <c r="H1442" t="str">
        <f>"PROMO CODE"</f>
        <v>PROMO CODE</v>
      </c>
    </row>
    <row r="1443" spans="1:8" x14ac:dyDescent="0.25">
      <c r="A1443" t="s">
        <v>443</v>
      </c>
      <c r="B1443">
        <v>130503</v>
      </c>
      <c r="C1443" s="2">
        <v>660</v>
      </c>
      <c r="D1443" s="1">
        <v>43843</v>
      </c>
      <c r="E1443" t="str">
        <f>"2017072"</f>
        <v>2017072</v>
      </c>
      <c r="F1443" t="str">
        <f>"INSPECTION REQUEST"</f>
        <v>INSPECTION REQUEST</v>
      </c>
      <c r="G1443" s="2">
        <v>660</v>
      </c>
      <c r="H1443" t="str">
        <f>"INSPECTION REQUEST"</f>
        <v>INSPECTION REQUEST</v>
      </c>
    </row>
    <row r="1444" spans="1:8" x14ac:dyDescent="0.25">
      <c r="A1444" t="s">
        <v>71</v>
      </c>
      <c r="B1444">
        <v>130511</v>
      </c>
      <c r="C1444" s="2">
        <v>372.71</v>
      </c>
      <c r="D1444" s="1">
        <v>43845</v>
      </c>
      <c r="E1444" t="str">
        <f>"202001144627"</f>
        <v>202001144627</v>
      </c>
      <c r="F1444" t="str">
        <f>"ACCT#5000057374 / 01062020"</f>
        <v>ACCT#5000057374 / 01062020</v>
      </c>
      <c r="G1444" s="2">
        <v>372.71</v>
      </c>
      <c r="H1444" t="str">
        <f>"ACCT#5000057374 / 01062020"</f>
        <v>ACCT#5000057374 / 01062020</v>
      </c>
    </row>
    <row r="1445" spans="1:8" x14ac:dyDescent="0.25">
      <c r="A1445" t="s">
        <v>444</v>
      </c>
      <c r="B1445">
        <v>130671</v>
      </c>
      <c r="C1445" s="2">
        <v>30665</v>
      </c>
      <c r="D1445" s="1">
        <v>43857</v>
      </c>
      <c r="E1445" t="str">
        <f>"LF178342"</f>
        <v>LF178342</v>
      </c>
      <c r="F1445" t="str">
        <f>"CALDWELL AUTOMOTIVE PARTNERS L"</f>
        <v>CALDWELL AUTOMOTIVE PARTNERS L</v>
      </c>
      <c r="G1445" s="2">
        <v>30665</v>
      </c>
      <c r="H1445" t="str">
        <f>"2020 Chevy 3500"</f>
        <v>2020 Chevy 3500</v>
      </c>
    </row>
    <row r="1446" spans="1:8" x14ac:dyDescent="0.25">
      <c r="E1446" t="str">
        <f>""</f>
        <v/>
      </c>
      <c r="F1446" t="str">
        <f>""</f>
        <v/>
      </c>
      <c r="H1446" t="str">
        <f>"Buyboard Fee"</f>
        <v>Buyboard Fee</v>
      </c>
    </row>
    <row r="1447" spans="1:8" x14ac:dyDescent="0.25">
      <c r="A1447" t="s">
        <v>445</v>
      </c>
      <c r="B1447">
        <v>130672</v>
      </c>
      <c r="C1447" s="2">
        <v>2330</v>
      </c>
      <c r="D1447" s="1">
        <v>43857</v>
      </c>
      <c r="E1447" t="str">
        <f>"37402-MG"</f>
        <v>37402-MG</v>
      </c>
      <c r="F1447" t="str">
        <f>"MECHANICAL UNDERSTORY THINNING"</f>
        <v>MECHANICAL UNDERSTORY THINNING</v>
      </c>
      <c r="G1447" s="2">
        <v>2330</v>
      </c>
      <c r="H1447" t="str">
        <f>"MECHANICAL UNDERSTORY THINNING"</f>
        <v>MECHANICAL UNDERSTORY THINNING</v>
      </c>
    </row>
    <row r="1448" spans="1:8" x14ac:dyDescent="0.25">
      <c r="A1448" t="s">
        <v>446</v>
      </c>
      <c r="B1448">
        <v>342</v>
      </c>
      <c r="C1448" s="2">
        <v>46025</v>
      </c>
      <c r="D1448" s="1">
        <v>43843</v>
      </c>
      <c r="E1448" t="str">
        <f>"LOAN #BASREF15"</f>
        <v>LOAN #BASREF15</v>
      </c>
      <c r="F1448" t="str">
        <f>"DEBT SERVICE PMT - SERIES 2015"</f>
        <v>DEBT SERVICE PMT - SERIES 2015</v>
      </c>
      <c r="G1448" s="2">
        <v>46025</v>
      </c>
      <c r="H1448" t="str">
        <f>"DEBT SERVICE PMT - SERIES 2015"</f>
        <v>DEBT SERVICE PMT - SERIES 2015</v>
      </c>
    </row>
    <row r="1449" spans="1:8" x14ac:dyDescent="0.25">
      <c r="A1449" t="s">
        <v>446</v>
      </c>
      <c r="B1449">
        <v>374</v>
      </c>
      <c r="C1449" s="2">
        <v>583056.26</v>
      </c>
      <c r="D1449" s="1">
        <v>43857</v>
      </c>
      <c r="E1449" t="str">
        <f>"1524784"</f>
        <v>1524784</v>
      </c>
      <c r="F1449" t="str">
        <f>"DEBT SERVICE PMT - SERIES 2017"</f>
        <v>DEBT SERVICE PMT - SERIES 2017</v>
      </c>
      <c r="G1449" s="2">
        <v>133425</v>
      </c>
      <c r="H1449" t="str">
        <f>"DEBT SERVICE PMT - SERIES 2017"</f>
        <v>DEBT SERVICE PMT - SERIES 2017</v>
      </c>
    </row>
    <row r="1450" spans="1:8" x14ac:dyDescent="0.25">
      <c r="E1450" t="str">
        <f>"1524789"</f>
        <v>1524789</v>
      </c>
      <c r="F1450" t="str">
        <f>"DEBT SERVICE PMT - SERIES 2014"</f>
        <v>DEBT SERVICE PMT - SERIES 2014</v>
      </c>
      <c r="G1450" s="2">
        <v>137843.75</v>
      </c>
      <c r="H1450" t="str">
        <f>"DEBT SERVICE PMT - SERIES 2014"</f>
        <v>DEBT SERVICE PMT - SERIES 2014</v>
      </c>
    </row>
    <row r="1451" spans="1:8" x14ac:dyDescent="0.25">
      <c r="E1451" t="str">
        <f>"1524791"</f>
        <v>1524791</v>
      </c>
      <c r="F1451" t="str">
        <f>"DEBT SERVICE PMT - SERIES 2018"</f>
        <v>DEBT SERVICE PMT - SERIES 2018</v>
      </c>
      <c r="G1451" s="2">
        <v>174968.76</v>
      </c>
      <c r="H1451" t="str">
        <f>"DEBT SERVICE PMT - SERIES 2018"</f>
        <v>DEBT SERVICE PMT - SERIES 2018</v>
      </c>
    </row>
    <row r="1452" spans="1:8" x14ac:dyDescent="0.25">
      <c r="E1452" t="str">
        <f>"REF#BASTROPTXR10"</f>
        <v>REF#BASTROPTXR10</v>
      </c>
      <c r="F1452" t="str">
        <f>"DEBT SERVICE PMT - SERIES 2010"</f>
        <v>DEBT SERVICE PMT - SERIES 2010</v>
      </c>
      <c r="G1452" s="2">
        <v>136818.75</v>
      </c>
      <c r="H1452" t="str">
        <f>"DEBT SERVICE PMT - SERIES 2010"</f>
        <v>DEBT SERVICE PMT - SERIES 2010</v>
      </c>
    </row>
    <row r="1453" spans="1:8" x14ac:dyDescent="0.25">
      <c r="E1453" t="str">
        <f>""</f>
        <v/>
      </c>
      <c r="F1453" t="str">
        <f>""</f>
        <v/>
      </c>
      <c r="H1453" t="str">
        <f>"DEBT SERVICE PMT - SERIES 2010"</f>
        <v>DEBT SERVICE PMT - SERIES 2010</v>
      </c>
    </row>
    <row r="1454" spans="1:8" x14ac:dyDescent="0.25">
      <c r="A1454" t="s">
        <v>447</v>
      </c>
      <c r="B1454">
        <v>130504</v>
      </c>
      <c r="C1454" s="2">
        <v>1480</v>
      </c>
      <c r="D1454" s="1">
        <v>43843</v>
      </c>
      <c r="E1454" t="str">
        <f>"3849"</f>
        <v>3849</v>
      </c>
      <c r="F1454" t="str">
        <f>"DEVELOPMENT &amp; SUBMISSION APPL"</f>
        <v>DEVELOPMENT &amp; SUBMISSION APPL</v>
      </c>
      <c r="G1454" s="2">
        <v>1480</v>
      </c>
      <c r="H1454" t="str">
        <f>"DEVELOPMENT &amp; SUBMISSION APPL"</f>
        <v>DEVELOPMENT &amp; SUBMISSION APPL</v>
      </c>
    </row>
    <row r="1455" spans="1:8" x14ac:dyDescent="0.25">
      <c r="A1455" t="s">
        <v>447</v>
      </c>
      <c r="B1455">
        <v>130725</v>
      </c>
      <c r="C1455" s="2">
        <v>15153</v>
      </c>
      <c r="D1455" s="1">
        <v>43860</v>
      </c>
      <c r="E1455" t="str">
        <f>"3890"</f>
        <v>3890</v>
      </c>
      <c r="F1455" t="str">
        <f>"ACQUISITION/ADMIN FEES"</f>
        <v>ACQUISITION/ADMIN FEES</v>
      </c>
      <c r="G1455" s="2">
        <v>15153</v>
      </c>
      <c r="H1455" t="str">
        <f>"ACQUISITION/ADMIN FEES"</f>
        <v>ACQUISITION/ADMIN FEES</v>
      </c>
    </row>
    <row r="1456" spans="1:8" x14ac:dyDescent="0.25">
      <c r="A1456" t="s">
        <v>300</v>
      </c>
      <c r="B1456">
        <v>130505</v>
      </c>
      <c r="C1456" s="2">
        <v>305866.5</v>
      </c>
      <c r="D1456" s="1">
        <v>43843</v>
      </c>
      <c r="E1456" t="str">
        <f>"41279461"</f>
        <v>41279461</v>
      </c>
      <c r="F1456" t="str">
        <f>"rosanky tower remediation"</f>
        <v>rosanky tower remediation</v>
      </c>
      <c r="G1456" s="2">
        <v>152933.25</v>
      </c>
      <c r="H1456" t="str">
        <f>"PAYMENT"</f>
        <v>PAYMENT</v>
      </c>
    </row>
    <row r="1457" spans="1:8" x14ac:dyDescent="0.25">
      <c r="E1457" t="str">
        <f>"41279465"</f>
        <v>41279465</v>
      </c>
      <c r="F1457" t="str">
        <f>"rosanky tower remediation"</f>
        <v>rosanky tower remediation</v>
      </c>
      <c r="G1457" s="2">
        <v>152933.25</v>
      </c>
      <c r="H1457" t="str">
        <f>"payment"</f>
        <v>payment</v>
      </c>
    </row>
    <row r="1458" spans="1:8" x14ac:dyDescent="0.25">
      <c r="A1458" t="s">
        <v>448</v>
      </c>
      <c r="B1458">
        <v>130673</v>
      </c>
      <c r="C1458" s="2">
        <v>13365.3</v>
      </c>
      <c r="D1458" s="1">
        <v>43857</v>
      </c>
      <c r="E1458" t="str">
        <f>"1900000100-1219"</f>
        <v>1900000100-1219</v>
      </c>
      <c r="F1458" t="str">
        <f>"PROJ#190000100"</f>
        <v>PROJ#190000100</v>
      </c>
      <c r="G1458" s="2">
        <v>13365.3</v>
      </c>
      <c r="H1458" t="str">
        <f>"PROJ#190000100"</f>
        <v>PROJ#190000100</v>
      </c>
    </row>
    <row r="1459" spans="1:8" x14ac:dyDescent="0.25">
      <c r="A1459" t="s">
        <v>449</v>
      </c>
      <c r="B1459">
        <v>130674</v>
      </c>
      <c r="C1459" s="2">
        <v>192</v>
      </c>
      <c r="D1459" s="1">
        <v>43857</v>
      </c>
      <c r="E1459" t="str">
        <f>"1159"</f>
        <v>1159</v>
      </c>
      <c r="F1459" t="str">
        <f>"DOG TAGS/JUV BOOTCAMP"</f>
        <v>DOG TAGS/JUV BOOTCAMP</v>
      </c>
      <c r="G1459" s="2">
        <v>192</v>
      </c>
      <c r="H1459" t="str">
        <f>"DOG TAGS/JUV BOOTCAMP"</f>
        <v>DOG TAGS/JUV BOOTCAMP</v>
      </c>
    </row>
    <row r="1460" spans="1:8" x14ac:dyDescent="0.25">
      <c r="A1460" t="s">
        <v>450</v>
      </c>
      <c r="B1460">
        <v>130513</v>
      </c>
      <c r="C1460" s="2">
        <v>125703.95</v>
      </c>
      <c r="D1460" s="1">
        <v>43847</v>
      </c>
      <c r="E1460" t="str">
        <f>"202001174673"</f>
        <v>202001174673</v>
      </c>
      <c r="F1460" t="str">
        <f>"LAND PURCHASE - 1950904-BAS"</f>
        <v>LAND PURCHASE - 1950904-BAS</v>
      </c>
      <c r="G1460" s="2">
        <v>125703.95</v>
      </c>
      <c r="H1460" t="str">
        <f>"LAND PURCHASE - 1950904-BAS"</f>
        <v>LAND PURCHASE - 1950904-BAS</v>
      </c>
    </row>
    <row r="1461" spans="1:8" x14ac:dyDescent="0.25">
      <c r="A1461" t="s">
        <v>450</v>
      </c>
      <c r="B1461">
        <v>130514</v>
      </c>
      <c r="C1461" s="2">
        <v>21170.82</v>
      </c>
      <c r="D1461" s="1">
        <v>43847</v>
      </c>
      <c r="E1461" t="str">
        <f>"202001174674"</f>
        <v>202001174674</v>
      </c>
      <c r="F1461" t="str">
        <f>"LAND PURCHASE / 1950984-BAS"</f>
        <v>LAND PURCHASE / 1950984-BAS</v>
      </c>
      <c r="G1461" s="2">
        <v>21170.82</v>
      </c>
      <c r="H1461" t="str">
        <f>"LAND PURCHASE / 1950984-BAS"</f>
        <v>LAND PURCHASE / 1950984-BAS</v>
      </c>
    </row>
    <row r="1462" spans="1:8" x14ac:dyDescent="0.25">
      <c r="A1462" t="s">
        <v>390</v>
      </c>
      <c r="B1462">
        <v>130506</v>
      </c>
      <c r="C1462" s="2">
        <v>33.61</v>
      </c>
      <c r="D1462" s="1">
        <v>43843</v>
      </c>
      <c r="E1462" t="str">
        <f>"D-2020-1-0110 APTF"</f>
        <v>D-2020-1-0110 APTF</v>
      </c>
      <c r="F1462" t="str">
        <f>"UNEMPLOYMENT QTR END 12/31/19"</f>
        <v>UNEMPLOYMENT QTR END 12/31/19</v>
      </c>
      <c r="G1462" s="2">
        <v>33.61</v>
      </c>
      <c r="H1462" t="str">
        <f>"UNEMPLOYMENT QTR END 12/31/19"</f>
        <v>UNEMPLOYMENT QTR END 12/31/19</v>
      </c>
    </row>
    <row r="1463" spans="1:8" x14ac:dyDescent="0.25">
      <c r="A1463" t="s">
        <v>451</v>
      </c>
      <c r="B1463">
        <v>130507</v>
      </c>
      <c r="C1463" s="2">
        <v>2416.8200000000002</v>
      </c>
      <c r="D1463" s="1">
        <v>43843</v>
      </c>
      <c r="E1463" t="str">
        <f>"19-1046"</f>
        <v>19-1046</v>
      </c>
      <c r="F1463" t="str">
        <f>"White Boards for Communic"</f>
        <v>White Boards for Communic</v>
      </c>
      <c r="G1463" s="2">
        <v>2416.8200000000002</v>
      </c>
      <c r="H1463" t="str">
        <f>"83909"</f>
        <v>83909</v>
      </c>
    </row>
    <row r="1464" spans="1:8" x14ac:dyDescent="0.25">
      <c r="E1464" t="str">
        <f>""</f>
        <v/>
      </c>
      <c r="F1464" t="str">
        <f>""</f>
        <v/>
      </c>
      <c r="H1464" t="str">
        <f>"Shipping"</f>
        <v>Shipping</v>
      </c>
    </row>
    <row r="1465" spans="1:8" x14ac:dyDescent="0.25">
      <c r="A1465" t="s">
        <v>427</v>
      </c>
      <c r="B1465">
        <v>130508</v>
      </c>
      <c r="C1465" s="2">
        <v>1485.89</v>
      </c>
      <c r="D1465" s="1">
        <v>43843</v>
      </c>
      <c r="E1465" t="str">
        <f>"202001074427"</f>
        <v>202001074427</v>
      </c>
      <c r="F1465" t="str">
        <f>"inv# 869395921952"</f>
        <v>inv# 869395921952</v>
      </c>
      <c r="G1465" s="2">
        <v>1485.89</v>
      </c>
      <c r="H1465" t="str">
        <f>"Fuel"</f>
        <v>Fuel</v>
      </c>
    </row>
    <row r="1466" spans="1:8" x14ac:dyDescent="0.25">
      <c r="E1466" t="str">
        <f>""</f>
        <v/>
      </c>
      <c r="F1466" t="str">
        <f>""</f>
        <v/>
      </c>
      <c r="H1466" t="str">
        <f>"Tax"</f>
        <v>Tax</v>
      </c>
    </row>
    <row r="1467" spans="1:8" x14ac:dyDescent="0.25">
      <c r="E1467" t="str">
        <f>""</f>
        <v/>
      </c>
      <c r="F1467" t="str">
        <f>""</f>
        <v/>
      </c>
      <c r="H1467" t="str">
        <f>"Maintenance"</f>
        <v>Maintenance</v>
      </c>
    </row>
    <row r="1468" spans="1:8" x14ac:dyDescent="0.25">
      <c r="A1468" t="s">
        <v>452</v>
      </c>
      <c r="B1468">
        <v>379</v>
      </c>
      <c r="C1468" s="2">
        <v>5107.33</v>
      </c>
      <c r="D1468" s="1">
        <v>43859</v>
      </c>
      <c r="E1468" t="str">
        <f>"202001294901"</f>
        <v>202001294901</v>
      </c>
      <c r="F1468" t="str">
        <f>"ALLSTATE-AMERICAN HERITAGE LIF"</f>
        <v>ALLSTATE-AMERICAN HERITAGE LIF</v>
      </c>
      <c r="G1468" s="2">
        <v>0.03</v>
      </c>
      <c r="H1468" t="str">
        <f>"ALLSTATE-AMERICAN HERITAGE LIF"</f>
        <v>ALLSTATE-AMERICAN HERITAGE LIF</v>
      </c>
    </row>
    <row r="1469" spans="1:8" x14ac:dyDescent="0.25">
      <c r="E1469" t="str">
        <f>"AS 202001084581"</f>
        <v>AS 202001084581</v>
      </c>
      <c r="F1469" t="str">
        <f t="shared" ref="F1469:F1482" si="21">"ALLSTATE"</f>
        <v>ALLSTATE</v>
      </c>
      <c r="G1469" s="2">
        <v>478.93</v>
      </c>
      <c r="H1469" t="str">
        <f t="shared" ref="H1469:H1482" si="22">"ALLSTATE"</f>
        <v>ALLSTATE</v>
      </c>
    </row>
    <row r="1470" spans="1:8" x14ac:dyDescent="0.25">
      <c r="E1470" t="str">
        <f>"AS 202001084582"</f>
        <v>AS 202001084582</v>
      </c>
      <c r="F1470" t="str">
        <f t="shared" si="21"/>
        <v>ALLSTATE</v>
      </c>
      <c r="G1470" s="2">
        <v>27.14</v>
      </c>
      <c r="H1470" t="str">
        <f t="shared" si="22"/>
        <v>ALLSTATE</v>
      </c>
    </row>
    <row r="1471" spans="1:8" x14ac:dyDescent="0.25">
      <c r="E1471" t="str">
        <f>"AS 202001224779"</f>
        <v>AS 202001224779</v>
      </c>
      <c r="F1471" t="str">
        <f t="shared" si="21"/>
        <v>ALLSTATE</v>
      </c>
      <c r="G1471" s="2">
        <v>478.93</v>
      </c>
      <c r="H1471" t="str">
        <f t="shared" si="22"/>
        <v>ALLSTATE</v>
      </c>
    </row>
    <row r="1472" spans="1:8" x14ac:dyDescent="0.25">
      <c r="E1472" t="str">
        <f>"AS 202001224787"</f>
        <v>AS 202001224787</v>
      </c>
      <c r="F1472" t="str">
        <f t="shared" si="21"/>
        <v>ALLSTATE</v>
      </c>
      <c r="G1472" s="2">
        <v>27.14</v>
      </c>
      <c r="H1472" t="str">
        <f t="shared" si="22"/>
        <v>ALLSTATE</v>
      </c>
    </row>
    <row r="1473" spans="1:8" x14ac:dyDescent="0.25">
      <c r="E1473" t="str">
        <f>"ASD202001084581"</f>
        <v>ASD202001084581</v>
      </c>
      <c r="F1473" t="str">
        <f t="shared" si="21"/>
        <v>ALLSTATE</v>
      </c>
      <c r="G1473" s="2">
        <v>170.21</v>
      </c>
      <c r="H1473" t="str">
        <f t="shared" si="22"/>
        <v>ALLSTATE</v>
      </c>
    </row>
    <row r="1474" spans="1:8" x14ac:dyDescent="0.25">
      <c r="E1474" t="str">
        <f>"ASD202001224779"</f>
        <v>ASD202001224779</v>
      </c>
      <c r="F1474" t="str">
        <f t="shared" si="21"/>
        <v>ALLSTATE</v>
      </c>
      <c r="G1474" s="2">
        <v>170.21</v>
      </c>
      <c r="H1474" t="str">
        <f t="shared" si="22"/>
        <v>ALLSTATE</v>
      </c>
    </row>
    <row r="1475" spans="1:8" x14ac:dyDescent="0.25">
      <c r="E1475" t="str">
        <f>"ASI202001084581"</f>
        <v>ASI202001084581</v>
      </c>
      <c r="F1475" t="str">
        <f t="shared" si="21"/>
        <v>ALLSTATE</v>
      </c>
      <c r="G1475" s="2">
        <v>612.29</v>
      </c>
      <c r="H1475" t="str">
        <f t="shared" si="22"/>
        <v>ALLSTATE</v>
      </c>
    </row>
    <row r="1476" spans="1:8" x14ac:dyDescent="0.25">
      <c r="E1476" t="str">
        <f>"ASI202001084582"</f>
        <v>ASI202001084582</v>
      </c>
      <c r="F1476" t="str">
        <f t="shared" si="21"/>
        <v>ALLSTATE</v>
      </c>
      <c r="G1476" s="2">
        <v>67.150000000000006</v>
      </c>
      <c r="H1476" t="str">
        <f t="shared" si="22"/>
        <v>ALLSTATE</v>
      </c>
    </row>
    <row r="1477" spans="1:8" x14ac:dyDescent="0.25">
      <c r="E1477" t="str">
        <f>"ASI202001224779"</f>
        <v>ASI202001224779</v>
      </c>
      <c r="F1477" t="str">
        <f t="shared" si="21"/>
        <v>ALLSTATE</v>
      </c>
      <c r="G1477" s="2">
        <v>612.29</v>
      </c>
      <c r="H1477" t="str">
        <f t="shared" si="22"/>
        <v>ALLSTATE</v>
      </c>
    </row>
    <row r="1478" spans="1:8" x14ac:dyDescent="0.25">
      <c r="E1478" t="str">
        <f>"ASI202001224787"</f>
        <v>ASI202001224787</v>
      </c>
      <c r="F1478" t="str">
        <f t="shared" si="21"/>
        <v>ALLSTATE</v>
      </c>
      <c r="G1478" s="2">
        <v>67.150000000000006</v>
      </c>
      <c r="H1478" t="str">
        <f t="shared" si="22"/>
        <v>ALLSTATE</v>
      </c>
    </row>
    <row r="1479" spans="1:8" x14ac:dyDescent="0.25">
      <c r="E1479" t="str">
        <f>"AST202001084581"</f>
        <v>AST202001084581</v>
      </c>
      <c r="F1479" t="str">
        <f t="shared" si="21"/>
        <v>ALLSTATE</v>
      </c>
      <c r="G1479" s="2">
        <v>1155.32</v>
      </c>
      <c r="H1479" t="str">
        <f t="shared" si="22"/>
        <v>ALLSTATE</v>
      </c>
    </row>
    <row r="1480" spans="1:8" x14ac:dyDescent="0.25">
      <c r="E1480" t="str">
        <f>"AST202001084582"</f>
        <v>AST202001084582</v>
      </c>
      <c r="F1480" t="str">
        <f t="shared" si="21"/>
        <v>ALLSTATE</v>
      </c>
      <c r="G1480" s="2">
        <v>42.61</v>
      </c>
      <c r="H1480" t="str">
        <f t="shared" si="22"/>
        <v>ALLSTATE</v>
      </c>
    </row>
    <row r="1481" spans="1:8" x14ac:dyDescent="0.25">
      <c r="E1481" t="str">
        <f>"AST202001224779"</f>
        <v>AST202001224779</v>
      </c>
      <c r="F1481" t="str">
        <f t="shared" si="21"/>
        <v>ALLSTATE</v>
      </c>
      <c r="G1481" s="2">
        <v>1155.32</v>
      </c>
      <c r="H1481" t="str">
        <f t="shared" si="22"/>
        <v>ALLSTATE</v>
      </c>
    </row>
    <row r="1482" spans="1:8" x14ac:dyDescent="0.25">
      <c r="E1482" t="str">
        <f>"AST202001224787"</f>
        <v>AST202001224787</v>
      </c>
      <c r="F1482" t="str">
        <f t="shared" si="21"/>
        <v>ALLSTATE</v>
      </c>
      <c r="G1482" s="2">
        <v>42.61</v>
      </c>
      <c r="H1482" t="str">
        <f t="shared" si="22"/>
        <v>ALLSTATE</v>
      </c>
    </row>
    <row r="1483" spans="1:8" x14ac:dyDescent="0.25">
      <c r="A1483" t="s">
        <v>453</v>
      </c>
      <c r="B1483">
        <v>336</v>
      </c>
      <c r="C1483" s="2">
        <v>3318.3</v>
      </c>
      <c r="D1483" s="1">
        <v>43840</v>
      </c>
      <c r="E1483" t="str">
        <f>"DHM202001084583"</f>
        <v>DHM202001084583</v>
      </c>
      <c r="F1483" t="str">
        <f>"AP - DENTAL HMO"</f>
        <v>AP - DENTAL HMO</v>
      </c>
      <c r="G1483" s="2">
        <v>70.98</v>
      </c>
      <c r="H1483" t="str">
        <f>"AP - DENTAL HMO"</f>
        <v>AP - DENTAL HMO</v>
      </c>
    </row>
    <row r="1484" spans="1:8" x14ac:dyDescent="0.25">
      <c r="E1484" t="str">
        <f>"DTX202001084583"</f>
        <v>DTX202001084583</v>
      </c>
      <c r="F1484" t="str">
        <f>"AP - TEXAS DENTAL"</f>
        <v>AP - TEXAS DENTAL</v>
      </c>
      <c r="G1484" s="2">
        <v>405.38</v>
      </c>
      <c r="H1484" t="str">
        <f>"AP - TEXAS DENTAL"</f>
        <v>AP - TEXAS DENTAL</v>
      </c>
    </row>
    <row r="1485" spans="1:8" x14ac:dyDescent="0.25">
      <c r="E1485" t="str">
        <f>"FD 202001084583"</f>
        <v>FD 202001084583</v>
      </c>
      <c r="F1485" t="str">
        <f>"AP - FT DEARBORN PRE-TAX"</f>
        <v>AP - FT DEARBORN PRE-TAX</v>
      </c>
      <c r="G1485" s="2">
        <v>288.97000000000003</v>
      </c>
      <c r="H1485" t="str">
        <f>"AP - FT DEARBORN PRE-TAX"</f>
        <v>AP - FT DEARBORN PRE-TAX</v>
      </c>
    </row>
    <row r="1486" spans="1:8" x14ac:dyDescent="0.25">
      <c r="E1486" t="str">
        <f>"FDT202001084583"</f>
        <v>FDT202001084583</v>
      </c>
      <c r="F1486" t="str">
        <f>"AP - FT DEARBORN AFTER TAX"</f>
        <v>AP - FT DEARBORN AFTER TAX</v>
      </c>
      <c r="G1486" s="2">
        <v>70.510000000000005</v>
      </c>
      <c r="H1486" t="str">
        <f>"AP - FT DEARBORN AFTER TAX"</f>
        <v>AP - FT DEARBORN AFTER TAX</v>
      </c>
    </row>
    <row r="1487" spans="1:8" x14ac:dyDescent="0.25">
      <c r="E1487" t="str">
        <f>"FLX202001084583"</f>
        <v>FLX202001084583</v>
      </c>
      <c r="F1487" t="str">
        <f>"AP - TEX FLEX"</f>
        <v>AP - TEX FLEX</v>
      </c>
      <c r="G1487" s="2">
        <v>305.5</v>
      </c>
      <c r="H1487" t="str">
        <f>"AP - TEX FLEX"</f>
        <v>AP - TEX FLEX</v>
      </c>
    </row>
    <row r="1488" spans="1:8" x14ac:dyDescent="0.25">
      <c r="E1488" t="str">
        <f>"HSA202001084583"</f>
        <v>HSA202001084583</v>
      </c>
      <c r="F1488" t="str">
        <f>"AP- HSA"</f>
        <v>AP- HSA</v>
      </c>
      <c r="G1488" s="2">
        <v>20</v>
      </c>
      <c r="H1488" t="str">
        <f>"AP- HSA"</f>
        <v>AP- HSA</v>
      </c>
    </row>
    <row r="1489" spans="1:8" x14ac:dyDescent="0.25">
      <c r="E1489" t="str">
        <f>"MHS202001084583"</f>
        <v>MHS202001084583</v>
      </c>
      <c r="F1489" t="str">
        <f>"AP - HEALTH SELECT MEDICAL"</f>
        <v>AP - HEALTH SELECT MEDICAL</v>
      </c>
      <c r="G1489" s="2">
        <v>1377.5</v>
      </c>
      <c r="H1489" t="str">
        <f>"AP - HEALTH SELECT MEDICAL"</f>
        <v>AP - HEALTH SELECT MEDICAL</v>
      </c>
    </row>
    <row r="1490" spans="1:8" x14ac:dyDescent="0.25">
      <c r="E1490" t="str">
        <f>"MSW202001084583"</f>
        <v>MSW202001084583</v>
      </c>
      <c r="F1490" t="str">
        <f>"AP - SCOTT &amp; WHITE MEDICAL"</f>
        <v>AP - SCOTT &amp; WHITE MEDICAL</v>
      </c>
      <c r="G1490" s="2">
        <v>729.26</v>
      </c>
      <c r="H1490" t="str">
        <f>"AP - SCOTT &amp; WHITE MEDICAL"</f>
        <v>AP - SCOTT &amp; WHITE MEDICAL</v>
      </c>
    </row>
    <row r="1491" spans="1:8" x14ac:dyDescent="0.25">
      <c r="E1491" t="str">
        <f>"SPE202001084583"</f>
        <v>SPE202001084583</v>
      </c>
      <c r="F1491" t="str">
        <f>"AP - STATE VISION"</f>
        <v>AP - STATE VISION</v>
      </c>
      <c r="G1491" s="2">
        <v>50.2</v>
      </c>
      <c r="H1491" t="str">
        <f>"AP - STATE VISION"</f>
        <v>AP - STATE VISION</v>
      </c>
    </row>
    <row r="1492" spans="1:8" x14ac:dyDescent="0.25">
      <c r="A1492" t="s">
        <v>453</v>
      </c>
      <c r="B1492">
        <v>369</v>
      </c>
      <c r="C1492" s="2">
        <v>2497.2600000000002</v>
      </c>
      <c r="D1492" s="1">
        <v>43854</v>
      </c>
      <c r="E1492" t="str">
        <f>"DHM202001224791"</f>
        <v>DHM202001224791</v>
      </c>
      <c r="F1492" t="str">
        <f>"AP - DENTAL HMO"</f>
        <v>AP - DENTAL HMO</v>
      </c>
      <c r="G1492" s="2">
        <v>51.8</v>
      </c>
      <c r="H1492" t="str">
        <f>"AP - DENTAL HMO"</f>
        <v>AP - DENTAL HMO</v>
      </c>
    </row>
    <row r="1493" spans="1:8" x14ac:dyDescent="0.25">
      <c r="E1493" t="str">
        <f>"DTX202001224791"</f>
        <v>DTX202001224791</v>
      </c>
      <c r="F1493" t="str">
        <f>"AP - TEXAS DENTAL"</f>
        <v>AP - TEXAS DENTAL</v>
      </c>
      <c r="G1493" s="2">
        <v>405.38</v>
      </c>
      <c r="H1493" t="str">
        <f>"AP - TEXAS DENTAL"</f>
        <v>AP - TEXAS DENTAL</v>
      </c>
    </row>
    <row r="1494" spans="1:8" x14ac:dyDescent="0.25">
      <c r="E1494" t="str">
        <f>"FD 202001224791"</f>
        <v>FD 202001224791</v>
      </c>
      <c r="F1494" t="str">
        <f>"AP - FT DEARBORN PRE-TAX"</f>
        <v>AP - FT DEARBORN PRE-TAX</v>
      </c>
      <c r="G1494" s="2">
        <v>80.09</v>
      </c>
      <c r="H1494" t="str">
        <f>"AP - FT DEARBORN PRE-TAX"</f>
        <v>AP - FT DEARBORN PRE-TAX</v>
      </c>
    </row>
    <row r="1495" spans="1:8" x14ac:dyDescent="0.25">
      <c r="E1495" t="str">
        <f>"FDT202001224791"</f>
        <v>FDT202001224791</v>
      </c>
      <c r="F1495" t="str">
        <f>"AP - FT DEARBORN AFTER TAX"</f>
        <v>AP - FT DEARBORN AFTER TAX</v>
      </c>
      <c r="G1495" s="2">
        <v>69.13</v>
      </c>
      <c r="H1495" t="str">
        <f>"AP - FT DEARBORN AFTER TAX"</f>
        <v>AP - FT DEARBORN AFTER TAX</v>
      </c>
    </row>
    <row r="1496" spans="1:8" x14ac:dyDescent="0.25">
      <c r="E1496" t="str">
        <f>"FLX202001224791"</f>
        <v>FLX202001224791</v>
      </c>
      <c r="F1496" t="str">
        <f>"AP - TEX FLEX"</f>
        <v>AP - TEX FLEX</v>
      </c>
      <c r="G1496" s="2">
        <v>80.5</v>
      </c>
      <c r="H1496" t="str">
        <f>"AP - TEX FLEX"</f>
        <v>AP - TEX FLEX</v>
      </c>
    </row>
    <row r="1497" spans="1:8" x14ac:dyDescent="0.25">
      <c r="E1497" t="str">
        <f>"HSA202001224791"</f>
        <v>HSA202001224791</v>
      </c>
      <c r="F1497" t="str">
        <f>"AP- HSA"</f>
        <v>AP- HSA</v>
      </c>
      <c r="G1497" s="2">
        <v>20</v>
      </c>
      <c r="H1497" t="str">
        <f>"AP- HSA"</f>
        <v>AP- HSA</v>
      </c>
    </row>
    <row r="1498" spans="1:8" x14ac:dyDescent="0.25">
      <c r="E1498" t="str">
        <f>"MHS202001224791"</f>
        <v>MHS202001224791</v>
      </c>
      <c r="F1498" t="str">
        <f>"AP - HEALTH SELECT MEDICAL"</f>
        <v>AP - HEALTH SELECT MEDICAL</v>
      </c>
      <c r="G1498" s="2">
        <v>1377.5</v>
      </c>
      <c r="H1498" t="str">
        <f>"AP - HEALTH SELECT MEDICAL"</f>
        <v>AP - HEALTH SELECT MEDICAL</v>
      </c>
    </row>
    <row r="1499" spans="1:8" x14ac:dyDescent="0.25">
      <c r="E1499" t="str">
        <f>"MSW202001224791"</f>
        <v>MSW202001224791</v>
      </c>
      <c r="F1499" t="str">
        <f>"AP - SCOTT &amp; WHITE MEDICAL"</f>
        <v>AP - SCOTT &amp; WHITE MEDICAL</v>
      </c>
      <c r="G1499" s="2">
        <v>372.9</v>
      </c>
      <c r="H1499" t="str">
        <f>"AP - SCOTT &amp; WHITE MEDICAL"</f>
        <v>AP - SCOTT &amp; WHITE MEDICAL</v>
      </c>
    </row>
    <row r="1500" spans="1:8" x14ac:dyDescent="0.25">
      <c r="E1500" t="str">
        <f>"SPE202001224791"</f>
        <v>SPE202001224791</v>
      </c>
      <c r="F1500" t="str">
        <f>"AP - STATE VISION"</f>
        <v>AP - STATE VISION</v>
      </c>
      <c r="G1500" s="2">
        <v>39.96</v>
      </c>
      <c r="H1500" t="str">
        <f>"AP - STATE VISION"</f>
        <v>AP - STATE VISION</v>
      </c>
    </row>
    <row r="1501" spans="1:8" x14ac:dyDescent="0.25">
      <c r="A1501" t="s">
        <v>454</v>
      </c>
      <c r="B1501">
        <v>380</v>
      </c>
      <c r="C1501" s="2">
        <v>4966.26</v>
      </c>
      <c r="D1501" s="1">
        <v>43859</v>
      </c>
      <c r="E1501" t="str">
        <f>"202001294902"</f>
        <v>202001294902</v>
      </c>
      <c r="F1501" t="str">
        <f>"COLONIAL LIFE &amp; ACCIDENT INS."</f>
        <v>COLONIAL LIFE &amp; ACCIDENT INS.</v>
      </c>
      <c r="G1501" s="2">
        <v>0.46</v>
      </c>
      <c r="H1501" t="str">
        <f>"COLONIAL LIFE &amp; ACCIDENT INS."</f>
        <v>COLONIAL LIFE &amp; ACCIDENT INS.</v>
      </c>
    </row>
    <row r="1502" spans="1:8" x14ac:dyDescent="0.25">
      <c r="E1502" t="str">
        <f>"CL 202001084581"</f>
        <v>CL 202001084581</v>
      </c>
      <c r="F1502" t="str">
        <f t="shared" ref="F1502:F1521" si="23">"COLONIAL"</f>
        <v>COLONIAL</v>
      </c>
      <c r="G1502" s="2">
        <v>625.13</v>
      </c>
      <c r="H1502" t="str">
        <f t="shared" ref="H1502:H1521" si="24">"COLONIAL"</f>
        <v>COLONIAL</v>
      </c>
    </row>
    <row r="1503" spans="1:8" x14ac:dyDescent="0.25">
      <c r="E1503" t="str">
        <f>"CL 202001084582"</f>
        <v>CL 202001084582</v>
      </c>
      <c r="F1503" t="str">
        <f t="shared" si="23"/>
        <v>COLONIAL</v>
      </c>
      <c r="G1503" s="2">
        <v>14.49</v>
      </c>
      <c r="H1503" t="str">
        <f t="shared" si="24"/>
        <v>COLONIAL</v>
      </c>
    </row>
    <row r="1504" spans="1:8" x14ac:dyDescent="0.25">
      <c r="E1504" t="str">
        <f>"CL 202001224779"</f>
        <v>CL 202001224779</v>
      </c>
      <c r="F1504" t="str">
        <f t="shared" si="23"/>
        <v>COLONIAL</v>
      </c>
      <c r="G1504" s="2">
        <v>625.13</v>
      </c>
      <c r="H1504" t="str">
        <f t="shared" si="24"/>
        <v>COLONIAL</v>
      </c>
    </row>
    <row r="1505" spans="5:8" x14ac:dyDescent="0.25">
      <c r="E1505" t="str">
        <f>"CL 202001224787"</f>
        <v>CL 202001224787</v>
      </c>
      <c r="F1505" t="str">
        <f t="shared" si="23"/>
        <v>COLONIAL</v>
      </c>
      <c r="G1505" s="2">
        <v>14.49</v>
      </c>
      <c r="H1505" t="str">
        <f t="shared" si="24"/>
        <v>COLONIAL</v>
      </c>
    </row>
    <row r="1506" spans="5:8" x14ac:dyDescent="0.25">
      <c r="E1506" t="str">
        <f>"CLC202001084581"</f>
        <v>CLC202001084581</v>
      </c>
      <c r="F1506" t="str">
        <f t="shared" si="23"/>
        <v>COLONIAL</v>
      </c>
      <c r="G1506" s="2">
        <v>33.99</v>
      </c>
      <c r="H1506" t="str">
        <f t="shared" si="24"/>
        <v>COLONIAL</v>
      </c>
    </row>
    <row r="1507" spans="5:8" x14ac:dyDescent="0.25">
      <c r="E1507" t="str">
        <f>"CLC202001224779"</f>
        <v>CLC202001224779</v>
      </c>
      <c r="F1507" t="str">
        <f t="shared" si="23"/>
        <v>COLONIAL</v>
      </c>
      <c r="G1507" s="2">
        <v>33.99</v>
      </c>
      <c r="H1507" t="str">
        <f t="shared" si="24"/>
        <v>COLONIAL</v>
      </c>
    </row>
    <row r="1508" spans="5:8" x14ac:dyDescent="0.25">
      <c r="E1508" t="str">
        <f>"CLI202001084581"</f>
        <v>CLI202001084581</v>
      </c>
      <c r="F1508" t="str">
        <f t="shared" si="23"/>
        <v>COLONIAL</v>
      </c>
      <c r="G1508" s="2">
        <v>607.15</v>
      </c>
      <c r="H1508" t="str">
        <f t="shared" si="24"/>
        <v>COLONIAL</v>
      </c>
    </row>
    <row r="1509" spans="5:8" x14ac:dyDescent="0.25">
      <c r="E1509" t="str">
        <f>"CLI202001224779"</f>
        <v>CLI202001224779</v>
      </c>
      <c r="F1509" t="str">
        <f t="shared" si="23"/>
        <v>COLONIAL</v>
      </c>
      <c r="G1509" s="2">
        <v>607.15</v>
      </c>
      <c r="H1509" t="str">
        <f t="shared" si="24"/>
        <v>COLONIAL</v>
      </c>
    </row>
    <row r="1510" spans="5:8" x14ac:dyDescent="0.25">
      <c r="E1510" t="str">
        <f>"CLK202001084581"</f>
        <v>CLK202001084581</v>
      </c>
      <c r="F1510" t="str">
        <f t="shared" si="23"/>
        <v>COLONIAL</v>
      </c>
      <c r="G1510" s="2">
        <v>27.09</v>
      </c>
      <c r="H1510" t="str">
        <f t="shared" si="24"/>
        <v>COLONIAL</v>
      </c>
    </row>
    <row r="1511" spans="5:8" x14ac:dyDescent="0.25">
      <c r="E1511" t="str">
        <f>"CLK202001224779"</f>
        <v>CLK202001224779</v>
      </c>
      <c r="F1511" t="str">
        <f t="shared" si="23"/>
        <v>COLONIAL</v>
      </c>
      <c r="G1511" s="2">
        <v>27.09</v>
      </c>
      <c r="H1511" t="str">
        <f t="shared" si="24"/>
        <v>COLONIAL</v>
      </c>
    </row>
    <row r="1512" spans="5:8" x14ac:dyDescent="0.25">
      <c r="E1512" t="str">
        <f>"CLS202001084581"</f>
        <v>CLS202001084581</v>
      </c>
      <c r="F1512" t="str">
        <f t="shared" si="23"/>
        <v>COLONIAL</v>
      </c>
      <c r="G1512" s="2">
        <v>373.88</v>
      </c>
      <c r="H1512" t="str">
        <f t="shared" si="24"/>
        <v>COLONIAL</v>
      </c>
    </row>
    <row r="1513" spans="5:8" x14ac:dyDescent="0.25">
      <c r="E1513" t="str">
        <f>"CLS202001084582"</f>
        <v>CLS202001084582</v>
      </c>
      <c r="F1513" t="str">
        <f t="shared" si="23"/>
        <v>COLONIAL</v>
      </c>
      <c r="G1513" s="2">
        <v>15.73</v>
      </c>
      <c r="H1513" t="str">
        <f t="shared" si="24"/>
        <v>COLONIAL</v>
      </c>
    </row>
    <row r="1514" spans="5:8" x14ac:dyDescent="0.25">
      <c r="E1514" t="str">
        <f>"CLS202001224779"</f>
        <v>CLS202001224779</v>
      </c>
      <c r="F1514" t="str">
        <f t="shared" si="23"/>
        <v>COLONIAL</v>
      </c>
      <c r="G1514" s="2">
        <v>373.88</v>
      </c>
      <c r="H1514" t="str">
        <f t="shared" si="24"/>
        <v>COLONIAL</v>
      </c>
    </row>
    <row r="1515" spans="5:8" x14ac:dyDescent="0.25">
      <c r="E1515" t="str">
        <f>"CLS202001224787"</f>
        <v>CLS202001224787</v>
      </c>
      <c r="F1515" t="str">
        <f t="shared" si="23"/>
        <v>COLONIAL</v>
      </c>
      <c r="G1515" s="2">
        <v>15.73</v>
      </c>
      <c r="H1515" t="str">
        <f t="shared" si="24"/>
        <v>COLONIAL</v>
      </c>
    </row>
    <row r="1516" spans="5:8" x14ac:dyDescent="0.25">
      <c r="E1516" t="str">
        <f>"CLT202001084581"</f>
        <v>CLT202001084581</v>
      </c>
      <c r="F1516" t="str">
        <f t="shared" si="23"/>
        <v>COLONIAL</v>
      </c>
      <c r="G1516" s="2">
        <v>365.09</v>
      </c>
      <c r="H1516" t="str">
        <f t="shared" si="24"/>
        <v>COLONIAL</v>
      </c>
    </row>
    <row r="1517" spans="5:8" x14ac:dyDescent="0.25">
      <c r="E1517" t="str">
        <f>"CLT202001224779"</f>
        <v>CLT202001224779</v>
      </c>
      <c r="F1517" t="str">
        <f t="shared" si="23"/>
        <v>COLONIAL</v>
      </c>
      <c r="G1517" s="2">
        <v>365.09</v>
      </c>
      <c r="H1517" t="str">
        <f t="shared" si="24"/>
        <v>COLONIAL</v>
      </c>
    </row>
    <row r="1518" spans="5:8" x14ac:dyDescent="0.25">
      <c r="E1518" t="str">
        <f>"CLU202001084581"</f>
        <v>CLU202001084581</v>
      </c>
      <c r="F1518" t="str">
        <f t="shared" si="23"/>
        <v>COLONIAL</v>
      </c>
      <c r="G1518" s="2">
        <v>111.55</v>
      </c>
      <c r="H1518" t="str">
        <f t="shared" si="24"/>
        <v>COLONIAL</v>
      </c>
    </row>
    <row r="1519" spans="5:8" x14ac:dyDescent="0.25">
      <c r="E1519" t="str">
        <f>"CLU202001224779"</f>
        <v>CLU202001224779</v>
      </c>
      <c r="F1519" t="str">
        <f t="shared" si="23"/>
        <v>COLONIAL</v>
      </c>
      <c r="G1519" s="2">
        <v>111.55</v>
      </c>
      <c r="H1519" t="str">
        <f t="shared" si="24"/>
        <v>COLONIAL</v>
      </c>
    </row>
    <row r="1520" spans="5:8" x14ac:dyDescent="0.25">
      <c r="E1520" t="str">
        <f>"CLW202001084581"</f>
        <v>CLW202001084581</v>
      </c>
      <c r="F1520" t="str">
        <f t="shared" si="23"/>
        <v>COLONIAL</v>
      </c>
      <c r="G1520" s="2">
        <v>308.8</v>
      </c>
      <c r="H1520" t="str">
        <f t="shared" si="24"/>
        <v>COLONIAL</v>
      </c>
    </row>
    <row r="1521" spans="1:8" x14ac:dyDescent="0.25">
      <c r="E1521" t="str">
        <f>"CLW202001224779"</f>
        <v>CLW202001224779</v>
      </c>
      <c r="F1521" t="str">
        <f t="shared" si="23"/>
        <v>COLONIAL</v>
      </c>
      <c r="G1521" s="2">
        <v>308.8</v>
      </c>
      <c r="H1521" t="str">
        <f t="shared" si="24"/>
        <v>COLONIAL</v>
      </c>
    </row>
    <row r="1522" spans="1:8" x14ac:dyDescent="0.25">
      <c r="A1522" t="s">
        <v>113</v>
      </c>
      <c r="B1522">
        <v>337</v>
      </c>
      <c r="C1522" s="2">
        <v>9191.1299999999992</v>
      </c>
      <c r="D1522" s="1">
        <v>43840</v>
      </c>
      <c r="E1522" t="str">
        <f>"CPI202001084581"</f>
        <v>CPI202001084581</v>
      </c>
      <c r="F1522" t="str">
        <f>"DEFERRED COMP 457B PAYABLE"</f>
        <v>DEFERRED COMP 457B PAYABLE</v>
      </c>
      <c r="G1522" s="2">
        <v>9083.6299999999992</v>
      </c>
      <c r="H1522" t="str">
        <f>"DEFERRED COMP 457B PAYABLE"</f>
        <v>DEFERRED COMP 457B PAYABLE</v>
      </c>
    </row>
    <row r="1523" spans="1:8" x14ac:dyDescent="0.25">
      <c r="E1523" t="str">
        <f>"CPI202001084582"</f>
        <v>CPI202001084582</v>
      </c>
      <c r="F1523" t="str">
        <f>"DEFERRED COMP 457B PAYABLE"</f>
        <v>DEFERRED COMP 457B PAYABLE</v>
      </c>
      <c r="G1523" s="2">
        <v>107.5</v>
      </c>
      <c r="H1523" t="str">
        <f>"DEFERRED COMP 457B PAYABLE"</f>
        <v>DEFERRED COMP 457B PAYABLE</v>
      </c>
    </row>
    <row r="1524" spans="1:8" x14ac:dyDescent="0.25">
      <c r="A1524" t="s">
        <v>113</v>
      </c>
      <c r="B1524">
        <v>370</v>
      </c>
      <c r="C1524" s="2">
        <v>8691.1299999999992</v>
      </c>
      <c r="D1524" s="1">
        <v>43854</v>
      </c>
      <c r="E1524" t="str">
        <f>"CPI202001094593"</f>
        <v>CPI202001094593</v>
      </c>
      <c r="F1524" t="str">
        <f>"DEFERRED COMP 457B PAYABLE"</f>
        <v>DEFERRED COMP 457B PAYABLE</v>
      </c>
      <c r="G1524" s="2">
        <v>-250</v>
      </c>
      <c r="H1524" t="str">
        <f>"DEFERRED COMP 457B PAYABLE"</f>
        <v>DEFERRED COMP 457B PAYABLE</v>
      </c>
    </row>
    <row r="1525" spans="1:8" x14ac:dyDescent="0.25">
      <c r="E1525" t="str">
        <f>"CPI202001224779"</f>
        <v>CPI202001224779</v>
      </c>
      <c r="F1525" t="str">
        <f>"DEFERRED COMP 457B PAYABLE"</f>
        <v>DEFERRED COMP 457B PAYABLE</v>
      </c>
      <c r="G1525" s="2">
        <v>8833.6299999999992</v>
      </c>
      <c r="H1525" t="str">
        <f>"DEFERRED COMP 457B PAYABLE"</f>
        <v>DEFERRED COMP 457B PAYABLE</v>
      </c>
    </row>
    <row r="1526" spans="1:8" x14ac:dyDescent="0.25">
      <c r="E1526" t="str">
        <f>"CPI202001224787"</f>
        <v>CPI202001224787</v>
      </c>
      <c r="F1526" t="str">
        <f>"DEFERRED COMP 457B PAYABLE"</f>
        <v>DEFERRED COMP 457B PAYABLE</v>
      </c>
      <c r="G1526" s="2">
        <v>107.5</v>
      </c>
      <c r="H1526" t="str">
        <f>"DEFERRED COMP 457B PAYABLE"</f>
        <v>DEFERRED COMP 457B PAYABLE</v>
      </c>
    </row>
    <row r="1527" spans="1:8" x14ac:dyDescent="0.25">
      <c r="A1527" t="s">
        <v>455</v>
      </c>
      <c r="B1527">
        <v>47766</v>
      </c>
      <c r="C1527" s="2">
        <v>853.85</v>
      </c>
      <c r="D1527" s="1">
        <v>43840</v>
      </c>
      <c r="E1527" t="str">
        <f>"B13202001084581"</f>
        <v>B13202001084581</v>
      </c>
      <c r="F1527" t="str">
        <f>"Rosa Warren 15-10357-TMD"</f>
        <v>Rosa Warren 15-10357-TMD</v>
      </c>
      <c r="G1527" s="2">
        <v>853.85</v>
      </c>
      <c r="H1527" t="str">
        <f>"Rosa Warren 15-10357-TMD"</f>
        <v>Rosa Warren 15-10357-TMD</v>
      </c>
    </row>
    <row r="1528" spans="1:8" x14ac:dyDescent="0.25">
      <c r="A1528" t="s">
        <v>455</v>
      </c>
      <c r="B1528">
        <v>47782</v>
      </c>
      <c r="C1528" s="2">
        <v>853.85</v>
      </c>
      <c r="D1528" s="1">
        <v>43854</v>
      </c>
      <c r="E1528" t="str">
        <f>"B13202001224779"</f>
        <v>B13202001224779</v>
      </c>
      <c r="F1528" t="str">
        <f>"Rosa Warren 15-10357-TMD"</f>
        <v>Rosa Warren 15-10357-TMD</v>
      </c>
      <c r="G1528" s="2">
        <v>853.85</v>
      </c>
      <c r="H1528" t="str">
        <f>"Rosa Warren 15-10357-TMD"</f>
        <v>Rosa Warren 15-10357-TMD</v>
      </c>
    </row>
    <row r="1529" spans="1:8" x14ac:dyDescent="0.25">
      <c r="A1529" t="s">
        <v>456</v>
      </c>
      <c r="B1529">
        <v>376</v>
      </c>
      <c r="C1529" s="2">
        <v>42207.47</v>
      </c>
      <c r="D1529" s="1">
        <v>43858</v>
      </c>
      <c r="E1529" t="str">
        <f>"202001284839"</f>
        <v>202001284839</v>
      </c>
      <c r="F1529" t="str">
        <f>"GUARDIAN ROUNDING"</f>
        <v>GUARDIAN ROUNDING</v>
      </c>
      <c r="G1529" s="2">
        <v>-0.48</v>
      </c>
      <c r="H1529" t="str">
        <f>"GUARDIAN ROUNDING"</f>
        <v>GUARDIAN ROUNDING</v>
      </c>
    </row>
    <row r="1530" spans="1:8" x14ac:dyDescent="0.25">
      <c r="E1530" t="str">
        <f>"202001284837"</f>
        <v>202001284837</v>
      </c>
      <c r="F1530" t="str">
        <f>"RETIREE DENTAL VISION LIFE"</f>
        <v>RETIREE DENTAL VISION LIFE</v>
      </c>
      <c r="G1530" s="2">
        <v>3382.63</v>
      </c>
      <c r="H1530" t="str">
        <f>"RETIREE DENTAL VISION LIFE"</f>
        <v>RETIREE DENTAL VISION LIFE</v>
      </c>
    </row>
    <row r="1531" spans="1:8" x14ac:dyDescent="0.25">
      <c r="E1531" t="str">
        <f>"ADC202001084581"</f>
        <v>ADC202001084581</v>
      </c>
      <c r="F1531" t="str">
        <f t="shared" ref="F1531:F1543" si="25">"GUARDIAN"</f>
        <v>GUARDIAN</v>
      </c>
      <c r="G1531" s="2">
        <v>4.9800000000000004</v>
      </c>
      <c r="H1531" t="str">
        <f t="shared" ref="H1531:H1594" si="26">"GUARDIAN"</f>
        <v>GUARDIAN</v>
      </c>
    </row>
    <row r="1532" spans="1:8" x14ac:dyDescent="0.25">
      <c r="E1532" t="str">
        <f>"ADC202001084582"</f>
        <v>ADC202001084582</v>
      </c>
      <c r="F1532" t="str">
        <f t="shared" si="25"/>
        <v>GUARDIAN</v>
      </c>
      <c r="G1532" s="2">
        <v>0.16</v>
      </c>
      <c r="H1532" t="str">
        <f t="shared" si="26"/>
        <v>GUARDIAN</v>
      </c>
    </row>
    <row r="1533" spans="1:8" x14ac:dyDescent="0.25">
      <c r="E1533" t="str">
        <f>"ADC202001224779"</f>
        <v>ADC202001224779</v>
      </c>
      <c r="F1533" t="str">
        <f t="shared" si="25"/>
        <v>GUARDIAN</v>
      </c>
      <c r="G1533" s="2">
        <v>4.9800000000000004</v>
      </c>
      <c r="H1533" t="str">
        <f t="shared" si="26"/>
        <v>GUARDIAN</v>
      </c>
    </row>
    <row r="1534" spans="1:8" x14ac:dyDescent="0.25">
      <c r="E1534" t="str">
        <f>"ADC202001224787"</f>
        <v>ADC202001224787</v>
      </c>
      <c r="F1534" t="str">
        <f t="shared" si="25"/>
        <v>GUARDIAN</v>
      </c>
      <c r="G1534" s="2">
        <v>0.16</v>
      </c>
      <c r="H1534" t="str">
        <f t="shared" si="26"/>
        <v>GUARDIAN</v>
      </c>
    </row>
    <row r="1535" spans="1:8" x14ac:dyDescent="0.25">
      <c r="E1535" t="str">
        <f>"ADE202001084581"</f>
        <v>ADE202001084581</v>
      </c>
      <c r="F1535" t="str">
        <f t="shared" si="25"/>
        <v>GUARDIAN</v>
      </c>
      <c r="G1535" s="2">
        <v>236.66</v>
      </c>
      <c r="H1535" t="str">
        <f t="shared" si="26"/>
        <v>GUARDIAN</v>
      </c>
    </row>
    <row r="1536" spans="1:8" x14ac:dyDescent="0.25">
      <c r="E1536" t="str">
        <f>"ADE202001084582"</f>
        <v>ADE202001084582</v>
      </c>
      <c r="F1536" t="str">
        <f t="shared" si="25"/>
        <v>GUARDIAN</v>
      </c>
      <c r="G1536" s="2">
        <v>6.3</v>
      </c>
      <c r="H1536" t="str">
        <f t="shared" si="26"/>
        <v>GUARDIAN</v>
      </c>
    </row>
    <row r="1537" spans="5:8" x14ac:dyDescent="0.25">
      <c r="E1537" t="str">
        <f>"ADE202001224779"</f>
        <v>ADE202001224779</v>
      </c>
      <c r="F1537" t="str">
        <f t="shared" si="25"/>
        <v>GUARDIAN</v>
      </c>
      <c r="G1537" s="2">
        <v>236.66</v>
      </c>
      <c r="H1537" t="str">
        <f t="shared" si="26"/>
        <v>GUARDIAN</v>
      </c>
    </row>
    <row r="1538" spans="5:8" x14ac:dyDescent="0.25">
      <c r="E1538" t="str">
        <f>"ADE202001224787"</f>
        <v>ADE202001224787</v>
      </c>
      <c r="F1538" t="str">
        <f t="shared" si="25"/>
        <v>GUARDIAN</v>
      </c>
      <c r="G1538" s="2">
        <v>6.3</v>
      </c>
      <c r="H1538" t="str">
        <f t="shared" si="26"/>
        <v>GUARDIAN</v>
      </c>
    </row>
    <row r="1539" spans="5:8" x14ac:dyDescent="0.25">
      <c r="E1539" t="str">
        <f>"ADS202001084581"</f>
        <v>ADS202001084581</v>
      </c>
      <c r="F1539" t="str">
        <f t="shared" si="25"/>
        <v>GUARDIAN</v>
      </c>
      <c r="G1539" s="2">
        <v>44.22</v>
      </c>
      <c r="H1539" t="str">
        <f t="shared" si="26"/>
        <v>GUARDIAN</v>
      </c>
    </row>
    <row r="1540" spans="5:8" x14ac:dyDescent="0.25">
      <c r="E1540" t="str">
        <f>"ADS202001084582"</f>
        <v>ADS202001084582</v>
      </c>
      <c r="F1540" t="str">
        <f t="shared" si="25"/>
        <v>GUARDIAN</v>
      </c>
      <c r="G1540" s="2">
        <v>0.53</v>
      </c>
      <c r="H1540" t="str">
        <f t="shared" si="26"/>
        <v>GUARDIAN</v>
      </c>
    </row>
    <row r="1541" spans="5:8" x14ac:dyDescent="0.25">
      <c r="E1541" t="str">
        <f>"ADS202001224779"</f>
        <v>ADS202001224779</v>
      </c>
      <c r="F1541" t="str">
        <f t="shared" si="25"/>
        <v>GUARDIAN</v>
      </c>
      <c r="G1541" s="2">
        <v>44.22</v>
      </c>
      <c r="H1541" t="str">
        <f t="shared" si="26"/>
        <v>GUARDIAN</v>
      </c>
    </row>
    <row r="1542" spans="5:8" x14ac:dyDescent="0.25">
      <c r="E1542" t="str">
        <f>"ADS202001224787"</f>
        <v>ADS202001224787</v>
      </c>
      <c r="F1542" t="str">
        <f t="shared" si="25"/>
        <v>GUARDIAN</v>
      </c>
      <c r="G1542" s="2">
        <v>0.53</v>
      </c>
      <c r="H1542" t="str">
        <f t="shared" si="26"/>
        <v>GUARDIAN</v>
      </c>
    </row>
    <row r="1543" spans="5:8" x14ac:dyDescent="0.25">
      <c r="E1543" t="str">
        <f>"GDC202001084581"</f>
        <v>GDC202001084581</v>
      </c>
      <c r="F1543" t="str">
        <f t="shared" si="25"/>
        <v>GUARDIAN</v>
      </c>
      <c r="G1543" s="2">
        <v>2818.68</v>
      </c>
      <c r="H1543" t="str">
        <f t="shared" si="26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6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6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6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6"/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 t="shared" si="26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6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6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6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6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6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6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6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6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6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6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6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6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6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26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26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26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6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26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6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26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26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6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6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6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26"/>
        <v>GUARDIAN</v>
      </c>
    </row>
    <row r="1574" spans="5:8" x14ac:dyDescent="0.25">
      <c r="E1574" t="str">
        <f>"GDC202001084582"</f>
        <v>GDC202001084582</v>
      </c>
      <c r="F1574" t="str">
        <f>"GUARDIAN"</f>
        <v>GUARDIAN</v>
      </c>
      <c r="G1574" s="2">
        <v>135.84</v>
      </c>
      <c r="H1574" t="str">
        <f t="shared" si="26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26"/>
        <v>GUARDIAN</v>
      </c>
    </row>
    <row r="1576" spans="5:8" x14ac:dyDescent="0.25">
      <c r="E1576" t="str">
        <f>"GDC202001224779"</f>
        <v>GDC202001224779</v>
      </c>
      <c r="F1576" t="str">
        <f>"GUARDIAN"</f>
        <v>GUARDIAN</v>
      </c>
      <c r="G1576" s="2">
        <v>2818.68</v>
      </c>
      <c r="H1576" t="str">
        <f t="shared" si="26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26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6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6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6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26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6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26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26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6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6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6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26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6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26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26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26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26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26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ref="H1595:H1658" si="27">"GUARDIAN"</f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27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27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27"/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 t="shared" si="27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27"/>
        <v>GUARDIAN</v>
      </c>
    </row>
    <row r="1601" spans="5:8" x14ac:dyDescent="0.25">
      <c r="E1601" t="str">
        <f>""</f>
        <v/>
      </c>
      <c r="F1601" t="str">
        <f>""</f>
        <v/>
      </c>
      <c r="H1601" t="str">
        <f t="shared" si="27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27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27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27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27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27"/>
        <v>GUARDIAN</v>
      </c>
    </row>
    <row r="1607" spans="5:8" x14ac:dyDescent="0.25">
      <c r="E1607" t="str">
        <f>"GDC202001224787"</f>
        <v>GDC202001224787</v>
      </c>
      <c r="F1607" t="str">
        <f>"GUARDIAN"</f>
        <v>GUARDIAN</v>
      </c>
      <c r="G1607" s="2">
        <v>135.84</v>
      </c>
      <c r="H1607" t="str">
        <f t="shared" si="27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27"/>
        <v>GUARDIAN</v>
      </c>
    </row>
    <row r="1609" spans="5:8" x14ac:dyDescent="0.25">
      <c r="E1609" t="str">
        <f>"GDE202001084581"</f>
        <v>GDE202001084581</v>
      </c>
      <c r="F1609" t="str">
        <f>"GUARDIAN"</f>
        <v>GUARDIAN</v>
      </c>
      <c r="G1609" s="2">
        <v>4370.76</v>
      </c>
      <c r="H1609" t="str">
        <f t="shared" si="27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27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27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27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27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27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27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27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27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27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27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27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27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27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27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27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27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27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27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27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27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27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27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27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27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27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27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27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27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27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27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27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27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27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27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27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27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27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27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27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27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27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27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27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27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27"/>
        <v>GUARDIAN</v>
      </c>
    </row>
    <row r="1655" spans="5:8" x14ac:dyDescent="0.25">
      <c r="E1655" t="str">
        <f>"GDE202001084582"</f>
        <v>GDE202001084582</v>
      </c>
      <c r="F1655" t="str">
        <f>"GUARDIAN"</f>
        <v>GUARDIAN</v>
      </c>
      <c r="G1655" s="2">
        <v>184.68</v>
      </c>
      <c r="H1655" t="str">
        <f t="shared" si="27"/>
        <v>GUARDIAN</v>
      </c>
    </row>
    <row r="1656" spans="5:8" x14ac:dyDescent="0.25">
      <c r="E1656" t="str">
        <f>"GDE202001224779"</f>
        <v>GDE202001224779</v>
      </c>
      <c r="F1656" t="str">
        <f>"GUARDIAN"</f>
        <v>GUARDIAN</v>
      </c>
      <c r="G1656" s="2">
        <v>4339.9799999999996</v>
      </c>
      <c r="H1656" t="str">
        <f t="shared" si="27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27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27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ref="H1659:H1722" si="28">"GUARDIAN"</f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28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28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28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28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28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28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28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28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28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28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28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28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28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28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si="28"/>
        <v>GUARDIAN</v>
      </c>
    </row>
    <row r="1675" spans="5:8" x14ac:dyDescent="0.25">
      <c r="E1675" t="str">
        <f>""</f>
        <v/>
      </c>
      <c r="F1675" t="str">
        <f>""</f>
        <v/>
      </c>
      <c r="H1675" t="str">
        <f t="shared" si="28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28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28"/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28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28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28"/>
        <v>GUARDIAN</v>
      </c>
    </row>
    <row r="1681" spans="5:8" x14ac:dyDescent="0.25">
      <c r="E1681" t="str">
        <f>""</f>
        <v/>
      </c>
      <c r="F1681" t="str">
        <f>""</f>
        <v/>
      </c>
      <c r="H1681" t="str">
        <f t="shared" si="28"/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 t="shared" si="28"/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 t="shared" si="28"/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 t="shared" si="28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28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28"/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 t="shared" si="28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28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28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28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28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si="28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28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28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28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28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28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28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28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28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28"/>
        <v>GUARDIAN</v>
      </c>
    </row>
    <row r="1702" spans="5:8" x14ac:dyDescent="0.25">
      <c r="E1702" t="str">
        <f>"GDE202001224787"</f>
        <v>GDE202001224787</v>
      </c>
      <c r="F1702" t="str">
        <f>"GUARDIAN"</f>
        <v>GUARDIAN</v>
      </c>
      <c r="G1702" s="2">
        <v>184.68</v>
      </c>
      <c r="H1702" t="str">
        <f t="shared" si="28"/>
        <v>GUARDIAN</v>
      </c>
    </row>
    <row r="1703" spans="5:8" x14ac:dyDescent="0.25">
      <c r="E1703" t="str">
        <f>"GDF202001084581"</f>
        <v>GDF202001084581</v>
      </c>
      <c r="F1703" t="str">
        <f>"GUARDIAN"</f>
        <v>GUARDIAN</v>
      </c>
      <c r="G1703" s="2">
        <v>2259.4499999999998</v>
      </c>
      <c r="H1703" t="str">
        <f t="shared" si="28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28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28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28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28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28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28"/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28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28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28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28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28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28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28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28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28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28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28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28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28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ref="H1723:H1786" si="29">"GUARDIAN"</f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si="29"/>
        <v>GUARDIAN</v>
      </c>
    </row>
    <row r="1725" spans="5:8" x14ac:dyDescent="0.25">
      <c r="E1725" t="str">
        <f>"GDF202001084582"</f>
        <v>GDF202001084582</v>
      </c>
      <c r="F1725" t="str">
        <f>"GUARDIAN"</f>
        <v>GUARDIAN</v>
      </c>
      <c r="G1725" s="2">
        <v>100.42</v>
      </c>
      <c r="H1725" t="str">
        <f t="shared" si="29"/>
        <v>GUARDIAN</v>
      </c>
    </row>
    <row r="1726" spans="5:8" x14ac:dyDescent="0.25">
      <c r="E1726" t="str">
        <f>""</f>
        <v/>
      </c>
      <c r="F1726" t="str">
        <f>""</f>
        <v/>
      </c>
      <c r="H1726" t="str">
        <f t="shared" si="29"/>
        <v>GUARDIAN</v>
      </c>
    </row>
    <row r="1727" spans="5:8" x14ac:dyDescent="0.25">
      <c r="E1727" t="str">
        <f>"GDF202001224779"</f>
        <v>GDF202001224779</v>
      </c>
      <c r="F1727" t="str">
        <f>"GUARDIAN"</f>
        <v>GUARDIAN</v>
      </c>
      <c r="G1727" s="2">
        <v>2259.4499999999998</v>
      </c>
      <c r="H1727" t="str">
        <f t="shared" si="29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29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29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29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29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29"/>
        <v>GUARDIAN</v>
      </c>
    </row>
    <row r="1733" spans="5:8" x14ac:dyDescent="0.25">
      <c r="E1733" t="str">
        <f>""</f>
        <v/>
      </c>
      <c r="F1733" t="str">
        <f>""</f>
        <v/>
      </c>
      <c r="H1733" t="str">
        <f t="shared" si="29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29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29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29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29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29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29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29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29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29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29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29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29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29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29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29"/>
        <v>GUARDIAN</v>
      </c>
    </row>
    <row r="1749" spans="5:8" x14ac:dyDescent="0.25">
      <c r="E1749" t="str">
        <f>"GDF202001224787"</f>
        <v>GDF202001224787</v>
      </c>
      <c r="F1749" t="str">
        <f>"GUARDIAN"</f>
        <v>GUARDIAN</v>
      </c>
      <c r="G1749" s="2">
        <v>100.42</v>
      </c>
      <c r="H1749" t="str">
        <f t="shared" si="29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29"/>
        <v>GUARDIAN</v>
      </c>
    </row>
    <row r="1751" spans="5:8" x14ac:dyDescent="0.25">
      <c r="E1751" t="str">
        <f>"GDS202001084581"</f>
        <v>GDS202001084581</v>
      </c>
      <c r="F1751" t="str">
        <f>"GUARDIAN"</f>
        <v>GUARDIAN</v>
      </c>
      <c r="G1751" s="2">
        <v>1923.24</v>
      </c>
      <c r="H1751" t="str">
        <f t="shared" si="29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29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29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29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29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29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29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29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29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29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29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29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29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29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29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29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29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29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29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29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29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29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29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29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29"/>
        <v>GUARDIAN</v>
      </c>
    </row>
    <row r="1776" spans="5:8" x14ac:dyDescent="0.25">
      <c r="E1776" t="str">
        <f>"GDS202001224779"</f>
        <v>GDS202001224779</v>
      </c>
      <c r="F1776" t="str">
        <f>"GUARDIAN"</f>
        <v>GUARDIAN</v>
      </c>
      <c r="G1776" s="2">
        <v>1923.24</v>
      </c>
      <c r="H1776" t="str">
        <f t="shared" si="29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29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29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29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29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29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29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29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29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29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29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ref="H1787:H1800" si="30">"GUARDIAN"</f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30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30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30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30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30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30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30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30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30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30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30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30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30"/>
        <v>GUARDIAN</v>
      </c>
    </row>
    <row r="1801" spans="5:8" x14ac:dyDescent="0.25">
      <c r="E1801" t="str">
        <f>"GV1202001084581"</f>
        <v>GV1202001084581</v>
      </c>
      <c r="F1801" t="str">
        <f>"GUARDIAN VISION"</f>
        <v>GUARDIAN VISION</v>
      </c>
      <c r="G1801" s="2">
        <v>436.8</v>
      </c>
      <c r="H1801" t="str">
        <f>"GUARDIAN VISION"</f>
        <v>GUARDIAN VISION</v>
      </c>
    </row>
    <row r="1802" spans="5:8" x14ac:dyDescent="0.25">
      <c r="E1802" t="str">
        <f>"GV1202001224779"</f>
        <v>GV1202001224779</v>
      </c>
      <c r="F1802" t="str">
        <f>"GUARDIAN VISION"</f>
        <v>GUARDIAN VISION</v>
      </c>
      <c r="G1802" s="2">
        <v>425.6</v>
      </c>
      <c r="H1802" t="str">
        <f>"GUARDIAN VISION"</f>
        <v>GUARDIAN VISION</v>
      </c>
    </row>
    <row r="1803" spans="5:8" x14ac:dyDescent="0.25">
      <c r="E1803" t="str">
        <f>"GVE202001084581"</f>
        <v>GVE202001084581</v>
      </c>
      <c r="F1803" t="str">
        <f>"GUARDIAN VISION VENDOR"</f>
        <v>GUARDIAN VISION VENDOR</v>
      </c>
      <c r="G1803" s="2">
        <v>608.85</v>
      </c>
      <c r="H1803" t="str">
        <f>"GUARDIAN VISION VENDOR"</f>
        <v>GUARDIAN VISION VENDOR</v>
      </c>
    </row>
    <row r="1804" spans="5:8" x14ac:dyDescent="0.25">
      <c r="E1804" t="str">
        <f>"GVE202001084582"</f>
        <v>GVE202001084582</v>
      </c>
      <c r="F1804" t="str">
        <f>"GUARDIAN VISION VENDOR"</f>
        <v>GUARDIAN VISION VENDOR</v>
      </c>
      <c r="G1804" s="2">
        <v>33.21</v>
      </c>
      <c r="H1804" t="str">
        <f>"GUARDIAN VISION VENDOR"</f>
        <v>GUARDIAN VISION VENDOR</v>
      </c>
    </row>
    <row r="1805" spans="5:8" x14ac:dyDescent="0.25">
      <c r="E1805" t="str">
        <f>"GVE202001224779"</f>
        <v>GVE202001224779</v>
      </c>
      <c r="F1805" t="str">
        <f>"GUARDIAN VISION VENDOR"</f>
        <v>GUARDIAN VISION VENDOR</v>
      </c>
      <c r="G1805" s="2">
        <v>608.85</v>
      </c>
      <c r="H1805" t="str">
        <f>"GUARDIAN VISION VENDOR"</f>
        <v>GUARDIAN VISION VENDOR</v>
      </c>
    </row>
    <row r="1806" spans="5:8" x14ac:dyDescent="0.25">
      <c r="E1806" t="str">
        <f>"GVE202001224787"</f>
        <v>GVE202001224787</v>
      </c>
      <c r="F1806" t="str">
        <f>"GUARDIAN VISION VENDOR"</f>
        <v>GUARDIAN VISION VENDOR</v>
      </c>
      <c r="G1806" s="2">
        <v>33.21</v>
      </c>
      <c r="H1806" t="str">
        <f>"GUARDIAN VISION VENDOR"</f>
        <v>GUARDIAN VISION VENDOR</v>
      </c>
    </row>
    <row r="1807" spans="5:8" x14ac:dyDescent="0.25">
      <c r="E1807" t="str">
        <f>"GVF202001084581"</f>
        <v>GVF202001084581</v>
      </c>
      <c r="F1807" t="str">
        <f>"GUARDIAN VISION"</f>
        <v>GUARDIAN VISION</v>
      </c>
      <c r="G1807" s="2">
        <v>581.15</v>
      </c>
      <c r="H1807" t="str">
        <f>"GUARDIAN VISION"</f>
        <v>GUARDIAN VISION</v>
      </c>
    </row>
    <row r="1808" spans="5:8" x14ac:dyDescent="0.25">
      <c r="E1808" t="str">
        <f>"GVF202001084582"</f>
        <v>GVF202001084582</v>
      </c>
      <c r="F1808" t="str">
        <f>"GUARDIAN VISION VENDOR"</f>
        <v>GUARDIAN VISION VENDOR</v>
      </c>
      <c r="G1808" s="2">
        <v>39.4</v>
      </c>
      <c r="H1808" t="str">
        <f>"GUARDIAN VISION VENDOR"</f>
        <v>GUARDIAN VISION VENDOR</v>
      </c>
    </row>
    <row r="1809" spans="5:8" x14ac:dyDescent="0.25">
      <c r="E1809" t="str">
        <f>"GVF202001224779"</f>
        <v>GVF202001224779</v>
      </c>
      <c r="F1809" t="str">
        <f>"GUARDIAN VISION"</f>
        <v>GUARDIAN VISION</v>
      </c>
      <c r="G1809" s="2">
        <v>581.15</v>
      </c>
      <c r="H1809" t="str">
        <f>"GUARDIAN VISION"</f>
        <v>GUARDIAN VISION</v>
      </c>
    </row>
    <row r="1810" spans="5:8" x14ac:dyDescent="0.25">
      <c r="E1810" t="str">
        <f>"GVF202001224787"</f>
        <v>GVF202001224787</v>
      </c>
      <c r="F1810" t="str">
        <f>"GUARDIAN VISION VENDOR"</f>
        <v>GUARDIAN VISION VENDOR</v>
      </c>
      <c r="G1810" s="2">
        <v>39.4</v>
      </c>
      <c r="H1810" t="str">
        <f>"GUARDIAN VISION VENDOR"</f>
        <v>GUARDIAN VISION VENDOR</v>
      </c>
    </row>
    <row r="1811" spans="5:8" x14ac:dyDescent="0.25">
      <c r="E1811" t="str">
        <f>"LIA202001084581"</f>
        <v>LIA202001084581</v>
      </c>
      <c r="F1811" t="str">
        <f>"GUARDIAN"</f>
        <v>GUARDIAN</v>
      </c>
      <c r="G1811" s="2">
        <v>190.35</v>
      </c>
      <c r="H1811" t="str">
        <f t="shared" ref="H1811:H1842" si="31">"GUARDIAN"</f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31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31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31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31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31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31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31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31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31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31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31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31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31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31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31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31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31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31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31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31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31"/>
        <v>GUARDIAN</v>
      </c>
    </row>
    <row r="1833" spans="5:8" x14ac:dyDescent="0.25">
      <c r="E1833" t="str">
        <f>"LIA202001084582"</f>
        <v>LIA202001084582</v>
      </c>
      <c r="F1833" t="str">
        <f>"GUARDIAN"</f>
        <v>GUARDIAN</v>
      </c>
      <c r="G1833" s="2">
        <v>40.799999999999997</v>
      </c>
      <c r="H1833" t="str">
        <f t="shared" si="31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31"/>
        <v>GUARDIAN</v>
      </c>
    </row>
    <row r="1835" spans="5:8" x14ac:dyDescent="0.25">
      <c r="E1835" t="str">
        <f>"LIA202001224779"</f>
        <v>LIA202001224779</v>
      </c>
      <c r="F1835" t="str">
        <f>"GUARDIAN"</f>
        <v>GUARDIAN</v>
      </c>
      <c r="G1835" s="2">
        <v>190.35</v>
      </c>
      <c r="H1835" t="str">
        <f t="shared" si="31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31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31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31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31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31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31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31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ref="H1843:H1874" si="32">"GUARDIAN"</f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32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32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32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32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32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32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32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32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32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32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32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32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32"/>
        <v>GUARDIAN</v>
      </c>
    </row>
    <row r="1857" spans="5:8" x14ac:dyDescent="0.25">
      <c r="E1857" t="str">
        <f>"LIA202001224787"</f>
        <v>LIA202001224787</v>
      </c>
      <c r="F1857" t="str">
        <f>"GUARDIAN"</f>
        <v>GUARDIAN</v>
      </c>
      <c r="G1857" s="2">
        <v>40.799999999999997</v>
      </c>
      <c r="H1857" t="str">
        <f t="shared" si="32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32"/>
        <v>GUARDIAN</v>
      </c>
    </row>
    <row r="1859" spans="5:8" x14ac:dyDescent="0.25">
      <c r="E1859" t="str">
        <f>"LIC202001084581"</f>
        <v>LIC202001084581</v>
      </c>
      <c r="F1859" t="str">
        <f>"GUARDIAN"</f>
        <v>GUARDIAN</v>
      </c>
      <c r="G1859" s="2">
        <v>32.78</v>
      </c>
      <c r="H1859" t="str">
        <f t="shared" si="32"/>
        <v>GUARDIAN</v>
      </c>
    </row>
    <row r="1860" spans="5:8" x14ac:dyDescent="0.25">
      <c r="E1860" t="str">
        <f>"LIC202001084582"</f>
        <v>LIC202001084582</v>
      </c>
      <c r="F1860" t="str">
        <f>"GUARDIAN"</f>
        <v>GUARDIAN</v>
      </c>
      <c r="G1860" s="2">
        <v>1.05</v>
      </c>
      <c r="H1860" t="str">
        <f t="shared" si="32"/>
        <v>GUARDIAN</v>
      </c>
    </row>
    <row r="1861" spans="5:8" x14ac:dyDescent="0.25">
      <c r="E1861" t="str">
        <f>"LIC202001224779"</f>
        <v>LIC202001224779</v>
      </c>
      <c r="F1861" t="str">
        <f>"GUARDIAN"</f>
        <v>GUARDIAN</v>
      </c>
      <c r="G1861" s="2">
        <v>32.78</v>
      </c>
      <c r="H1861" t="str">
        <f t="shared" si="32"/>
        <v>GUARDIAN</v>
      </c>
    </row>
    <row r="1862" spans="5:8" x14ac:dyDescent="0.25">
      <c r="E1862" t="str">
        <f>"LIC202001224787"</f>
        <v>LIC202001224787</v>
      </c>
      <c r="F1862" t="str">
        <f>"GUARDIAN"</f>
        <v>GUARDIAN</v>
      </c>
      <c r="G1862" s="2">
        <v>1.05</v>
      </c>
      <c r="H1862" t="str">
        <f t="shared" si="32"/>
        <v>GUARDIAN</v>
      </c>
    </row>
    <row r="1863" spans="5:8" x14ac:dyDescent="0.25">
      <c r="E1863" t="str">
        <f>"LIE202001084581"</f>
        <v>LIE202001084581</v>
      </c>
      <c r="F1863" t="str">
        <f>"GUARDIAN"</f>
        <v>GUARDIAN</v>
      </c>
      <c r="G1863" s="2">
        <v>3887.27</v>
      </c>
      <c r="H1863" t="str">
        <f t="shared" si="32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32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32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32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32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32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32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32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32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32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32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32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ref="H1875:H1906" si="33">"GUARDIAN"</f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33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33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33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33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33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33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33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33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33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33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33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33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33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33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33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33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33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33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33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33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33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33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33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33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33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33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33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33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33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33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33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ref="H1907:H1938" si="34">"GUARDIAN"</f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34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34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34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34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34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34"/>
        <v>GUARDIAN</v>
      </c>
    </row>
    <row r="1914" spans="5:8" x14ac:dyDescent="0.25">
      <c r="E1914" t="str">
        <f>"LIE202001084582"</f>
        <v>LIE202001084582</v>
      </c>
      <c r="F1914" t="str">
        <f>"GUARDIAN"</f>
        <v>GUARDIAN</v>
      </c>
      <c r="G1914" s="2">
        <v>90.2</v>
      </c>
      <c r="H1914" t="str">
        <f t="shared" si="34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34"/>
        <v>GUARDIAN</v>
      </c>
    </row>
    <row r="1916" spans="5:8" x14ac:dyDescent="0.25">
      <c r="E1916" t="str">
        <f>"LIE202001224779"</f>
        <v>LIE202001224779</v>
      </c>
      <c r="F1916" t="str">
        <f>"GUARDIAN"</f>
        <v>GUARDIAN</v>
      </c>
      <c r="G1916" s="2">
        <v>3883.57</v>
      </c>
      <c r="H1916" t="str">
        <f t="shared" si="34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34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34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34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34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34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34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34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si="34"/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34"/>
        <v>GUARDIAN</v>
      </c>
    </row>
    <row r="1926" spans="5:8" x14ac:dyDescent="0.25">
      <c r="E1926" t="str">
        <f>""</f>
        <v/>
      </c>
      <c r="F1926" t="str">
        <f>""</f>
        <v/>
      </c>
      <c r="H1926" t="str">
        <f t="shared" si="34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34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34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34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34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34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si="34"/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34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34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34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34"/>
        <v>GUARDIAN</v>
      </c>
    </row>
    <row r="1937" spans="5:8" x14ac:dyDescent="0.25">
      <c r="E1937" t="str">
        <f>""</f>
        <v/>
      </c>
      <c r="F1937" t="str">
        <f>""</f>
        <v/>
      </c>
      <c r="H1937" t="str">
        <f t="shared" si="34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34"/>
        <v>GUARDIAN</v>
      </c>
    </row>
    <row r="1939" spans="5:8" x14ac:dyDescent="0.25">
      <c r="E1939" t="str">
        <f>""</f>
        <v/>
      </c>
      <c r="F1939" t="str">
        <f>""</f>
        <v/>
      </c>
      <c r="H1939" t="str">
        <f t="shared" ref="H1939:H1970" si="35">"GUARDIAN"</f>
        <v>GUARDIAN</v>
      </c>
    </row>
    <row r="1940" spans="5:8" x14ac:dyDescent="0.25">
      <c r="E1940" t="str">
        <f>""</f>
        <v/>
      </c>
      <c r="F1940" t="str">
        <f>""</f>
        <v/>
      </c>
      <c r="H1940" t="str">
        <f t="shared" si="35"/>
        <v>GUARDIAN</v>
      </c>
    </row>
    <row r="1941" spans="5:8" x14ac:dyDescent="0.25">
      <c r="E1941" t="str">
        <f>""</f>
        <v/>
      </c>
      <c r="F1941" t="str">
        <f>""</f>
        <v/>
      </c>
      <c r="H1941" t="str">
        <f t="shared" si="35"/>
        <v>GUARDIAN</v>
      </c>
    </row>
    <row r="1942" spans="5:8" x14ac:dyDescent="0.25">
      <c r="E1942" t="str">
        <f>""</f>
        <v/>
      </c>
      <c r="F1942" t="str">
        <f>""</f>
        <v/>
      </c>
      <c r="H1942" t="str">
        <f t="shared" si="35"/>
        <v>GUARDIAN</v>
      </c>
    </row>
    <row r="1943" spans="5:8" x14ac:dyDescent="0.25">
      <c r="E1943" t="str">
        <f>""</f>
        <v/>
      </c>
      <c r="F1943" t="str">
        <f>""</f>
        <v/>
      </c>
      <c r="H1943" t="str">
        <f t="shared" si="35"/>
        <v>GUARDIAN</v>
      </c>
    </row>
    <row r="1944" spans="5:8" x14ac:dyDescent="0.25">
      <c r="E1944" t="str">
        <f>""</f>
        <v/>
      </c>
      <c r="F1944" t="str">
        <f>""</f>
        <v/>
      </c>
      <c r="H1944" t="str">
        <f t="shared" si="35"/>
        <v>GUARDIAN</v>
      </c>
    </row>
    <row r="1945" spans="5:8" x14ac:dyDescent="0.25">
      <c r="E1945" t="str">
        <f>""</f>
        <v/>
      </c>
      <c r="F1945" t="str">
        <f>""</f>
        <v/>
      </c>
      <c r="H1945" t="str">
        <f t="shared" si="35"/>
        <v>GUARDIAN</v>
      </c>
    </row>
    <row r="1946" spans="5:8" x14ac:dyDescent="0.25">
      <c r="E1946" t="str">
        <f>""</f>
        <v/>
      </c>
      <c r="F1946" t="str">
        <f>""</f>
        <v/>
      </c>
      <c r="H1946" t="str">
        <f t="shared" si="35"/>
        <v>GUARDIAN</v>
      </c>
    </row>
    <row r="1947" spans="5:8" x14ac:dyDescent="0.25">
      <c r="E1947" t="str">
        <f>""</f>
        <v/>
      </c>
      <c r="F1947" t="str">
        <f>""</f>
        <v/>
      </c>
      <c r="H1947" t="str">
        <f t="shared" si="35"/>
        <v>GUARDIAN</v>
      </c>
    </row>
    <row r="1948" spans="5:8" x14ac:dyDescent="0.25">
      <c r="E1948" t="str">
        <f>""</f>
        <v/>
      </c>
      <c r="F1948" t="str">
        <f>""</f>
        <v/>
      </c>
      <c r="H1948" t="str">
        <f t="shared" si="35"/>
        <v>GUARDIAN</v>
      </c>
    </row>
    <row r="1949" spans="5:8" x14ac:dyDescent="0.25">
      <c r="E1949" t="str">
        <f>""</f>
        <v/>
      </c>
      <c r="F1949" t="str">
        <f>""</f>
        <v/>
      </c>
      <c r="H1949" t="str">
        <f t="shared" si="35"/>
        <v>GUARDIAN</v>
      </c>
    </row>
    <row r="1950" spans="5:8" x14ac:dyDescent="0.25">
      <c r="E1950" t="str">
        <f>""</f>
        <v/>
      </c>
      <c r="F1950" t="str">
        <f>""</f>
        <v/>
      </c>
      <c r="H1950" t="str">
        <f t="shared" si="35"/>
        <v>GUARDIAN</v>
      </c>
    </row>
    <row r="1951" spans="5:8" x14ac:dyDescent="0.25">
      <c r="E1951" t="str">
        <f>""</f>
        <v/>
      </c>
      <c r="F1951" t="str">
        <f>""</f>
        <v/>
      </c>
      <c r="H1951" t="str">
        <f t="shared" si="35"/>
        <v>GUARDIAN</v>
      </c>
    </row>
    <row r="1952" spans="5:8" x14ac:dyDescent="0.25">
      <c r="E1952" t="str">
        <f>""</f>
        <v/>
      </c>
      <c r="F1952" t="str">
        <f>""</f>
        <v/>
      </c>
      <c r="H1952" t="str">
        <f t="shared" si="35"/>
        <v>GUARDIAN</v>
      </c>
    </row>
    <row r="1953" spans="5:8" x14ac:dyDescent="0.25">
      <c r="E1953" t="str">
        <f>""</f>
        <v/>
      </c>
      <c r="F1953" t="str">
        <f>""</f>
        <v/>
      </c>
      <c r="H1953" t="str">
        <f t="shared" si="35"/>
        <v>GUARDIAN</v>
      </c>
    </row>
    <row r="1954" spans="5:8" x14ac:dyDescent="0.25">
      <c r="E1954" t="str">
        <f>""</f>
        <v/>
      </c>
      <c r="F1954" t="str">
        <f>""</f>
        <v/>
      </c>
      <c r="H1954" t="str">
        <f t="shared" si="35"/>
        <v>GUARDIAN</v>
      </c>
    </row>
    <row r="1955" spans="5:8" x14ac:dyDescent="0.25">
      <c r="E1955" t="str">
        <f>""</f>
        <v/>
      </c>
      <c r="F1955" t="str">
        <f>""</f>
        <v/>
      </c>
      <c r="H1955" t="str">
        <f t="shared" si="35"/>
        <v>GUARDIAN</v>
      </c>
    </row>
    <row r="1956" spans="5:8" x14ac:dyDescent="0.25">
      <c r="E1956" t="str">
        <f>""</f>
        <v/>
      </c>
      <c r="F1956" t="str">
        <f>""</f>
        <v/>
      </c>
      <c r="H1956" t="str">
        <f t="shared" si="35"/>
        <v>GUARDIAN</v>
      </c>
    </row>
    <row r="1957" spans="5:8" x14ac:dyDescent="0.25">
      <c r="E1957" t="str">
        <f>""</f>
        <v/>
      </c>
      <c r="F1957" t="str">
        <f>""</f>
        <v/>
      </c>
      <c r="H1957" t="str">
        <f t="shared" si="35"/>
        <v>GUARDIAN</v>
      </c>
    </row>
    <row r="1958" spans="5:8" x14ac:dyDescent="0.25">
      <c r="E1958" t="str">
        <f>""</f>
        <v/>
      </c>
      <c r="F1958" t="str">
        <f>""</f>
        <v/>
      </c>
      <c r="H1958" t="str">
        <f t="shared" si="35"/>
        <v>GUARDIAN</v>
      </c>
    </row>
    <row r="1959" spans="5:8" x14ac:dyDescent="0.25">
      <c r="E1959" t="str">
        <f>""</f>
        <v/>
      </c>
      <c r="F1959" t="str">
        <f>""</f>
        <v/>
      </c>
      <c r="H1959" t="str">
        <f t="shared" si="35"/>
        <v>GUARDIAN</v>
      </c>
    </row>
    <row r="1960" spans="5:8" x14ac:dyDescent="0.25">
      <c r="E1960" t="str">
        <f>""</f>
        <v/>
      </c>
      <c r="F1960" t="str">
        <f>""</f>
        <v/>
      </c>
      <c r="H1960" t="str">
        <f t="shared" si="35"/>
        <v>GUARDIAN</v>
      </c>
    </row>
    <row r="1961" spans="5:8" x14ac:dyDescent="0.25">
      <c r="E1961" t="str">
        <f>""</f>
        <v/>
      </c>
      <c r="F1961" t="str">
        <f>""</f>
        <v/>
      </c>
      <c r="H1961" t="str">
        <f t="shared" si="35"/>
        <v>GUARDIAN</v>
      </c>
    </row>
    <row r="1962" spans="5:8" x14ac:dyDescent="0.25">
      <c r="E1962" t="str">
        <f>""</f>
        <v/>
      </c>
      <c r="F1962" t="str">
        <f>""</f>
        <v/>
      </c>
      <c r="H1962" t="str">
        <f t="shared" si="35"/>
        <v>GUARDIAN</v>
      </c>
    </row>
    <row r="1963" spans="5:8" x14ac:dyDescent="0.25">
      <c r="E1963" t="str">
        <f>""</f>
        <v/>
      </c>
      <c r="F1963" t="str">
        <f>""</f>
        <v/>
      </c>
      <c r="H1963" t="str">
        <f t="shared" si="35"/>
        <v>GUARDIAN</v>
      </c>
    </row>
    <row r="1964" spans="5:8" x14ac:dyDescent="0.25">
      <c r="E1964" t="str">
        <f>""</f>
        <v/>
      </c>
      <c r="F1964" t="str">
        <f>""</f>
        <v/>
      </c>
      <c r="H1964" t="str">
        <f t="shared" si="35"/>
        <v>GUARDIAN</v>
      </c>
    </row>
    <row r="1965" spans="5:8" x14ac:dyDescent="0.25">
      <c r="E1965" t="str">
        <f>""</f>
        <v/>
      </c>
      <c r="F1965" t="str">
        <f>""</f>
        <v/>
      </c>
      <c r="H1965" t="str">
        <f t="shared" si="35"/>
        <v>GUARDIAN</v>
      </c>
    </row>
    <row r="1966" spans="5:8" x14ac:dyDescent="0.25">
      <c r="E1966" t="str">
        <f>""</f>
        <v/>
      </c>
      <c r="F1966" t="str">
        <f>""</f>
        <v/>
      </c>
      <c r="H1966" t="str">
        <f t="shared" si="35"/>
        <v>GUARDIAN</v>
      </c>
    </row>
    <row r="1967" spans="5:8" x14ac:dyDescent="0.25">
      <c r="E1967" t="str">
        <f>"LIE202001224787"</f>
        <v>LIE202001224787</v>
      </c>
      <c r="F1967" t="str">
        <f>"GUARDIAN"</f>
        <v>GUARDIAN</v>
      </c>
      <c r="G1967" s="2">
        <v>90.2</v>
      </c>
      <c r="H1967" t="str">
        <f t="shared" si="35"/>
        <v>GUARDIAN</v>
      </c>
    </row>
    <row r="1968" spans="5:8" x14ac:dyDescent="0.25">
      <c r="E1968" t="str">
        <f>""</f>
        <v/>
      </c>
      <c r="F1968" t="str">
        <f>""</f>
        <v/>
      </c>
      <c r="H1968" t="str">
        <f t="shared" si="35"/>
        <v>GUARDIAN</v>
      </c>
    </row>
    <row r="1969" spans="1:8" x14ac:dyDescent="0.25">
      <c r="E1969" t="str">
        <f>"LIS202001084581"</f>
        <v>LIS202001084581</v>
      </c>
      <c r="F1969" t="str">
        <f t="shared" ref="F1969:F1980" si="36">"GUARDIAN"</f>
        <v>GUARDIAN</v>
      </c>
      <c r="G1969" s="2">
        <v>515.87</v>
      </c>
      <c r="H1969" t="str">
        <f t="shared" si="35"/>
        <v>GUARDIAN</v>
      </c>
    </row>
    <row r="1970" spans="1:8" x14ac:dyDescent="0.25">
      <c r="E1970" t="str">
        <f>"LIS202001084582"</f>
        <v>LIS202001084582</v>
      </c>
      <c r="F1970" t="str">
        <f t="shared" si="36"/>
        <v>GUARDIAN</v>
      </c>
      <c r="G1970" s="2">
        <v>36.15</v>
      </c>
      <c r="H1970" t="str">
        <f t="shared" si="35"/>
        <v>GUARDIAN</v>
      </c>
    </row>
    <row r="1971" spans="1:8" x14ac:dyDescent="0.25">
      <c r="E1971" t="str">
        <f>"LIS202001224779"</f>
        <v>LIS202001224779</v>
      </c>
      <c r="F1971" t="str">
        <f t="shared" si="36"/>
        <v>GUARDIAN</v>
      </c>
      <c r="G1971" s="2">
        <v>515.87</v>
      </c>
      <c r="H1971" t="str">
        <f t="shared" ref="H1971:H1980" si="37">"GUARDIAN"</f>
        <v>GUARDIAN</v>
      </c>
    </row>
    <row r="1972" spans="1:8" x14ac:dyDescent="0.25">
      <c r="E1972" t="str">
        <f>"LIS202001224787"</f>
        <v>LIS202001224787</v>
      </c>
      <c r="F1972" t="str">
        <f t="shared" si="36"/>
        <v>GUARDIAN</v>
      </c>
      <c r="G1972" s="2">
        <v>36.15</v>
      </c>
      <c r="H1972" t="str">
        <f t="shared" si="37"/>
        <v>GUARDIAN</v>
      </c>
    </row>
    <row r="1973" spans="1:8" x14ac:dyDescent="0.25">
      <c r="E1973" t="str">
        <f>"LTD202001084581"</f>
        <v>LTD202001084581</v>
      </c>
      <c r="F1973" t="str">
        <f t="shared" si="36"/>
        <v>GUARDIAN</v>
      </c>
      <c r="G1973" s="2">
        <v>858.05</v>
      </c>
      <c r="H1973" t="str">
        <f t="shared" si="37"/>
        <v>GUARDIAN</v>
      </c>
    </row>
    <row r="1974" spans="1:8" x14ac:dyDescent="0.25">
      <c r="E1974" t="str">
        <f>"LTD202001084582"</f>
        <v>LTD202001084582</v>
      </c>
      <c r="F1974" t="str">
        <f t="shared" si="36"/>
        <v>GUARDIAN</v>
      </c>
      <c r="G1974" s="2">
        <v>6.11</v>
      </c>
      <c r="H1974" t="str">
        <f t="shared" si="37"/>
        <v>GUARDIAN</v>
      </c>
    </row>
    <row r="1975" spans="1:8" x14ac:dyDescent="0.25">
      <c r="E1975" t="str">
        <f>"LTD202001224779"</f>
        <v>LTD202001224779</v>
      </c>
      <c r="F1975" t="str">
        <f t="shared" si="36"/>
        <v>GUARDIAN</v>
      </c>
      <c r="G1975" s="2">
        <v>841.13</v>
      </c>
      <c r="H1975" t="str">
        <f t="shared" si="37"/>
        <v>GUARDIAN</v>
      </c>
    </row>
    <row r="1976" spans="1:8" x14ac:dyDescent="0.25">
      <c r="E1976" t="str">
        <f>"LTD202001224787"</f>
        <v>LTD202001224787</v>
      </c>
      <c r="F1976" t="str">
        <f t="shared" si="36"/>
        <v>GUARDIAN</v>
      </c>
      <c r="G1976" s="2">
        <v>6.11</v>
      </c>
      <c r="H1976" t="str">
        <f t="shared" si="37"/>
        <v>GUARDIAN</v>
      </c>
    </row>
    <row r="1977" spans="1:8" x14ac:dyDescent="0.25">
      <c r="A1977" t="s">
        <v>456</v>
      </c>
      <c r="B1977">
        <v>377</v>
      </c>
      <c r="C1977" s="2">
        <v>105.38</v>
      </c>
      <c r="D1977" s="1">
        <v>43858</v>
      </c>
      <c r="E1977" t="str">
        <f>"AEG202001084581"</f>
        <v>AEG202001084581</v>
      </c>
      <c r="F1977" t="str">
        <f t="shared" si="36"/>
        <v>GUARDIAN</v>
      </c>
      <c r="G1977" s="2">
        <v>6.66</v>
      </c>
      <c r="H1977" t="str">
        <f t="shared" si="37"/>
        <v>GUARDIAN</v>
      </c>
    </row>
    <row r="1978" spans="1:8" x14ac:dyDescent="0.25">
      <c r="E1978" t="str">
        <f>"AEG202001224779"</f>
        <v>AEG202001224779</v>
      </c>
      <c r="F1978" t="str">
        <f t="shared" si="36"/>
        <v>GUARDIAN</v>
      </c>
      <c r="G1978" s="2">
        <v>6.66</v>
      </c>
      <c r="H1978" t="str">
        <f t="shared" si="37"/>
        <v>GUARDIAN</v>
      </c>
    </row>
    <row r="1979" spans="1:8" x14ac:dyDescent="0.25">
      <c r="E1979" t="str">
        <f>"AFG202001084581"</f>
        <v>AFG202001084581</v>
      </c>
      <c r="F1979" t="str">
        <f t="shared" si="36"/>
        <v>GUARDIAN</v>
      </c>
      <c r="G1979" s="2">
        <v>46.03</v>
      </c>
      <c r="H1979" t="str">
        <f t="shared" si="37"/>
        <v>GUARDIAN</v>
      </c>
    </row>
    <row r="1980" spans="1:8" x14ac:dyDescent="0.25">
      <c r="E1980" t="str">
        <f>"AFG202001224779"</f>
        <v>AFG202001224779</v>
      </c>
      <c r="F1980" t="str">
        <f t="shared" si="36"/>
        <v>GUARDIAN</v>
      </c>
      <c r="G1980" s="2">
        <v>46.03</v>
      </c>
      <c r="H1980" t="str">
        <f t="shared" si="37"/>
        <v>GUARDIAN</v>
      </c>
    </row>
    <row r="1981" spans="1:8" x14ac:dyDescent="0.25">
      <c r="A1981" t="s">
        <v>456</v>
      </c>
      <c r="B1981">
        <v>381</v>
      </c>
      <c r="C1981" s="2">
        <v>63</v>
      </c>
      <c r="D1981" s="1">
        <v>43859</v>
      </c>
      <c r="E1981" t="str">
        <f>"202001294900"</f>
        <v>202001294900</v>
      </c>
      <c r="F1981" t="str">
        <f>"A Alcazar term but paid"</f>
        <v>A Alcazar term but paid</v>
      </c>
      <c r="G1981" s="2">
        <v>63</v>
      </c>
      <c r="H1981" t="str">
        <f>"Added to packet 3 for unbalanc"</f>
        <v>Added to packet 3 for unbalanc</v>
      </c>
    </row>
    <row r="1982" spans="1:8" x14ac:dyDescent="0.25">
      <c r="A1982" t="s">
        <v>457</v>
      </c>
      <c r="B1982">
        <v>335</v>
      </c>
      <c r="C1982" s="2">
        <v>244106.18</v>
      </c>
      <c r="D1982" s="1">
        <v>43840</v>
      </c>
      <c r="E1982" t="str">
        <f>"T1 202001084581"</f>
        <v>T1 202001084581</v>
      </c>
      <c r="F1982" t="str">
        <f>"FEDERAL WITHHOLDING"</f>
        <v>FEDERAL WITHHOLDING</v>
      </c>
      <c r="G1982" s="2">
        <v>80685.919999999998</v>
      </c>
      <c r="H1982" t="str">
        <f>"FEDERAL WITHHOLDING"</f>
        <v>FEDERAL WITHHOLDING</v>
      </c>
    </row>
    <row r="1983" spans="1:8" x14ac:dyDescent="0.25">
      <c r="E1983" t="str">
        <f>"T1 202001084582"</f>
        <v>T1 202001084582</v>
      </c>
      <c r="F1983" t="str">
        <f>"FEDERAL WITHHOLDING"</f>
        <v>FEDERAL WITHHOLDING</v>
      </c>
      <c r="G1983" s="2">
        <v>3222.26</v>
      </c>
      <c r="H1983" t="str">
        <f>"FEDERAL WITHHOLDING"</f>
        <v>FEDERAL WITHHOLDING</v>
      </c>
    </row>
    <row r="1984" spans="1:8" x14ac:dyDescent="0.25">
      <c r="E1984" t="str">
        <f>"T1 202001084583"</f>
        <v>T1 202001084583</v>
      </c>
      <c r="F1984" t="str">
        <f>"FEDERAL WITHHOLDING"</f>
        <v>FEDERAL WITHHOLDING</v>
      </c>
      <c r="G1984" s="2">
        <v>4713.3</v>
      </c>
      <c r="H1984" t="str">
        <f>"FEDERAL WITHHOLDING"</f>
        <v>FEDERAL WITHHOLDING</v>
      </c>
    </row>
    <row r="1985" spans="5:8" x14ac:dyDescent="0.25">
      <c r="E1985" t="str">
        <f>"T3 202001084581"</f>
        <v>T3 202001084581</v>
      </c>
      <c r="F1985" t="str">
        <f>"SOCIAL SECURITY TAXES"</f>
        <v>SOCIAL SECURITY TAXES</v>
      </c>
      <c r="G1985" s="2">
        <v>115808.74</v>
      </c>
      <c r="H1985" t="str">
        <f t="shared" ref="H1985:H2016" si="38">"SOCIAL SECURITY TAXES"</f>
        <v>SOCIAL SECURITY TAXES</v>
      </c>
    </row>
    <row r="1986" spans="5:8" x14ac:dyDescent="0.25">
      <c r="E1986" t="str">
        <f>""</f>
        <v/>
      </c>
      <c r="F1986" t="str">
        <f>""</f>
        <v/>
      </c>
      <c r="H1986" t="str">
        <f t="shared" si="38"/>
        <v>SOCIAL SECURITY TAXES</v>
      </c>
    </row>
    <row r="1987" spans="5:8" x14ac:dyDescent="0.25">
      <c r="E1987" t="str">
        <f>""</f>
        <v/>
      </c>
      <c r="F1987" t="str">
        <f>""</f>
        <v/>
      </c>
      <c r="H1987" t="str">
        <f t="shared" si="38"/>
        <v>SOCIAL SECURITY TAXES</v>
      </c>
    </row>
    <row r="1988" spans="5:8" x14ac:dyDescent="0.25">
      <c r="E1988" t="str">
        <f>""</f>
        <v/>
      </c>
      <c r="F1988" t="str">
        <f>""</f>
        <v/>
      </c>
      <c r="H1988" t="str">
        <f t="shared" si="38"/>
        <v>SOCIAL SECURITY TAXES</v>
      </c>
    </row>
    <row r="1989" spans="5:8" x14ac:dyDescent="0.25">
      <c r="E1989" t="str">
        <f>""</f>
        <v/>
      </c>
      <c r="F1989" t="str">
        <f>""</f>
        <v/>
      </c>
      <c r="H1989" t="str">
        <f t="shared" si="38"/>
        <v>SOCIAL SECURITY TAXES</v>
      </c>
    </row>
    <row r="1990" spans="5:8" x14ac:dyDescent="0.25">
      <c r="E1990" t="str">
        <f>""</f>
        <v/>
      </c>
      <c r="F1990" t="str">
        <f>""</f>
        <v/>
      </c>
      <c r="H1990" t="str">
        <f t="shared" si="38"/>
        <v>SOCIAL SECURITY TAXES</v>
      </c>
    </row>
    <row r="1991" spans="5:8" x14ac:dyDescent="0.25">
      <c r="E1991" t="str">
        <f>""</f>
        <v/>
      </c>
      <c r="F1991" t="str">
        <f>""</f>
        <v/>
      </c>
      <c r="H1991" t="str">
        <f t="shared" si="38"/>
        <v>SOCIAL SECURITY TAXES</v>
      </c>
    </row>
    <row r="1992" spans="5:8" x14ac:dyDescent="0.25">
      <c r="E1992" t="str">
        <f>""</f>
        <v/>
      </c>
      <c r="F1992" t="str">
        <f>""</f>
        <v/>
      </c>
      <c r="H1992" t="str">
        <f t="shared" si="38"/>
        <v>SOCIAL SECURITY TAXES</v>
      </c>
    </row>
    <row r="1993" spans="5:8" x14ac:dyDescent="0.25">
      <c r="E1993" t="str">
        <f>""</f>
        <v/>
      </c>
      <c r="F1993" t="str">
        <f>""</f>
        <v/>
      </c>
      <c r="H1993" t="str">
        <f t="shared" si="38"/>
        <v>SOCIAL SECURITY TAXES</v>
      </c>
    </row>
    <row r="1994" spans="5:8" x14ac:dyDescent="0.25">
      <c r="E1994" t="str">
        <f>""</f>
        <v/>
      </c>
      <c r="F1994" t="str">
        <f>""</f>
        <v/>
      </c>
      <c r="H1994" t="str">
        <f t="shared" si="38"/>
        <v>SOCIAL SECURITY TAXES</v>
      </c>
    </row>
    <row r="1995" spans="5:8" x14ac:dyDescent="0.25">
      <c r="E1995" t="str">
        <f>""</f>
        <v/>
      </c>
      <c r="F1995" t="str">
        <f>""</f>
        <v/>
      </c>
      <c r="H1995" t="str">
        <f t="shared" si="38"/>
        <v>SOCIAL SECURITY TAXES</v>
      </c>
    </row>
    <row r="1996" spans="5:8" x14ac:dyDescent="0.25">
      <c r="E1996" t="str">
        <f>""</f>
        <v/>
      </c>
      <c r="F1996" t="str">
        <f>""</f>
        <v/>
      </c>
      <c r="H1996" t="str">
        <f t="shared" si="38"/>
        <v>SOCIAL SECURITY TAXES</v>
      </c>
    </row>
    <row r="1997" spans="5:8" x14ac:dyDescent="0.25">
      <c r="E1997" t="str">
        <f>""</f>
        <v/>
      </c>
      <c r="F1997" t="str">
        <f>""</f>
        <v/>
      </c>
      <c r="H1997" t="str">
        <f t="shared" si="38"/>
        <v>SOCIAL SECURITY TAXES</v>
      </c>
    </row>
    <row r="1998" spans="5:8" x14ac:dyDescent="0.25">
      <c r="E1998" t="str">
        <f>""</f>
        <v/>
      </c>
      <c r="F1998" t="str">
        <f>""</f>
        <v/>
      </c>
      <c r="H1998" t="str">
        <f t="shared" si="38"/>
        <v>SOCIAL SECURITY TAXES</v>
      </c>
    </row>
    <row r="1999" spans="5:8" x14ac:dyDescent="0.25">
      <c r="E1999" t="str">
        <f>""</f>
        <v/>
      </c>
      <c r="F1999" t="str">
        <f>""</f>
        <v/>
      </c>
      <c r="H1999" t="str">
        <f t="shared" si="38"/>
        <v>SOCIAL SECURITY TAXES</v>
      </c>
    </row>
    <row r="2000" spans="5:8" x14ac:dyDescent="0.25">
      <c r="E2000" t="str">
        <f>""</f>
        <v/>
      </c>
      <c r="F2000" t="str">
        <f>""</f>
        <v/>
      </c>
      <c r="H2000" t="str">
        <f t="shared" si="38"/>
        <v>SOCIAL SECURITY TAXES</v>
      </c>
    </row>
    <row r="2001" spans="5:8" x14ac:dyDescent="0.25">
      <c r="E2001" t="str">
        <f>""</f>
        <v/>
      </c>
      <c r="F2001" t="str">
        <f>""</f>
        <v/>
      </c>
      <c r="H2001" t="str">
        <f t="shared" si="38"/>
        <v>SOCIAL SECURITY TAXES</v>
      </c>
    </row>
    <row r="2002" spans="5:8" x14ac:dyDescent="0.25">
      <c r="E2002" t="str">
        <f>""</f>
        <v/>
      </c>
      <c r="F2002" t="str">
        <f>""</f>
        <v/>
      </c>
      <c r="H2002" t="str">
        <f t="shared" si="38"/>
        <v>SOCIAL SECURITY TAXES</v>
      </c>
    </row>
    <row r="2003" spans="5:8" x14ac:dyDescent="0.25">
      <c r="E2003" t="str">
        <f>""</f>
        <v/>
      </c>
      <c r="F2003" t="str">
        <f>""</f>
        <v/>
      </c>
      <c r="H2003" t="str">
        <f t="shared" si="38"/>
        <v>SOCIAL SECURITY TAXES</v>
      </c>
    </row>
    <row r="2004" spans="5:8" x14ac:dyDescent="0.25">
      <c r="E2004" t="str">
        <f>""</f>
        <v/>
      </c>
      <c r="F2004" t="str">
        <f>""</f>
        <v/>
      </c>
      <c r="H2004" t="str">
        <f t="shared" si="38"/>
        <v>SOCIAL SECURITY TAXES</v>
      </c>
    </row>
    <row r="2005" spans="5:8" x14ac:dyDescent="0.25">
      <c r="E2005" t="str">
        <f>""</f>
        <v/>
      </c>
      <c r="F2005" t="str">
        <f>""</f>
        <v/>
      </c>
      <c r="H2005" t="str">
        <f t="shared" si="38"/>
        <v>SOCIAL SECURITY TAXES</v>
      </c>
    </row>
    <row r="2006" spans="5:8" x14ac:dyDescent="0.25">
      <c r="E2006" t="str">
        <f>""</f>
        <v/>
      </c>
      <c r="F2006" t="str">
        <f>""</f>
        <v/>
      </c>
      <c r="H2006" t="str">
        <f t="shared" si="38"/>
        <v>SOCIAL SECURITY TAXES</v>
      </c>
    </row>
    <row r="2007" spans="5:8" x14ac:dyDescent="0.25">
      <c r="E2007" t="str">
        <f>""</f>
        <v/>
      </c>
      <c r="F2007" t="str">
        <f>""</f>
        <v/>
      </c>
      <c r="H2007" t="str">
        <f t="shared" si="38"/>
        <v>SOCIAL SECURITY TAXES</v>
      </c>
    </row>
    <row r="2008" spans="5:8" x14ac:dyDescent="0.25">
      <c r="E2008" t="str">
        <f>""</f>
        <v/>
      </c>
      <c r="F2008" t="str">
        <f>""</f>
        <v/>
      </c>
      <c r="H2008" t="str">
        <f t="shared" si="38"/>
        <v>SOCIAL SECURITY TAXES</v>
      </c>
    </row>
    <row r="2009" spans="5:8" x14ac:dyDescent="0.25">
      <c r="E2009" t="str">
        <f>""</f>
        <v/>
      </c>
      <c r="F2009" t="str">
        <f>""</f>
        <v/>
      </c>
      <c r="H2009" t="str">
        <f t="shared" si="38"/>
        <v>SOCIAL SECURITY TAXES</v>
      </c>
    </row>
    <row r="2010" spans="5:8" x14ac:dyDescent="0.25">
      <c r="E2010" t="str">
        <f>""</f>
        <v/>
      </c>
      <c r="F2010" t="str">
        <f>""</f>
        <v/>
      </c>
      <c r="H2010" t="str">
        <f t="shared" si="38"/>
        <v>SOCIAL SECURITY TAXES</v>
      </c>
    </row>
    <row r="2011" spans="5:8" x14ac:dyDescent="0.25">
      <c r="E2011" t="str">
        <f>""</f>
        <v/>
      </c>
      <c r="F2011" t="str">
        <f>""</f>
        <v/>
      </c>
      <c r="H2011" t="str">
        <f t="shared" si="38"/>
        <v>SOCIAL SECURITY TAXES</v>
      </c>
    </row>
    <row r="2012" spans="5:8" x14ac:dyDescent="0.25">
      <c r="E2012" t="str">
        <f>""</f>
        <v/>
      </c>
      <c r="F2012" t="str">
        <f>""</f>
        <v/>
      </c>
      <c r="H2012" t="str">
        <f t="shared" si="38"/>
        <v>SOCIAL SECURITY TAXES</v>
      </c>
    </row>
    <row r="2013" spans="5:8" x14ac:dyDescent="0.25">
      <c r="E2013" t="str">
        <f>""</f>
        <v/>
      </c>
      <c r="F2013" t="str">
        <f>""</f>
        <v/>
      </c>
      <c r="H2013" t="str">
        <f t="shared" si="38"/>
        <v>SOCIAL SECURITY TAXES</v>
      </c>
    </row>
    <row r="2014" spans="5:8" x14ac:dyDescent="0.25">
      <c r="E2014" t="str">
        <f>""</f>
        <v/>
      </c>
      <c r="F2014" t="str">
        <f>""</f>
        <v/>
      </c>
      <c r="H2014" t="str">
        <f t="shared" si="38"/>
        <v>SOCIAL SECURITY TAXES</v>
      </c>
    </row>
    <row r="2015" spans="5:8" x14ac:dyDescent="0.25">
      <c r="E2015" t="str">
        <f>""</f>
        <v/>
      </c>
      <c r="F2015" t="str">
        <f>""</f>
        <v/>
      </c>
      <c r="H2015" t="str">
        <f t="shared" si="38"/>
        <v>SOCIAL SECURITY TAXES</v>
      </c>
    </row>
    <row r="2016" spans="5:8" x14ac:dyDescent="0.25">
      <c r="E2016" t="str">
        <f>""</f>
        <v/>
      </c>
      <c r="F2016" t="str">
        <f>""</f>
        <v/>
      </c>
      <c r="H2016" t="str">
        <f t="shared" si="38"/>
        <v>SOCIAL SECURITY TAXES</v>
      </c>
    </row>
    <row r="2017" spans="5:8" x14ac:dyDescent="0.25">
      <c r="E2017" t="str">
        <f>""</f>
        <v/>
      </c>
      <c r="F2017" t="str">
        <f>""</f>
        <v/>
      </c>
      <c r="H2017" t="str">
        <f t="shared" ref="H2017:H2041" si="39">"SOCIAL SECURITY TAXES"</f>
        <v>SOCIAL SECURITY TAXES</v>
      </c>
    </row>
    <row r="2018" spans="5:8" x14ac:dyDescent="0.25">
      <c r="E2018" t="str">
        <f>""</f>
        <v/>
      </c>
      <c r="F2018" t="str">
        <f>""</f>
        <v/>
      </c>
      <c r="H2018" t="str">
        <f t="shared" si="39"/>
        <v>SOCIAL SECURITY TAXES</v>
      </c>
    </row>
    <row r="2019" spans="5:8" x14ac:dyDescent="0.25">
      <c r="E2019" t="str">
        <f>""</f>
        <v/>
      </c>
      <c r="F2019" t="str">
        <f>""</f>
        <v/>
      </c>
      <c r="H2019" t="str">
        <f t="shared" si="39"/>
        <v>SOCIAL SECURITY TAXES</v>
      </c>
    </row>
    <row r="2020" spans="5:8" x14ac:dyDescent="0.25">
      <c r="E2020" t="str">
        <f>""</f>
        <v/>
      </c>
      <c r="F2020" t="str">
        <f>""</f>
        <v/>
      </c>
      <c r="H2020" t="str">
        <f t="shared" si="39"/>
        <v>SOCIAL SECURITY TAXES</v>
      </c>
    </row>
    <row r="2021" spans="5:8" x14ac:dyDescent="0.25">
      <c r="E2021" t="str">
        <f>""</f>
        <v/>
      </c>
      <c r="F2021" t="str">
        <f>""</f>
        <v/>
      </c>
      <c r="H2021" t="str">
        <f t="shared" si="39"/>
        <v>SOCIAL SECURITY TAXES</v>
      </c>
    </row>
    <row r="2022" spans="5:8" x14ac:dyDescent="0.25">
      <c r="E2022" t="str">
        <f>""</f>
        <v/>
      </c>
      <c r="F2022" t="str">
        <f>""</f>
        <v/>
      </c>
      <c r="H2022" t="str">
        <f t="shared" si="39"/>
        <v>SOCIAL SECURITY TAXES</v>
      </c>
    </row>
    <row r="2023" spans="5:8" x14ac:dyDescent="0.25">
      <c r="E2023" t="str">
        <f>""</f>
        <v/>
      </c>
      <c r="F2023" t="str">
        <f>""</f>
        <v/>
      </c>
      <c r="H2023" t="str">
        <f t="shared" si="39"/>
        <v>SOCIAL SECURITY TAXES</v>
      </c>
    </row>
    <row r="2024" spans="5:8" x14ac:dyDescent="0.25">
      <c r="E2024" t="str">
        <f>""</f>
        <v/>
      </c>
      <c r="F2024" t="str">
        <f>""</f>
        <v/>
      </c>
      <c r="H2024" t="str">
        <f t="shared" si="39"/>
        <v>SOCIAL SECURITY TAXES</v>
      </c>
    </row>
    <row r="2025" spans="5:8" x14ac:dyDescent="0.25">
      <c r="E2025" t="str">
        <f>""</f>
        <v/>
      </c>
      <c r="F2025" t="str">
        <f>""</f>
        <v/>
      </c>
      <c r="H2025" t="str">
        <f t="shared" si="39"/>
        <v>SOCIAL SECURITY TAXES</v>
      </c>
    </row>
    <row r="2026" spans="5:8" x14ac:dyDescent="0.25">
      <c r="E2026" t="str">
        <f>""</f>
        <v/>
      </c>
      <c r="F2026" t="str">
        <f>""</f>
        <v/>
      </c>
      <c r="H2026" t="str">
        <f t="shared" si="39"/>
        <v>SOCIAL SECURITY TAXES</v>
      </c>
    </row>
    <row r="2027" spans="5:8" x14ac:dyDescent="0.25">
      <c r="E2027" t="str">
        <f>""</f>
        <v/>
      </c>
      <c r="F2027" t="str">
        <f>""</f>
        <v/>
      </c>
      <c r="H2027" t="str">
        <f t="shared" si="39"/>
        <v>SOCIAL SECURITY TAXES</v>
      </c>
    </row>
    <row r="2028" spans="5:8" x14ac:dyDescent="0.25">
      <c r="E2028" t="str">
        <f>""</f>
        <v/>
      </c>
      <c r="F2028" t="str">
        <f>""</f>
        <v/>
      </c>
      <c r="H2028" t="str">
        <f t="shared" si="39"/>
        <v>SOCIAL SECURITY TAXES</v>
      </c>
    </row>
    <row r="2029" spans="5:8" x14ac:dyDescent="0.25">
      <c r="E2029" t="str">
        <f>""</f>
        <v/>
      </c>
      <c r="F2029" t="str">
        <f>""</f>
        <v/>
      </c>
      <c r="H2029" t="str">
        <f t="shared" si="39"/>
        <v>SOCIAL SECURITY TAXES</v>
      </c>
    </row>
    <row r="2030" spans="5:8" x14ac:dyDescent="0.25">
      <c r="E2030" t="str">
        <f>""</f>
        <v/>
      </c>
      <c r="F2030" t="str">
        <f>""</f>
        <v/>
      </c>
      <c r="H2030" t="str">
        <f t="shared" si="39"/>
        <v>SOCIAL SECURITY TAXES</v>
      </c>
    </row>
    <row r="2031" spans="5:8" x14ac:dyDescent="0.25">
      <c r="E2031" t="str">
        <f>""</f>
        <v/>
      </c>
      <c r="F2031" t="str">
        <f>""</f>
        <v/>
      </c>
      <c r="H2031" t="str">
        <f t="shared" si="39"/>
        <v>SOCIAL SECURITY TAXES</v>
      </c>
    </row>
    <row r="2032" spans="5:8" x14ac:dyDescent="0.25">
      <c r="E2032" t="str">
        <f>""</f>
        <v/>
      </c>
      <c r="F2032" t="str">
        <f>""</f>
        <v/>
      </c>
      <c r="H2032" t="str">
        <f t="shared" si="39"/>
        <v>SOCIAL SECURITY TAXES</v>
      </c>
    </row>
    <row r="2033" spans="5:8" x14ac:dyDescent="0.25">
      <c r="E2033" t="str">
        <f>""</f>
        <v/>
      </c>
      <c r="F2033" t="str">
        <f>""</f>
        <v/>
      </c>
      <c r="H2033" t="str">
        <f t="shared" si="39"/>
        <v>SOCIAL SECURITY TAXES</v>
      </c>
    </row>
    <row r="2034" spans="5:8" x14ac:dyDescent="0.25">
      <c r="E2034" t="str">
        <f>""</f>
        <v/>
      </c>
      <c r="F2034" t="str">
        <f>""</f>
        <v/>
      </c>
      <c r="H2034" t="str">
        <f t="shared" si="39"/>
        <v>SOCIAL SECURITY TAXES</v>
      </c>
    </row>
    <row r="2035" spans="5:8" x14ac:dyDescent="0.25">
      <c r="E2035" t="str">
        <f>""</f>
        <v/>
      </c>
      <c r="F2035" t="str">
        <f>""</f>
        <v/>
      </c>
      <c r="H2035" t="str">
        <f t="shared" si="39"/>
        <v>SOCIAL SECURITY TAXES</v>
      </c>
    </row>
    <row r="2036" spans="5:8" x14ac:dyDescent="0.25">
      <c r="E2036" t="str">
        <f>""</f>
        <v/>
      </c>
      <c r="F2036" t="str">
        <f>""</f>
        <v/>
      </c>
      <c r="H2036" t="str">
        <f t="shared" si="39"/>
        <v>SOCIAL SECURITY TAXES</v>
      </c>
    </row>
    <row r="2037" spans="5:8" x14ac:dyDescent="0.25">
      <c r="E2037" t="str">
        <f>""</f>
        <v/>
      </c>
      <c r="F2037" t="str">
        <f>""</f>
        <v/>
      </c>
      <c r="H2037" t="str">
        <f t="shared" si="39"/>
        <v>SOCIAL SECURITY TAXES</v>
      </c>
    </row>
    <row r="2038" spans="5:8" x14ac:dyDescent="0.25">
      <c r="E2038" t="str">
        <f>"T3 202001084582"</f>
        <v>T3 202001084582</v>
      </c>
      <c r="F2038" t="str">
        <f>"SOCIAL SECURITY TAXES"</f>
        <v>SOCIAL SECURITY TAXES</v>
      </c>
      <c r="G2038" s="2">
        <v>4417.34</v>
      </c>
      <c r="H2038" t="str">
        <f t="shared" si="39"/>
        <v>SOCIAL SECURITY TAXES</v>
      </c>
    </row>
    <row r="2039" spans="5:8" x14ac:dyDescent="0.25">
      <c r="E2039" t="str">
        <f>""</f>
        <v/>
      </c>
      <c r="F2039" t="str">
        <f>""</f>
        <v/>
      </c>
      <c r="H2039" t="str">
        <f t="shared" si="39"/>
        <v>SOCIAL SECURITY TAXES</v>
      </c>
    </row>
    <row r="2040" spans="5:8" x14ac:dyDescent="0.25">
      <c r="E2040" t="str">
        <f>"T3 202001084583"</f>
        <v>T3 202001084583</v>
      </c>
      <c r="F2040" t="str">
        <f>"SOCIAL SECURITY TAXES"</f>
        <v>SOCIAL SECURITY TAXES</v>
      </c>
      <c r="G2040" s="2">
        <v>5787.68</v>
      </c>
      <c r="H2040" t="str">
        <f t="shared" si="39"/>
        <v>SOCIAL SECURITY TAXES</v>
      </c>
    </row>
    <row r="2041" spans="5:8" x14ac:dyDescent="0.25">
      <c r="E2041" t="str">
        <f>""</f>
        <v/>
      </c>
      <c r="F2041" t="str">
        <f>""</f>
        <v/>
      </c>
      <c r="H2041" t="str">
        <f t="shared" si="39"/>
        <v>SOCIAL SECURITY TAXES</v>
      </c>
    </row>
    <row r="2042" spans="5:8" x14ac:dyDescent="0.25">
      <c r="E2042" t="str">
        <f>"T4 202001084581"</f>
        <v>T4 202001084581</v>
      </c>
      <c r="F2042" t="str">
        <f>"MEDICARE TAXES"</f>
        <v>MEDICARE TAXES</v>
      </c>
      <c r="G2042" s="2">
        <v>27084.3</v>
      </c>
      <c r="H2042" t="str">
        <f t="shared" ref="H2042:H2073" si="40">"MEDICARE TAXES"</f>
        <v>MEDICARE TAXES</v>
      </c>
    </row>
    <row r="2043" spans="5:8" x14ac:dyDescent="0.25">
      <c r="E2043" t="str">
        <f>""</f>
        <v/>
      </c>
      <c r="F2043" t="str">
        <f>""</f>
        <v/>
      </c>
      <c r="H2043" t="str">
        <f t="shared" si="40"/>
        <v>MEDICARE TAXES</v>
      </c>
    </row>
    <row r="2044" spans="5:8" x14ac:dyDescent="0.25">
      <c r="E2044" t="str">
        <f>""</f>
        <v/>
      </c>
      <c r="F2044" t="str">
        <f>""</f>
        <v/>
      </c>
      <c r="H2044" t="str">
        <f t="shared" si="40"/>
        <v>MEDICARE TAXES</v>
      </c>
    </row>
    <row r="2045" spans="5:8" x14ac:dyDescent="0.25">
      <c r="E2045" t="str">
        <f>""</f>
        <v/>
      </c>
      <c r="F2045" t="str">
        <f>""</f>
        <v/>
      </c>
      <c r="H2045" t="str">
        <f t="shared" si="40"/>
        <v>MEDICARE TAXES</v>
      </c>
    </row>
    <row r="2046" spans="5:8" x14ac:dyDescent="0.25">
      <c r="E2046" t="str">
        <f>""</f>
        <v/>
      </c>
      <c r="F2046" t="str">
        <f>""</f>
        <v/>
      </c>
      <c r="H2046" t="str">
        <f t="shared" si="40"/>
        <v>MEDICARE TAXES</v>
      </c>
    </row>
    <row r="2047" spans="5:8" x14ac:dyDescent="0.25">
      <c r="E2047" t="str">
        <f>""</f>
        <v/>
      </c>
      <c r="F2047" t="str">
        <f>""</f>
        <v/>
      </c>
      <c r="H2047" t="str">
        <f t="shared" si="40"/>
        <v>MEDICARE TAXES</v>
      </c>
    </row>
    <row r="2048" spans="5:8" x14ac:dyDescent="0.25">
      <c r="E2048" t="str">
        <f>""</f>
        <v/>
      </c>
      <c r="F2048" t="str">
        <f>""</f>
        <v/>
      </c>
      <c r="H2048" t="str">
        <f t="shared" si="40"/>
        <v>MEDICARE TAXES</v>
      </c>
    </row>
    <row r="2049" spans="5:8" x14ac:dyDescent="0.25">
      <c r="E2049" t="str">
        <f>""</f>
        <v/>
      </c>
      <c r="F2049" t="str">
        <f>""</f>
        <v/>
      </c>
      <c r="H2049" t="str">
        <f t="shared" si="40"/>
        <v>MEDICARE TAXES</v>
      </c>
    </row>
    <row r="2050" spans="5:8" x14ac:dyDescent="0.25">
      <c r="E2050" t="str">
        <f>""</f>
        <v/>
      </c>
      <c r="F2050" t="str">
        <f>""</f>
        <v/>
      </c>
      <c r="H2050" t="str">
        <f t="shared" si="40"/>
        <v>MEDICARE TAXES</v>
      </c>
    </row>
    <row r="2051" spans="5:8" x14ac:dyDescent="0.25">
      <c r="E2051" t="str">
        <f>""</f>
        <v/>
      </c>
      <c r="F2051" t="str">
        <f>""</f>
        <v/>
      </c>
      <c r="H2051" t="str">
        <f t="shared" si="40"/>
        <v>MEDICARE TAXES</v>
      </c>
    </row>
    <row r="2052" spans="5:8" x14ac:dyDescent="0.25">
      <c r="E2052" t="str">
        <f>""</f>
        <v/>
      </c>
      <c r="F2052" t="str">
        <f>""</f>
        <v/>
      </c>
      <c r="H2052" t="str">
        <f t="shared" si="40"/>
        <v>MEDICARE TAXES</v>
      </c>
    </row>
    <row r="2053" spans="5:8" x14ac:dyDescent="0.25">
      <c r="E2053" t="str">
        <f>""</f>
        <v/>
      </c>
      <c r="F2053" t="str">
        <f>""</f>
        <v/>
      </c>
      <c r="H2053" t="str">
        <f t="shared" si="40"/>
        <v>MEDICARE TAXES</v>
      </c>
    </row>
    <row r="2054" spans="5:8" x14ac:dyDescent="0.25">
      <c r="E2054" t="str">
        <f>""</f>
        <v/>
      </c>
      <c r="F2054" t="str">
        <f>""</f>
        <v/>
      </c>
      <c r="H2054" t="str">
        <f t="shared" si="40"/>
        <v>MEDICARE TAXES</v>
      </c>
    </row>
    <row r="2055" spans="5:8" x14ac:dyDescent="0.25">
      <c r="E2055" t="str">
        <f>""</f>
        <v/>
      </c>
      <c r="F2055" t="str">
        <f>""</f>
        <v/>
      </c>
      <c r="H2055" t="str">
        <f t="shared" si="40"/>
        <v>MEDICARE TAXES</v>
      </c>
    </row>
    <row r="2056" spans="5:8" x14ac:dyDescent="0.25">
      <c r="E2056" t="str">
        <f>""</f>
        <v/>
      </c>
      <c r="F2056" t="str">
        <f>""</f>
        <v/>
      </c>
      <c r="H2056" t="str">
        <f t="shared" si="40"/>
        <v>MEDICARE TAXES</v>
      </c>
    </row>
    <row r="2057" spans="5:8" x14ac:dyDescent="0.25">
      <c r="E2057" t="str">
        <f>""</f>
        <v/>
      </c>
      <c r="F2057" t="str">
        <f>""</f>
        <v/>
      </c>
      <c r="H2057" t="str">
        <f t="shared" si="40"/>
        <v>MEDICARE TAXES</v>
      </c>
    </row>
    <row r="2058" spans="5:8" x14ac:dyDescent="0.25">
      <c r="E2058" t="str">
        <f>""</f>
        <v/>
      </c>
      <c r="F2058" t="str">
        <f>""</f>
        <v/>
      </c>
      <c r="H2058" t="str">
        <f t="shared" si="40"/>
        <v>MEDICARE TAXES</v>
      </c>
    </row>
    <row r="2059" spans="5:8" x14ac:dyDescent="0.25">
      <c r="E2059" t="str">
        <f>""</f>
        <v/>
      </c>
      <c r="F2059" t="str">
        <f>""</f>
        <v/>
      </c>
      <c r="H2059" t="str">
        <f t="shared" si="40"/>
        <v>MEDICARE TAXES</v>
      </c>
    </row>
    <row r="2060" spans="5:8" x14ac:dyDescent="0.25">
      <c r="E2060" t="str">
        <f>""</f>
        <v/>
      </c>
      <c r="F2060" t="str">
        <f>""</f>
        <v/>
      </c>
      <c r="H2060" t="str">
        <f t="shared" si="40"/>
        <v>MEDICARE TAXES</v>
      </c>
    </row>
    <row r="2061" spans="5:8" x14ac:dyDescent="0.25">
      <c r="E2061" t="str">
        <f>""</f>
        <v/>
      </c>
      <c r="F2061" t="str">
        <f>""</f>
        <v/>
      </c>
      <c r="H2061" t="str">
        <f t="shared" si="40"/>
        <v>MEDICARE TAXES</v>
      </c>
    </row>
    <row r="2062" spans="5:8" x14ac:dyDescent="0.25">
      <c r="E2062" t="str">
        <f>""</f>
        <v/>
      </c>
      <c r="F2062" t="str">
        <f>""</f>
        <v/>
      </c>
      <c r="H2062" t="str">
        <f t="shared" si="40"/>
        <v>MEDICARE TAXES</v>
      </c>
    </row>
    <row r="2063" spans="5:8" x14ac:dyDescent="0.25">
      <c r="E2063" t="str">
        <f>""</f>
        <v/>
      </c>
      <c r="F2063" t="str">
        <f>""</f>
        <v/>
      </c>
      <c r="H2063" t="str">
        <f t="shared" si="40"/>
        <v>MEDICARE TAXES</v>
      </c>
    </row>
    <row r="2064" spans="5:8" x14ac:dyDescent="0.25">
      <c r="E2064" t="str">
        <f>""</f>
        <v/>
      </c>
      <c r="F2064" t="str">
        <f>""</f>
        <v/>
      </c>
      <c r="H2064" t="str">
        <f t="shared" si="40"/>
        <v>MEDICARE TAXES</v>
      </c>
    </row>
    <row r="2065" spans="5:8" x14ac:dyDescent="0.25">
      <c r="E2065" t="str">
        <f>""</f>
        <v/>
      </c>
      <c r="F2065" t="str">
        <f>""</f>
        <v/>
      </c>
      <c r="H2065" t="str">
        <f t="shared" si="40"/>
        <v>MEDICARE TAXES</v>
      </c>
    </row>
    <row r="2066" spans="5:8" x14ac:dyDescent="0.25">
      <c r="E2066" t="str">
        <f>""</f>
        <v/>
      </c>
      <c r="F2066" t="str">
        <f>""</f>
        <v/>
      </c>
      <c r="H2066" t="str">
        <f t="shared" si="40"/>
        <v>MEDICARE TAXES</v>
      </c>
    </row>
    <row r="2067" spans="5:8" x14ac:dyDescent="0.25">
      <c r="E2067" t="str">
        <f>""</f>
        <v/>
      </c>
      <c r="F2067" t="str">
        <f>""</f>
        <v/>
      </c>
      <c r="H2067" t="str">
        <f t="shared" si="40"/>
        <v>MEDICARE TAXES</v>
      </c>
    </row>
    <row r="2068" spans="5:8" x14ac:dyDescent="0.25">
      <c r="E2068" t="str">
        <f>""</f>
        <v/>
      </c>
      <c r="F2068" t="str">
        <f>""</f>
        <v/>
      </c>
      <c r="H2068" t="str">
        <f t="shared" si="40"/>
        <v>MEDICARE TAXES</v>
      </c>
    </row>
    <row r="2069" spans="5:8" x14ac:dyDescent="0.25">
      <c r="E2069" t="str">
        <f>""</f>
        <v/>
      </c>
      <c r="F2069" t="str">
        <f>""</f>
        <v/>
      </c>
      <c r="H2069" t="str">
        <f t="shared" si="40"/>
        <v>MEDICARE TAXES</v>
      </c>
    </row>
    <row r="2070" spans="5:8" x14ac:dyDescent="0.25">
      <c r="E2070" t="str">
        <f>""</f>
        <v/>
      </c>
      <c r="F2070" t="str">
        <f>""</f>
        <v/>
      </c>
      <c r="H2070" t="str">
        <f t="shared" si="40"/>
        <v>MEDICARE TAXES</v>
      </c>
    </row>
    <row r="2071" spans="5:8" x14ac:dyDescent="0.25">
      <c r="E2071" t="str">
        <f>""</f>
        <v/>
      </c>
      <c r="F2071" t="str">
        <f>""</f>
        <v/>
      </c>
      <c r="H2071" t="str">
        <f t="shared" si="40"/>
        <v>MEDICARE TAXES</v>
      </c>
    </row>
    <row r="2072" spans="5:8" x14ac:dyDescent="0.25">
      <c r="E2072" t="str">
        <f>""</f>
        <v/>
      </c>
      <c r="F2072" t="str">
        <f>""</f>
        <v/>
      </c>
      <c r="H2072" t="str">
        <f t="shared" si="40"/>
        <v>MEDICARE TAXES</v>
      </c>
    </row>
    <row r="2073" spans="5:8" x14ac:dyDescent="0.25">
      <c r="E2073" t="str">
        <f>""</f>
        <v/>
      </c>
      <c r="F2073" t="str">
        <f>""</f>
        <v/>
      </c>
      <c r="H2073" t="str">
        <f t="shared" si="40"/>
        <v>MEDICARE TAXES</v>
      </c>
    </row>
    <row r="2074" spans="5:8" x14ac:dyDescent="0.25">
      <c r="E2074" t="str">
        <f>""</f>
        <v/>
      </c>
      <c r="F2074" t="str">
        <f>""</f>
        <v/>
      </c>
      <c r="H2074" t="str">
        <f t="shared" ref="H2074:H2098" si="41">"MEDICARE TAXES"</f>
        <v>MEDICARE TAXES</v>
      </c>
    </row>
    <row r="2075" spans="5:8" x14ac:dyDescent="0.25">
      <c r="E2075" t="str">
        <f>""</f>
        <v/>
      </c>
      <c r="F2075" t="str">
        <f>""</f>
        <v/>
      </c>
      <c r="H2075" t="str">
        <f t="shared" si="41"/>
        <v>MEDICARE TAXES</v>
      </c>
    </row>
    <row r="2076" spans="5:8" x14ac:dyDescent="0.25">
      <c r="E2076" t="str">
        <f>""</f>
        <v/>
      </c>
      <c r="F2076" t="str">
        <f>""</f>
        <v/>
      </c>
      <c r="H2076" t="str">
        <f t="shared" si="41"/>
        <v>MEDICARE TAXES</v>
      </c>
    </row>
    <row r="2077" spans="5:8" x14ac:dyDescent="0.25">
      <c r="E2077" t="str">
        <f>""</f>
        <v/>
      </c>
      <c r="F2077" t="str">
        <f>""</f>
        <v/>
      </c>
      <c r="H2077" t="str">
        <f t="shared" si="41"/>
        <v>MEDICARE TAXES</v>
      </c>
    </row>
    <row r="2078" spans="5:8" x14ac:dyDescent="0.25">
      <c r="E2078" t="str">
        <f>""</f>
        <v/>
      </c>
      <c r="F2078" t="str">
        <f>""</f>
        <v/>
      </c>
      <c r="H2078" t="str">
        <f t="shared" si="41"/>
        <v>MEDICARE TAXES</v>
      </c>
    </row>
    <row r="2079" spans="5:8" x14ac:dyDescent="0.25">
      <c r="E2079" t="str">
        <f>""</f>
        <v/>
      </c>
      <c r="F2079" t="str">
        <f>""</f>
        <v/>
      </c>
      <c r="H2079" t="str">
        <f t="shared" si="41"/>
        <v>MEDICARE TAXES</v>
      </c>
    </row>
    <row r="2080" spans="5:8" x14ac:dyDescent="0.25">
      <c r="E2080" t="str">
        <f>""</f>
        <v/>
      </c>
      <c r="F2080" t="str">
        <f>""</f>
        <v/>
      </c>
      <c r="H2080" t="str">
        <f t="shared" si="41"/>
        <v>MEDICARE TAXES</v>
      </c>
    </row>
    <row r="2081" spans="5:8" x14ac:dyDescent="0.25">
      <c r="E2081" t="str">
        <f>""</f>
        <v/>
      </c>
      <c r="F2081" t="str">
        <f>""</f>
        <v/>
      </c>
      <c r="H2081" t="str">
        <f t="shared" si="41"/>
        <v>MEDICARE TAXES</v>
      </c>
    </row>
    <row r="2082" spans="5:8" x14ac:dyDescent="0.25">
      <c r="E2082" t="str">
        <f>""</f>
        <v/>
      </c>
      <c r="F2082" t="str">
        <f>""</f>
        <v/>
      </c>
      <c r="H2082" t="str">
        <f t="shared" si="41"/>
        <v>MEDICARE TAXES</v>
      </c>
    </row>
    <row r="2083" spans="5:8" x14ac:dyDescent="0.25">
      <c r="E2083" t="str">
        <f>""</f>
        <v/>
      </c>
      <c r="F2083" t="str">
        <f>""</f>
        <v/>
      </c>
      <c r="H2083" t="str">
        <f t="shared" si="41"/>
        <v>MEDICARE TAXES</v>
      </c>
    </row>
    <row r="2084" spans="5:8" x14ac:dyDescent="0.25">
      <c r="E2084" t="str">
        <f>""</f>
        <v/>
      </c>
      <c r="F2084" t="str">
        <f>""</f>
        <v/>
      </c>
      <c r="H2084" t="str">
        <f t="shared" si="41"/>
        <v>MEDICARE TAXES</v>
      </c>
    </row>
    <row r="2085" spans="5:8" x14ac:dyDescent="0.25">
      <c r="E2085" t="str">
        <f>""</f>
        <v/>
      </c>
      <c r="F2085" t="str">
        <f>""</f>
        <v/>
      </c>
      <c r="H2085" t="str">
        <f t="shared" si="41"/>
        <v>MEDICARE TAXES</v>
      </c>
    </row>
    <row r="2086" spans="5:8" x14ac:dyDescent="0.25">
      <c r="E2086" t="str">
        <f>""</f>
        <v/>
      </c>
      <c r="F2086" t="str">
        <f>""</f>
        <v/>
      </c>
      <c r="H2086" t="str">
        <f t="shared" si="41"/>
        <v>MEDICARE TAXES</v>
      </c>
    </row>
    <row r="2087" spans="5:8" x14ac:dyDescent="0.25">
      <c r="E2087" t="str">
        <f>""</f>
        <v/>
      </c>
      <c r="F2087" t="str">
        <f>""</f>
        <v/>
      </c>
      <c r="H2087" t="str">
        <f t="shared" si="41"/>
        <v>MEDICARE TAXES</v>
      </c>
    </row>
    <row r="2088" spans="5:8" x14ac:dyDescent="0.25">
      <c r="E2088" t="str">
        <f>""</f>
        <v/>
      </c>
      <c r="F2088" t="str">
        <f>""</f>
        <v/>
      </c>
      <c r="H2088" t="str">
        <f t="shared" si="41"/>
        <v>MEDICARE TAXES</v>
      </c>
    </row>
    <row r="2089" spans="5:8" x14ac:dyDescent="0.25">
      <c r="E2089" t="str">
        <f>""</f>
        <v/>
      </c>
      <c r="F2089" t="str">
        <f>""</f>
        <v/>
      </c>
      <c r="H2089" t="str">
        <f t="shared" si="41"/>
        <v>MEDICARE TAXES</v>
      </c>
    </row>
    <row r="2090" spans="5:8" x14ac:dyDescent="0.25">
      <c r="E2090" t="str">
        <f>""</f>
        <v/>
      </c>
      <c r="F2090" t="str">
        <f>""</f>
        <v/>
      </c>
      <c r="H2090" t="str">
        <f t="shared" si="41"/>
        <v>MEDICARE TAXES</v>
      </c>
    </row>
    <row r="2091" spans="5:8" x14ac:dyDescent="0.25">
      <c r="E2091" t="str">
        <f>""</f>
        <v/>
      </c>
      <c r="F2091" t="str">
        <f>""</f>
        <v/>
      </c>
      <c r="H2091" t="str">
        <f t="shared" si="41"/>
        <v>MEDICARE TAXES</v>
      </c>
    </row>
    <row r="2092" spans="5:8" x14ac:dyDescent="0.25">
      <c r="E2092" t="str">
        <f>""</f>
        <v/>
      </c>
      <c r="F2092" t="str">
        <f>""</f>
        <v/>
      </c>
      <c r="H2092" t="str">
        <f t="shared" si="41"/>
        <v>MEDICARE TAXES</v>
      </c>
    </row>
    <row r="2093" spans="5:8" x14ac:dyDescent="0.25">
      <c r="E2093" t="str">
        <f>""</f>
        <v/>
      </c>
      <c r="F2093" t="str">
        <f>""</f>
        <v/>
      </c>
      <c r="H2093" t="str">
        <f t="shared" si="41"/>
        <v>MEDICARE TAXES</v>
      </c>
    </row>
    <row r="2094" spans="5:8" x14ac:dyDescent="0.25">
      <c r="E2094" t="str">
        <f>""</f>
        <v/>
      </c>
      <c r="F2094" t="str">
        <f>""</f>
        <v/>
      </c>
      <c r="H2094" t="str">
        <f t="shared" si="41"/>
        <v>MEDICARE TAXES</v>
      </c>
    </row>
    <row r="2095" spans="5:8" x14ac:dyDescent="0.25">
      <c r="E2095" t="str">
        <f>"T4 202001084582"</f>
        <v>T4 202001084582</v>
      </c>
      <c r="F2095" t="str">
        <f>"MEDICARE TAXES"</f>
        <v>MEDICARE TAXES</v>
      </c>
      <c r="G2095" s="2">
        <v>1033.0999999999999</v>
      </c>
      <c r="H2095" t="str">
        <f t="shared" si="41"/>
        <v>MEDICARE TAXES</v>
      </c>
    </row>
    <row r="2096" spans="5:8" x14ac:dyDescent="0.25">
      <c r="E2096" t="str">
        <f>""</f>
        <v/>
      </c>
      <c r="F2096" t="str">
        <f>""</f>
        <v/>
      </c>
      <c r="H2096" t="str">
        <f t="shared" si="41"/>
        <v>MEDICARE TAXES</v>
      </c>
    </row>
    <row r="2097" spans="1:8" x14ac:dyDescent="0.25">
      <c r="E2097" t="str">
        <f>"T4 202001084583"</f>
        <v>T4 202001084583</v>
      </c>
      <c r="F2097" t="str">
        <f>"MEDICARE TAXES"</f>
        <v>MEDICARE TAXES</v>
      </c>
      <c r="G2097" s="2">
        <v>1353.54</v>
      </c>
      <c r="H2097" t="str">
        <f t="shared" si="41"/>
        <v>MEDICARE TAXES</v>
      </c>
    </row>
    <row r="2098" spans="1:8" x14ac:dyDescent="0.25">
      <c r="E2098" t="str">
        <f>""</f>
        <v/>
      </c>
      <c r="F2098" t="str">
        <f>""</f>
        <v/>
      </c>
      <c r="H2098" t="str">
        <f t="shared" si="41"/>
        <v>MEDICARE TAXES</v>
      </c>
    </row>
    <row r="2099" spans="1:8" x14ac:dyDescent="0.25">
      <c r="A2099" t="s">
        <v>457</v>
      </c>
      <c r="B2099">
        <v>368</v>
      </c>
      <c r="C2099" s="2">
        <v>247823.83</v>
      </c>
      <c r="D2099" s="1">
        <v>43854</v>
      </c>
      <c r="E2099" t="str">
        <f>"T1 202001224779"</f>
        <v>T1 202001224779</v>
      </c>
      <c r="F2099" t="str">
        <f>"FEDERAL WITHHOLDING"</f>
        <v>FEDERAL WITHHOLDING</v>
      </c>
      <c r="G2099" s="2">
        <v>83961.33</v>
      </c>
      <c r="H2099" t="str">
        <f>"FEDERAL WITHHOLDING"</f>
        <v>FEDERAL WITHHOLDING</v>
      </c>
    </row>
    <row r="2100" spans="1:8" x14ac:dyDescent="0.25">
      <c r="E2100" t="str">
        <f>"T1 202001224787"</f>
        <v>T1 202001224787</v>
      </c>
      <c r="F2100" t="str">
        <f>"FEDERAL WITHHOLDING"</f>
        <v>FEDERAL WITHHOLDING</v>
      </c>
      <c r="G2100" s="2">
        <v>3230.95</v>
      </c>
      <c r="H2100" t="str">
        <f>"FEDERAL WITHHOLDING"</f>
        <v>FEDERAL WITHHOLDING</v>
      </c>
    </row>
    <row r="2101" spans="1:8" x14ac:dyDescent="0.25">
      <c r="E2101" t="str">
        <f>"T1 202001224791"</f>
        <v>T1 202001224791</v>
      </c>
      <c r="F2101" t="str">
        <f>"FEDERAL WITHHOLDING"</f>
        <v>FEDERAL WITHHOLDING</v>
      </c>
      <c r="G2101" s="2">
        <v>3026.07</v>
      </c>
      <c r="H2101" t="str">
        <f>"FEDERAL WITHHOLDING"</f>
        <v>FEDERAL WITHHOLDING</v>
      </c>
    </row>
    <row r="2102" spans="1:8" x14ac:dyDescent="0.25">
      <c r="E2102" t="str">
        <f>"T3 202001224779"</f>
        <v>T3 202001224779</v>
      </c>
      <c r="F2102" t="str">
        <f>"SOCIAL SECURITY TAXES"</f>
        <v>SOCIAL SECURITY TAXES</v>
      </c>
      <c r="G2102" s="2">
        <v>118727.84</v>
      </c>
      <c r="H2102" t="str">
        <f t="shared" ref="H2102:H2133" si="42">"SOCIAL SECURITY TAXES"</f>
        <v>SOCIAL SECURITY TAXES</v>
      </c>
    </row>
    <row r="2103" spans="1:8" x14ac:dyDescent="0.25">
      <c r="E2103" t="str">
        <f>""</f>
        <v/>
      </c>
      <c r="F2103" t="str">
        <f>""</f>
        <v/>
      </c>
      <c r="H2103" t="str">
        <f t="shared" si="42"/>
        <v>SOCIAL SECURITY TAXES</v>
      </c>
    </row>
    <row r="2104" spans="1:8" x14ac:dyDescent="0.25">
      <c r="E2104" t="str">
        <f>""</f>
        <v/>
      </c>
      <c r="F2104" t="str">
        <f>""</f>
        <v/>
      </c>
      <c r="H2104" t="str">
        <f t="shared" si="42"/>
        <v>SOCIAL SECURITY TAXES</v>
      </c>
    </row>
    <row r="2105" spans="1:8" x14ac:dyDescent="0.25">
      <c r="E2105" t="str">
        <f>""</f>
        <v/>
      </c>
      <c r="F2105" t="str">
        <f>""</f>
        <v/>
      </c>
      <c r="H2105" t="str">
        <f t="shared" si="42"/>
        <v>SOCIAL SECURITY TAXES</v>
      </c>
    </row>
    <row r="2106" spans="1:8" x14ac:dyDescent="0.25">
      <c r="E2106" t="str">
        <f>""</f>
        <v/>
      </c>
      <c r="F2106" t="str">
        <f>""</f>
        <v/>
      </c>
      <c r="H2106" t="str">
        <f t="shared" si="42"/>
        <v>SOCIAL SECURITY TAXES</v>
      </c>
    </row>
    <row r="2107" spans="1:8" x14ac:dyDescent="0.25">
      <c r="E2107" t="str">
        <f>""</f>
        <v/>
      </c>
      <c r="F2107" t="str">
        <f>""</f>
        <v/>
      </c>
      <c r="H2107" t="str">
        <f t="shared" si="42"/>
        <v>SOCIAL SECURITY TAXES</v>
      </c>
    </row>
    <row r="2108" spans="1:8" x14ac:dyDescent="0.25">
      <c r="E2108" t="str">
        <f>""</f>
        <v/>
      </c>
      <c r="F2108" t="str">
        <f>""</f>
        <v/>
      </c>
      <c r="H2108" t="str">
        <f t="shared" si="42"/>
        <v>SOCIAL SECURITY TAXES</v>
      </c>
    </row>
    <row r="2109" spans="1:8" x14ac:dyDescent="0.25">
      <c r="E2109" t="str">
        <f>""</f>
        <v/>
      </c>
      <c r="F2109" t="str">
        <f>""</f>
        <v/>
      </c>
      <c r="H2109" t="str">
        <f t="shared" si="42"/>
        <v>SOCIAL SECURITY TAXES</v>
      </c>
    </row>
    <row r="2110" spans="1:8" x14ac:dyDescent="0.25">
      <c r="E2110" t="str">
        <f>""</f>
        <v/>
      </c>
      <c r="F2110" t="str">
        <f>""</f>
        <v/>
      </c>
      <c r="H2110" t="str">
        <f t="shared" si="42"/>
        <v>SOCIAL SECURITY TAXES</v>
      </c>
    </row>
    <row r="2111" spans="1:8" x14ac:dyDescent="0.25">
      <c r="E2111" t="str">
        <f>""</f>
        <v/>
      </c>
      <c r="F2111" t="str">
        <f>""</f>
        <v/>
      </c>
      <c r="H2111" t="str">
        <f t="shared" si="42"/>
        <v>SOCIAL SECURITY TAXES</v>
      </c>
    </row>
    <row r="2112" spans="1:8" x14ac:dyDescent="0.25">
      <c r="E2112" t="str">
        <f>""</f>
        <v/>
      </c>
      <c r="F2112" t="str">
        <f>""</f>
        <v/>
      </c>
      <c r="H2112" t="str">
        <f t="shared" si="42"/>
        <v>SOCIAL SECURITY TAXES</v>
      </c>
    </row>
    <row r="2113" spans="5:8" x14ac:dyDescent="0.25">
      <c r="E2113" t="str">
        <f>""</f>
        <v/>
      </c>
      <c r="F2113" t="str">
        <f>""</f>
        <v/>
      </c>
      <c r="H2113" t="str">
        <f t="shared" si="42"/>
        <v>SOCIAL SECURITY TAXES</v>
      </c>
    </row>
    <row r="2114" spans="5:8" x14ac:dyDescent="0.25">
      <c r="E2114" t="str">
        <f>""</f>
        <v/>
      </c>
      <c r="F2114" t="str">
        <f>""</f>
        <v/>
      </c>
      <c r="H2114" t="str">
        <f t="shared" si="42"/>
        <v>SOCIAL SECURITY TAXES</v>
      </c>
    </row>
    <row r="2115" spans="5:8" x14ac:dyDescent="0.25">
      <c r="E2115" t="str">
        <f>""</f>
        <v/>
      </c>
      <c r="F2115" t="str">
        <f>""</f>
        <v/>
      </c>
      <c r="H2115" t="str">
        <f t="shared" si="42"/>
        <v>SOCIAL SECURITY TAXES</v>
      </c>
    </row>
    <row r="2116" spans="5:8" x14ac:dyDescent="0.25">
      <c r="E2116" t="str">
        <f>""</f>
        <v/>
      </c>
      <c r="F2116" t="str">
        <f>""</f>
        <v/>
      </c>
      <c r="H2116" t="str">
        <f t="shared" si="42"/>
        <v>SOCIAL SECURITY TAXES</v>
      </c>
    </row>
    <row r="2117" spans="5:8" x14ac:dyDescent="0.25">
      <c r="E2117" t="str">
        <f>""</f>
        <v/>
      </c>
      <c r="F2117" t="str">
        <f>""</f>
        <v/>
      </c>
      <c r="H2117" t="str">
        <f t="shared" si="42"/>
        <v>SOCIAL SECURITY TAXES</v>
      </c>
    </row>
    <row r="2118" spans="5:8" x14ac:dyDescent="0.25">
      <c r="E2118" t="str">
        <f>""</f>
        <v/>
      </c>
      <c r="F2118" t="str">
        <f>""</f>
        <v/>
      </c>
      <c r="H2118" t="str">
        <f t="shared" si="42"/>
        <v>SOCIAL SECURITY TAXES</v>
      </c>
    </row>
    <row r="2119" spans="5:8" x14ac:dyDescent="0.25">
      <c r="E2119" t="str">
        <f>""</f>
        <v/>
      </c>
      <c r="F2119" t="str">
        <f>""</f>
        <v/>
      </c>
      <c r="H2119" t="str">
        <f t="shared" si="42"/>
        <v>SOCIAL SECURITY TAXES</v>
      </c>
    </row>
    <row r="2120" spans="5:8" x14ac:dyDescent="0.25">
      <c r="E2120" t="str">
        <f>""</f>
        <v/>
      </c>
      <c r="F2120" t="str">
        <f>""</f>
        <v/>
      </c>
      <c r="H2120" t="str">
        <f t="shared" si="42"/>
        <v>SOCIAL SECURITY TAXES</v>
      </c>
    </row>
    <row r="2121" spans="5:8" x14ac:dyDescent="0.25">
      <c r="E2121" t="str">
        <f>""</f>
        <v/>
      </c>
      <c r="F2121" t="str">
        <f>""</f>
        <v/>
      </c>
      <c r="H2121" t="str">
        <f t="shared" si="42"/>
        <v>SOCIAL SECURITY TAXES</v>
      </c>
    </row>
    <row r="2122" spans="5:8" x14ac:dyDescent="0.25">
      <c r="E2122" t="str">
        <f>""</f>
        <v/>
      </c>
      <c r="F2122" t="str">
        <f>""</f>
        <v/>
      </c>
      <c r="H2122" t="str">
        <f t="shared" si="42"/>
        <v>SOCIAL SECURITY TAXES</v>
      </c>
    </row>
    <row r="2123" spans="5:8" x14ac:dyDescent="0.25">
      <c r="E2123" t="str">
        <f>""</f>
        <v/>
      </c>
      <c r="F2123" t="str">
        <f>""</f>
        <v/>
      </c>
      <c r="H2123" t="str">
        <f t="shared" si="42"/>
        <v>SOCIAL SECURITY TAXES</v>
      </c>
    </row>
    <row r="2124" spans="5:8" x14ac:dyDescent="0.25">
      <c r="E2124" t="str">
        <f>""</f>
        <v/>
      </c>
      <c r="F2124" t="str">
        <f>""</f>
        <v/>
      </c>
      <c r="H2124" t="str">
        <f t="shared" si="42"/>
        <v>SOCIAL SECURITY TAXES</v>
      </c>
    </row>
    <row r="2125" spans="5:8" x14ac:dyDescent="0.25">
      <c r="E2125" t="str">
        <f>""</f>
        <v/>
      </c>
      <c r="F2125" t="str">
        <f>""</f>
        <v/>
      </c>
      <c r="H2125" t="str">
        <f t="shared" si="42"/>
        <v>SOCIAL SECURITY TAXES</v>
      </c>
    </row>
    <row r="2126" spans="5:8" x14ac:dyDescent="0.25">
      <c r="E2126" t="str">
        <f>""</f>
        <v/>
      </c>
      <c r="F2126" t="str">
        <f>""</f>
        <v/>
      </c>
      <c r="H2126" t="str">
        <f t="shared" si="42"/>
        <v>SOCIAL SECURITY TAXES</v>
      </c>
    </row>
    <row r="2127" spans="5:8" x14ac:dyDescent="0.25">
      <c r="E2127" t="str">
        <f>""</f>
        <v/>
      </c>
      <c r="F2127" t="str">
        <f>""</f>
        <v/>
      </c>
      <c r="H2127" t="str">
        <f t="shared" si="42"/>
        <v>SOCIAL SECURITY TAXES</v>
      </c>
    </row>
    <row r="2128" spans="5:8" x14ac:dyDescent="0.25">
      <c r="E2128" t="str">
        <f>""</f>
        <v/>
      </c>
      <c r="F2128" t="str">
        <f>""</f>
        <v/>
      </c>
      <c r="H2128" t="str">
        <f t="shared" si="42"/>
        <v>SOCIAL SECURITY TAXES</v>
      </c>
    </row>
    <row r="2129" spans="5:8" x14ac:dyDescent="0.25">
      <c r="E2129" t="str">
        <f>""</f>
        <v/>
      </c>
      <c r="F2129" t="str">
        <f>""</f>
        <v/>
      </c>
      <c r="H2129" t="str">
        <f t="shared" si="42"/>
        <v>SOCIAL SECURITY TAXES</v>
      </c>
    </row>
    <row r="2130" spans="5:8" x14ac:dyDescent="0.25">
      <c r="E2130" t="str">
        <f>""</f>
        <v/>
      </c>
      <c r="F2130" t="str">
        <f>""</f>
        <v/>
      </c>
      <c r="H2130" t="str">
        <f t="shared" si="42"/>
        <v>SOCIAL SECURITY TAXES</v>
      </c>
    </row>
    <row r="2131" spans="5:8" x14ac:dyDescent="0.25">
      <c r="E2131" t="str">
        <f>""</f>
        <v/>
      </c>
      <c r="F2131" t="str">
        <f>""</f>
        <v/>
      </c>
      <c r="H2131" t="str">
        <f t="shared" si="42"/>
        <v>SOCIAL SECURITY TAXES</v>
      </c>
    </row>
    <row r="2132" spans="5:8" x14ac:dyDescent="0.25">
      <c r="E2132" t="str">
        <f>""</f>
        <v/>
      </c>
      <c r="F2132" t="str">
        <f>""</f>
        <v/>
      </c>
      <c r="H2132" t="str">
        <f t="shared" si="42"/>
        <v>SOCIAL SECURITY TAXES</v>
      </c>
    </row>
    <row r="2133" spans="5:8" x14ac:dyDescent="0.25">
      <c r="E2133" t="str">
        <f>""</f>
        <v/>
      </c>
      <c r="F2133" t="str">
        <f>""</f>
        <v/>
      </c>
      <c r="H2133" t="str">
        <f t="shared" si="42"/>
        <v>SOCIAL SECURITY TAXES</v>
      </c>
    </row>
    <row r="2134" spans="5:8" x14ac:dyDescent="0.25">
      <c r="E2134" t="str">
        <f>""</f>
        <v/>
      </c>
      <c r="F2134" t="str">
        <f>""</f>
        <v/>
      </c>
      <c r="H2134" t="str">
        <f t="shared" ref="H2134:H2158" si="43">"SOCIAL SECURITY TAXES"</f>
        <v>SOCIAL SECURITY TAXES</v>
      </c>
    </row>
    <row r="2135" spans="5:8" x14ac:dyDescent="0.25">
      <c r="E2135" t="str">
        <f>""</f>
        <v/>
      </c>
      <c r="F2135" t="str">
        <f>""</f>
        <v/>
      </c>
      <c r="H2135" t="str">
        <f t="shared" si="43"/>
        <v>SOCIAL SECURITY TAXES</v>
      </c>
    </row>
    <row r="2136" spans="5:8" x14ac:dyDescent="0.25">
      <c r="E2136" t="str">
        <f>""</f>
        <v/>
      </c>
      <c r="F2136" t="str">
        <f>""</f>
        <v/>
      </c>
      <c r="H2136" t="str">
        <f t="shared" si="43"/>
        <v>SOCIAL SECURITY TAXES</v>
      </c>
    </row>
    <row r="2137" spans="5:8" x14ac:dyDescent="0.25">
      <c r="E2137" t="str">
        <f>""</f>
        <v/>
      </c>
      <c r="F2137" t="str">
        <f>""</f>
        <v/>
      </c>
      <c r="H2137" t="str">
        <f t="shared" si="43"/>
        <v>SOCIAL SECURITY TAXES</v>
      </c>
    </row>
    <row r="2138" spans="5:8" x14ac:dyDescent="0.25">
      <c r="E2138" t="str">
        <f>""</f>
        <v/>
      </c>
      <c r="F2138" t="str">
        <f>""</f>
        <v/>
      </c>
      <c r="H2138" t="str">
        <f t="shared" si="43"/>
        <v>SOCIAL SECURITY TAXES</v>
      </c>
    </row>
    <row r="2139" spans="5:8" x14ac:dyDescent="0.25">
      <c r="E2139" t="str">
        <f>""</f>
        <v/>
      </c>
      <c r="F2139" t="str">
        <f>""</f>
        <v/>
      </c>
      <c r="H2139" t="str">
        <f t="shared" si="43"/>
        <v>SOCIAL SECURITY TAXES</v>
      </c>
    </row>
    <row r="2140" spans="5:8" x14ac:dyDescent="0.25">
      <c r="E2140" t="str">
        <f>""</f>
        <v/>
      </c>
      <c r="F2140" t="str">
        <f>""</f>
        <v/>
      </c>
      <c r="H2140" t="str">
        <f t="shared" si="43"/>
        <v>SOCIAL SECURITY TAXES</v>
      </c>
    </row>
    <row r="2141" spans="5:8" x14ac:dyDescent="0.25">
      <c r="E2141" t="str">
        <f>""</f>
        <v/>
      </c>
      <c r="F2141" t="str">
        <f>""</f>
        <v/>
      </c>
      <c r="H2141" t="str">
        <f t="shared" si="43"/>
        <v>SOCIAL SECURITY TAXES</v>
      </c>
    </row>
    <row r="2142" spans="5:8" x14ac:dyDescent="0.25">
      <c r="E2142" t="str">
        <f>""</f>
        <v/>
      </c>
      <c r="F2142" t="str">
        <f>""</f>
        <v/>
      </c>
      <c r="H2142" t="str">
        <f t="shared" si="43"/>
        <v>SOCIAL SECURITY TAXES</v>
      </c>
    </row>
    <row r="2143" spans="5:8" x14ac:dyDescent="0.25">
      <c r="E2143" t="str">
        <f>""</f>
        <v/>
      </c>
      <c r="F2143" t="str">
        <f>""</f>
        <v/>
      </c>
      <c r="H2143" t="str">
        <f t="shared" si="43"/>
        <v>SOCIAL SECURITY TAXES</v>
      </c>
    </row>
    <row r="2144" spans="5:8" x14ac:dyDescent="0.25">
      <c r="E2144" t="str">
        <f>""</f>
        <v/>
      </c>
      <c r="F2144" t="str">
        <f>""</f>
        <v/>
      </c>
      <c r="H2144" t="str">
        <f t="shared" si="43"/>
        <v>SOCIAL SECURITY TAXES</v>
      </c>
    </row>
    <row r="2145" spans="5:8" x14ac:dyDescent="0.25">
      <c r="E2145" t="str">
        <f>""</f>
        <v/>
      </c>
      <c r="F2145" t="str">
        <f>""</f>
        <v/>
      </c>
      <c r="H2145" t="str">
        <f t="shared" si="43"/>
        <v>SOCIAL SECURITY TAXES</v>
      </c>
    </row>
    <row r="2146" spans="5:8" x14ac:dyDescent="0.25">
      <c r="E2146" t="str">
        <f>""</f>
        <v/>
      </c>
      <c r="F2146" t="str">
        <f>""</f>
        <v/>
      </c>
      <c r="H2146" t="str">
        <f t="shared" si="43"/>
        <v>SOCIAL SECURITY TAXES</v>
      </c>
    </row>
    <row r="2147" spans="5:8" x14ac:dyDescent="0.25">
      <c r="E2147" t="str">
        <f>""</f>
        <v/>
      </c>
      <c r="F2147" t="str">
        <f>""</f>
        <v/>
      </c>
      <c r="H2147" t="str">
        <f t="shared" si="43"/>
        <v>SOCIAL SECURITY TAXES</v>
      </c>
    </row>
    <row r="2148" spans="5:8" x14ac:dyDescent="0.25">
      <c r="E2148" t="str">
        <f>""</f>
        <v/>
      </c>
      <c r="F2148" t="str">
        <f>""</f>
        <v/>
      </c>
      <c r="H2148" t="str">
        <f t="shared" si="43"/>
        <v>SOCIAL SECURITY TAXES</v>
      </c>
    </row>
    <row r="2149" spans="5:8" x14ac:dyDescent="0.25">
      <c r="E2149" t="str">
        <f>""</f>
        <v/>
      </c>
      <c r="F2149" t="str">
        <f>""</f>
        <v/>
      </c>
      <c r="H2149" t="str">
        <f t="shared" si="43"/>
        <v>SOCIAL SECURITY TAXES</v>
      </c>
    </row>
    <row r="2150" spans="5:8" x14ac:dyDescent="0.25">
      <c r="E2150" t="str">
        <f>""</f>
        <v/>
      </c>
      <c r="F2150" t="str">
        <f>""</f>
        <v/>
      </c>
      <c r="H2150" t="str">
        <f t="shared" si="43"/>
        <v>SOCIAL SECURITY TAXES</v>
      </c>
    </row>
    <row r="2151" spans="5:8" x14ac:dyDescent="0.25">
      <c r="E2151" t="str">
        <f>""</f>
        <v/>
      </c>
      <c r="F2151" t="str">
        <f>""</f>
        <v/>
      </c>
      <c r="H2151" t="str">
        <f t="shared" si="43"/>
        <v>SOCIAL SECURITY TAXES</v>
      </c>
    </row>
    <row r="2152" spans="5:8" x14ac:dyDescent="0.25">
      <c r="E2152" t="str">
        <f>""</f>
        <v/>
      </c>
      <c r="F2152" t="str">
        <f>""</f>
        <v/>
      </c>
      <c r="H2152" t="str">
        <f t="shared" si="43"/>
        <v>SOCIAL SECURITY TAXES</v>
      </c>
    </row>
    <row r="2153" spans="5:8" x14ac:dyDescent="0.25">
      <c r="E2153" t="str">
        <f>""</f>
        <v/>
      </c>
      <c r="F2153" t="str">
        <f>""</f>
        <v/>
      </c>
      <c r="H2153" t="str">
        <f t="shared" si="43"/>
        <v>SOCIAL SECURITY TAXES</v>
      </c>
    </row>
    <row r="2154" spans="5:8" x14ac:dyDescent="0.25">
      <c r="E2154" t="str">
        <f>""</f>
        <v/>
      </c>
      <c r="F2154" t="str">
        <f>""</f>
        <v/>
      </c>
      <c r="H2154" t="str">
        <f t="shared" si="43"/>
        <v>SOCIAL SECURITY TAXES</v>
      </c>
    </row>
    <row r="2155" spans="5:8" x14ac:dyDescent="0.25">
      <c r="E2155" t="str">
        <f>"T3 202001224787"</f>
        <v>T3 202001224787</v>
      </c>
      <c r="F2155" t="str">
        <f>"SOCIAL SECURITY TAXES"</f>
        <v>SOCIAL SECURITY TAXES</v>
      </c>
      <c r="G2155" s="2">
        <v>4427.04</v>
      </c>
      <c r="H2155" t="str">
        <f t="shared" si="43"/>
        <v>SOCIAL SECURITY TAXES</v>
      </c>
    </row>
    <row r="2156" spans="5:8" x14ac:dyDescent="0.25">
      <c r="E2156" t="str">
        <f>""</f>
        <v/>
      </c>
      <c r="F2156" t="str">
        <f>""</f>
        <v/>
      </c>
      <c r="H2156" t="str">
        <f t="shared" si="43"/>
        <v>SOCIAL SECURITY TAXES</v>
      </c>
    </row>
    <row r="2157" spans="5:8" x14ac:dyDescent="0.25">
      <c r="E2157" t="str">
        <f>"T3 202001224791"</f>
        <v>T3 202001224791</v>
      </c>
      <c r="F2157" t="str">
        <f>"SOCIAL SECURITY TAXES"</f>
        <v>SOCIAL SECURITY TAXES</v>
      </c>
      <c r="G2157" s="2">
        <v>4577.74</v>
      </c>
      <c r="H2157" t="str">
        <f t="shared" si="43"/>
        <v>SOCIAL SECURITY TAXES</v>
      </c>
    </row>
    <row r="2158" spans="5:8" x14ac:dyDescent="0.25">
      <c r="E2158" t="str">
        <f>""</f>
        <v/>
      </c>
      <c r="F2158" t="str">
        <f>""</f>
        <v/>
      </c>
      <c r="H2158" t="str">
        <f t="shared" si="43"/>
        <v>SOCIAL SECURITY TAXES</v>
      </c>
    </row>
    <row r="2159" spans="5:8" x14ac:dyDescent="0.25">
      <c r="E2159" t="str">
        <f>"T4 202001224779"</f>
        <v>T4 202001224779</v>
      </c>
      <c r="F2159" t="str">
        <f>"MEDICARE TAXES"</f>
        <v>MEDICARE TAXES</v>
      </c>
      <c r="G2159" s="2">
        <v>27766.959999999999</v>
      </c>
      <c r="H2159" t="str">
        <f t="shared" ref="H2159:H2190" si="44">"MEDICARE TAXES"</f>
        <v>MEDICARE TAXES</v>
      </c>
    </row>
    <row r="2160" spans="5:8" x14ac:dyDescent="0.25">
      <c r="E2160" t="str">
        <f>""</f>
        <v/>
      </c>
      <c r="F2160" t="str">
        <f>""</f>
        <v/>
      </c>
      <c r="H2160" t="str">
        <f t="shared" si="44"/>
        <v>MEDICARE TAXES</v>
      </c>
    </row>
    <row r="2161" spans="5:8" x14ac:dyDescent="0.25">
      <c r="E2161" t="str">
        <f>""</f>
        <v/>
      </c>
      <c r="F2161" t="str">
        <f>""</f>
        <v/>
      </c>
      <c r="H2161" t="str">
        <f t="shared" si="44"/>
        <v>MEDICARE TAXES</v>
      </c>
    </row>
    <row r="2162" spans="5:8" x14ac:dyDescent="0.25">
      <c r="E2162" t="str">
        <f>""</f>
        <v/>
      </c>
      <c r="F2162" t="str">
        <f>""</f>
        <v/>
      </c>
      <c r="H2162" t="str">
        <f t="shared" si="44"/>
        <v>MEDICARE TAXES</v>
      </c>
    </row>
    <row r="2163" spans="5:8" x14ac:dyDescent="0.25">
      <c r="E2163" t="str">
        <f>""</f>
        <v/>
      </c>
      <c r="F2163" t="str">
        <f>""</f>
        <v/>
      </c>
      <c r="H2163" t="str">
        <f t="shared" si="44"/>
        <v>MEDICARE TAXES</v>
      </c>
    </row>
    <row r="2164" spans="5:8" x14ac:dyDescent="0.25">
      <c r="E2164" t="str">
        <f>""</f>
        <v/>
      </c>
      <c r="F2164" t="str">
        <f>""</f>
        <v/>
      </c>
      <c r="H2164" t="str">
        <f t="shared" si="44"/>
        <v>MEDICARE TAXES</v>
      </c>
    </row>
    <row r="2165" spans="5:8" x14ac:dyDescent="0.25">
      <c r="E2165" t="str">
        <f>""</f>
        <v/>
      </c>
      <c r="F2165" t="str">
        <f>""</f>
        <v/>
      </c>
      <c r="H2165" t="str">
        <f t="shared" si="44"/>
        <v>MEDICARE TAXES</v>
      </c>
    </row>
    <row r="2166" spans="5:8" x14ac:dyDescent="0.25">
      <c r="E2166" t="str">
        <f>""</f>
        <v/>
      </c>
      <c r="F2166" t="str">
        <f>""</f>
        <v/>
      </c>
      <c r="H2166" t="str">
        <f t="shared" si="44"/>
        <v>MEDICARE TAXES</v>
      </c>
    </row>
    <row r="2167" spans="5:8" x14ac:dyDescent="0.25">
      <c r="E2167" t="str">
        <f>""</f>
        <v/>
      </c>
      <c r="F2167" t="str">
        <f>""</f>
        <v/>
      </c>
      <c r="H2167" t="str">
        <f t="shared" si="44"/>
        <v>MEDICARE TAXES</v>
      </c>
    </row>
    <row r="2168" spans="5:8" x14ac:dyDescent="0.25">
      <c r="E2168" t="str">
        <f>""</f>
        <v/>
      </c>
      <c r="F2168" t="str">
        <f>""</f>
        <v/>
      </c>
      <c r="H2168" t="str">
        <f t="shared" si="44"/>
        <v>MEDICARE TAXES</v>
      </c>
    </row>
    <row r="2169" spans="5:8" x14ac:dyDescent="0.25">
      <c r="E2169" t="str">
        <f>""</f>
        <v/>
      </c>
      <c r="F2169" t="str">
        <f>""</f>
        <v/>
      </c>
      <c r="H2169" t="str">
        <f t="shared" si="44"/>
        <v>MEDICARE TAXES</v>
      </c>
    </row>
    <row r="2170" spans="5:8" x14ac:dyDescent="0.25">
      <c r="E2170" t="str">
        <f>""</f>
        <v/>
      </c>
      <c r="F2170" t="str">
        <f>""</f>
        <v/>
      </c>
      <c r="H2170" t="str">
        <f t="shared" si="44"/>
        <v>MEDICARE TAXES</v>
      </c>
    </row>
    <row r="2171" spans="5:8" x14ac:dyDescent="0.25">
      <c r="E2171" t="str">
        <f>""</f>
        <v/>
      </c>
      <c r="F2171" t="str">
        <f>""</f>
        <v/>
      </c>
      <c r="H2171" t="str">
        <f t="shared" si="44"/>
        <v>MEDICARE TAXES</v>
      </c>
    </row>
    <row r="2172" spans="5:8" x14ac:dyDescent="0.25">
      <c r="E2172" t="str">
        <f>""</f>
        <v/>
      </c>
      <c r="F2172" t="str">
        <f>""</f>
        <v/>
      </c>
      <c r="H2172" t="str">
        <f t="shared" si="44"/>
        <v>MEDICARE TAXES</v>
      </c>
    </row>
    <row r="2173" spans="5:8" x14ac:dyDescent="0.25">
      <c r="E2173" t="str">
        <f>""</f>
        <v/>
      </c>
      <c r="F2173" t="str">
        <f>""</f>
        <v/>
      </c>
      <c r="H2173" t="str">
        <f t="shared" si="44"/>
        <v>MEDICARE TAXES</v>
      </c>
    </row>
    <row r="2174" spans="5:8" x14ac:dyDescent="0.25">
      <c r="E2174" t="str">
        <f>""</f>
        <v/>
      </c>
      <c r="F2174" t="str">
        <f>""</f>
        <v/>
      </c>
      <c r="H2174" t="str">
        <f t="shared" si="44"/>
        <v>MEDICARE TAXES</v>
      </c>
    </row>
    <row r="2175" spans="5:8" x14ac:dyDescent="0.25">
      <c r="E2175" t="str">
        <f>""</f>
        <v/>
      </c>
      <c r="F2175" t="str">
        <f>""</f>
        <v/>
      </c>
      <c r="H2175" t="str">
        <f t="shared" si="44"/>
        <v>MEDICARE TAXES</v>
      </c>
    </row>
    <row r="2176" spans="5:8" x14ac:dyDescent="0.25">
      <c r="E2176" t="str">
        <f>""</f>
        <v/>
      </c>
      <c r="F2176" t="str">
        <f>""</f>
        <v/>
      </c>
      <c r="H2176" t="str">
        <f t="shared" si="44"/>
        <v>MEDICARE TAXES</v>
      </c>
    </row>
    <row r="2177" spans="5:8" x14ac:dyDescent="0.25">
      <c r="E2177" t="str">
        <f>""</f>
        <v/>
      </c>
      <c r="F2177" t="str">
        <f>""</f>
        <v/>
      </c>
      <c r="H2177" t="str">
        <f t="shared" si="44"/>
        <v>MEDICARE TAXES</v>
      </c>
    </row>
    <row r="2178" spans="5:8" x14ac:dyDescent="0.25">
      <c r="E2178" t="str">
        <f>""</f>
        <v/>
      </c>
      <c r="F2178" t="str">
        <f>""</f>
        <v/>
      </c>
      <c r="H2178" t="str">
        <f t="shared" si="44"/>
        <v>MEDICARE TAXES</v>
      </c>
    </row>
    <row r="2179" spans="5:8" x14ac:dyDescent="0.25">
      <c r="E2179" t="str">
        <f>""</f>
        <v/>
      </c>
      <c r="F2179" t="str">
        <f>""</f>
        <v/>
      </c>
      <c r="H2179" t="str">
        <f t="shared" si="44"/>
        <v>MEDICARE TAXES</v>
      </c>
    </row>
    <row r="2180" spans="5:8" x14ac:dyDescent="0.25">
      <c r="E2180" t="str">
        <f>""</f>
        <v/>
      </c>
      <c r="F2180" t="str">
        <f>""</f>
        <v/>
      </c>
      <c r="H2180" t="str">
        <f t="shared" si="44"/>
        <v>MEDICARE TAXES</v>
      </c>
    </row>
    <row r="2181" spans="5:8" x14ac:dyDescent="0.25">
      <c r="E2181" t="str">
        <f>""</f>
        <v/>
      </c>
      <c r="F2181" t="str">
        <f>""</f>
        <v/>
      </c>
      <c r="H2181" t="str">
        <f t="shared" si="44"/>
        <v>MEDICARE TAXES</v>
      </c>
    </row>
    <row r="2182" spans="5:8" x14ac:dyDescent="0.25">
      <c r="E2182" t="str">
        <f>""</f>
        <v/>
      </c>
      <c r="F2182" t="str">
        <f>""</f>
        <v/>
      </c>
      <c r="H2182" t="str">
        <f t="shared" si="44"/>
        <v>MEDICARE TAXES</v>
      </c>
    </row>
    <row r="2183" spans="5:8" x14ac:dyDescent="0.25">
      <c r="E2183" t="str">
        <f>""</f>
        <v/>
      </c>
      <c r="F2183" t="str">
        <f>""</f>
        <v/>
      </c>
      <c r="H2183" t="str">
        <f t="shared" si="44"/>
        <v>MEDICARE TAXES</v>
      </c>
    </row>
    <row r="2184" spans="5:8" x14ac:dyDescent="0.25">
      <c r="E2184" t="str">
        <f>""</f>
        <v/>
      </c>
      <c r="F2184" t="str">
        <f>""</f>
        <v/>
      </c>
      <c r="H2184" t="str">
        <f t="shared" si="44"/>
        <v>MEDICARE TAXES</v>
      </c>
    </row>
    <row r="2185" spans="5:8" x14ac:dyDescent="0.25">
      <c r="E2185" t="str">
        <f>""</f>
        <v/>
      </c>
      <c r="F2185" t="str">
        <f>""</f>
        <v/>
      </c>
      <c r="H2185" t="str">
        <f t="shared" si="44"/>
        <v>MEDICARE TAXES</v>
      </c>
    </row>
    <row r="2186" spans="5:8" x14ac:dyDescent="0.25">
      <c r="E2186" t="str">
        <f>""</f>
        <v/>
      </c>
      <c r="F2186" t="str">
        <f>""</f>
        <v/>
      </c>
      <c r="H2186" t="str">
        <f t="shared" si="44"/>
        <v>MEDICARE TAXES</v>
      </c>
    </row>
    <row r="2187" spans="5:8" x14ac:dyDescent="0.25">
      <c r="E2187" t="str">
        <f>""</f>
        <v/>
      </c>
      <c r="F2187" t="str">
        <f>""</f>
        <v/>
      </c>
      <c r="H2187" t="str">
        <f t="shared" si="44"/>
        <v>MEDICARE TAXES</v>
      </c>
    </row>
    <row r="2188" spans="5:8" x14ac:dyDescent="0.25">
      <c r="E2188" t="str">
        <f>""</f>
        <v/>
      </c>
      <c r="F2188" t="str">
        <f>""</f>
        <v/>
      </c>
      <c r="H2188" t="str">
        <f t="shared" si="44"/>
        <v>MEDICARE TAXES</v>
      </c>
    </row>
    <row r="2189" spans="5:8" x14ac:dyDescent="0.25">
      <c r="E2189" t="str">
        <f>""</f>
        <v/>
      </c>
      <c r="F2189" t="str">
        <f>""</f>
        <v/>
      </c>
      <c r="H2189" t="str">
        <f t="shared" si="44"/>
        <v>MEDICARE TAXES</v>
      </c>
    </row>
    <row r="2190" spans="5:8" x14ac:dyDescent="0.25">
      <c r="E2190" t="str">
        <f>""</f>
        <v/>
      </c>
      <c r="F2190" t="str">
        <f>""</f>
        <v/>
      </c>
      <c r="H2190" t="str">
        <f t="shared" si="44"/>
        <v>MEDICARE TAXES</v>
      </c>
    </row>
    <row r="2191" spans="5:8" x14ac:dyDescent="0.25">
      <c r="E2191" t="str">
        <f>""</f>
        <v/>
      </c>
      <c r="F2191" t="str">
        <f>""</f>
        <v/>
      </c>
      <c r="H2191" t="str">
        <f t="shared" ref="H2191:H2215" si="45">"MEDICARE TAXES"</f>
        <v>MEDICARE TAXES</v>
      </c>
    </row>
    <row r="2192" spans="5:8" x14ac:dyDescent="0.25">
      <c r="E2192" t="str">
        <f>""</f>
        <v/>
      </c>
      <c r="F2192" t="str">
        <f>""</f>
        <v/>
      </c>
      <c r="H2192" t="str">
        <f t="shared" si="45"/>
        <v>MEDICARE TAXES</v>
      </c>
    </row>
    <row r="2193" spans="5:8" x14ac:dyDescent="0.25">
      <c r="E2193" t="str">
        <f>""</f>
        <v/>
      </c>
      <c r="F2193" t="str">
        <f>""</f>
        <v/>
      </c>
      <c r="H2193" t="str">
        <f t="shared" si="45"/>
        <v>MEDICARE TAXES</v>
      </c>
    </row>
    <row r="2194" spans="5:8" x14ac:dyDescent="0.25">
      <c r="E2194" t="str">
        <f>""</f>
        <v/>
      </c>
      <c r="F2194" t="str">
        <f>""</f>
        <v/>
      </c>
      <c r="H2194" t="str">
        <f t="shared" si="45"/>
        <v>MEDICARE TAXES</v>
      </c>
    </row>
    <row r="2195" spans="5:8" x14ac:dyDescent="0.25">
      <c r="E2195" t="str">
        <f>""</f>
        <v/>
      </c>
      <c r="F2195" t="str">
        <f>""</f>
        <v/>
      </c>
      <c r="H2195" t="str">
        <f t="shared" si="45"/>
        <v>MEDICARE TAXES</v>
      </c>
    </row>
    <row r="2196" spans="5:8" x14ac:dyDescent="0.25">
      <c r="E2196" t="str">
        <f>""</f>
        <v/>
      </c>
      <c r="F2196" t="str">
        <f>""</f>
        <v/>
      </c>
      <c r="H2196" t="str">
        <f t="shared" si="45"/>
        <v>MEDICARE TAXES</v>
      </c>
    </row>
    <row r="2197" spans="5:8" x14ac:dyDescent="0.25">
      <c r="E2197" t="str">
        <f>""</f>
        <v/>
      </c>
      <c r="F2197" t="str">
        <f>""</f>
        <v/>
      </c>
      <c r="H2197" t="str">
        <f t="shared" si="45"/>
        <v>MEDICARE TAXES</v>
      </c>
    </row>
    <row r="2198" spans="5:8" x14ac:dyDescent="0.25">
      <c r="E2198" t="str">
        <f>""</f>
        <v/>
      </c>
      <c r="F2198" t="str">
        <f>""</f>
        <v/>
      </c>
      <c r="H2198" t="str">
        <f t="shared" si="45"/>
        <v>MEDICARE TAXES</v>
      </c>
    </row>
    <row r="2199" spans="5:8" x14ac:dyDescent="0.25">
      <c r="E2199" t="str">
        <f>""</f>
        <v/>
      </c>
      <c r="F2199" t="str">
        <f>""</f>
        <v/>
      </c>
      <c r="H2199" t="str">
        <f t="shared" si="45"/>
        <v>MEDICARE TAXES</v>
      </c>
    </row>
    <row r="2200" spans="5:8" x14ac:dyDescent="0.25">
      <c r="E2200" t="str">
        <f>""</f>
        <v/>
      </c>
      <c r="F2200" t="str">
        <f>""</f>
        <v/>
      </c>
      <c r="H2200" t="str">
        <f t="shared" si="45"/>
        <v>MEDICARE TAXES</v>
      </c>
    </row>
    <row r="2201" spans="5:8" x14ac:dyDescent="0.25">
      <c r="E2201" t="str">
        <f>""</f>
        <v/>
      </c>
      <c r="F2201" t="str">
        <f>""</f>
        <v/>
      </c>
      <c r="H2201" t="str">
        <f t="shared" si="45"/>
        <v>MEDICARE TAXES</v>
      </c>
    </row>
    <row r="2202" spans="5:8" x14ac:dyDescent="0.25">
      <c r="E2202" t="str">
        <f>""</f>
        <v/>
      </c>
      <c r="F2202" t="str">
        <f>""</f>
        <v/>
      </c>
      <c r="H2202" t="str">
        <f t="shared" si="45"/>
        <v>MEDICARE TAXES</v>
      </c>
    </row>
    <row r="2203" spans="5:8" x14ac:dyDescent="0.25">
      <c r="E2203" t="str">
        <f>""</f>
        <v/>
      </c>
      <c r="F2203" t="str">
        <f>""</f>
        <v/>
      </c>
      <c r="H2203" t="str">
        <f t="shared" si="45"/>
        <v>MEDICARE TAXES</v>
      </c>
    </row>
    <row r="2204" spans="5:8" x14ac:dyDescent="0.25">
      <c r="E2204" t="str">
        <f>""</f>
        <v/>
      </c>
      <c r="F2204" t="str">
        <f>""</f>
        <v/>
      </c>
      <c r="H2204" t="str">
        <f t="shared" si="45"/>
        <v>MEDICARE TAXES</v>
      </c>
    </row>
    <row r="2205" spans="5:8" x14ac:dyDescent="0.25">
      <c r="E2205" t="str">
        <f>""</f>
        <v/>
      </c>
      <c r="F2205" t="str">
        <f>""</f>
        <v/>
      </c>
      <c r="H2205" t="str">
        <f t="shared" si="45"/>
        <v>MEDICARE TAXES</v>
      </c>
    </row>
    <row r="2206" spans="5:8" x14ac:dyDescent="0.25">
      <c r="E2206" t="str">
        <f>""</f>
        <v/>
      </c>
      <c r="F2206" t="str">
        <f>""</f>
        <v/>
      </c>
      <c r="H2206" t="str">
        <f t="shared" si="45"/>
        <v>MEDICARE TAXES</v>
      </c>
    </row>
    <row r="2207" spans="5:8" x14ac:dyDescent="0.25">
      <c r="E2207" t="str">
        <f>""</f>
        <v/>
      </c>
      <c r="F2207" t="str">
        <f>""</f>
        <v/>
      </c>
      <c r="H2207" t="str">
        <f t="shared" si="45"/>
        <v>MEDICARE TAXES</v>
      </c>
    </row>
    <row r="2208" spans="5:8" x14ac:dyDescent="0.25">
      <c r="E2208" t="str">
        <f>""</f>
        <v/>
      </c>
      <c r="F2208" t="str">
        <f>""</f>
        <v/>
      </c>
      <c r="H2208" t="str">
        <f t="shared" si="45"/>
        <v>MEDICARE TAXES</v>
      </c>
    </row>
    <row r="2209" spans="1:8" x14ac:dyDescent="0.25">
      <c r="E2209" t="str">
        <f>""</f>
        <v/>
      </c>
      <c r="F2209" t="str">
        <f>""</f>
        <v/>
      </c>
      <c r="H2209" t="str">
        <f t="shared" si="45"/>
        <v>MEDICARE TAXES</v>
      </c>
    </row>
    <row r="2210" spans="1:8" x14ac:dyDescent="0.25">
      <c r="E2210" t="str">
        <f>""</f>
        <v/>
      </c>
      <c r="F2210" t="str">
        <f>""</f>
        <v/>
      </c>
      <c r="H2210" t="str">
        <f t="shared" si="45"/>
        <v>MEDICARE TAXES</v>
      </c>
    </row>
    <row r="2211" spans="1:8" x14ac:dyDescent="0.25">
      <c r="E2211" t="str">
        <f>""</f>
        <v/>
      </c>
      <c r="F2211" t="str">
        <f>""</f>
        <v/>
      </c>
      <c r="H2211" t="str">
        <f t="shared" si="45"/>
        <v>MEDICARE TAXES</v>
      </c>
    </row>
    <row r="2212" spans="1:8" x14ac:dyDescent="0.25">
      <c r="E2212" t="str">
        <f>"T4 202001224787"</f>
        <v>T4 202001224787</v>
      </c>
      <c r="F2212" t="str">
        <f>"MEDICARE TAXES"</f>
        <v>MEDICARE TAXES</v>
      </c>
      <c r="G2212" s="2">
        <v>1035.3599999999999</v>
      </c>
      <c r="H2212" t="str">
        <f t="shared" si="45"/>
        <v>MEDICARE TAXES</v>
      </c>
    </row>
    <row r="2213" spans="1:8" x14ac:dyDescent="0.25">
      <c r="E2213" t="str">
        <f>""</f>
        <v/>
      </c>
      <c r="F2213" t="str">
        <f>""</f>
        <v/>
      </c>
      <c r="H2213" t="str">
        <f t="shared" si="45"/>
        <v>MEDICARE TAXES</v>
      </c>
    </row>
    <row r="2214" spans="1:8" x14ac:dyDescent="0.25">
      <c r="E2214" t="str">
        <f>"T4 202001224791"</f>
        <v>T4 202001224791</v>
      </c>
      <c r="F2214" t="str">
        <f>"MEDICARE TAXES"</f>
        <v>MEDICARE TAXES</v>
      </c>
      <c r="G2214" s="2">
        <v>1070.54</v>
      </c>
      <c r="H2214" t="str">
        <f t="shared" si="45"/>
        <v>MEDICARE TAXES</v>
      </c>
    </row>
    <row r="2215" spans="1:8" x14ac:dyDescent="0.25">
      <c r="E2215" t="str">
        <f>""</f>
        <v/>
      </c>
      <c r="F2215" t="str">
        <f>""</f>
        <v/>
      </c>
      <c r="H2215" t="str">
        <f t="shared" si="45"/>
        <v>MEDICARE TAXES</v>
      </c>
    </row>
    <row r="2216" spans="1:8" x14ac:dyDescent="0.25">
      <c r="A2216" t="s">
        <v>458</v>
      </c>
      <c r="B2216">
        <v>378</v>
      </c>
      <c r="C2216" s="2">
        <v>674.82</v>
      </c>
      <c r="D2216" s="1">
        <v>43859</v>
      </c>
      <c r="E2216" t="str">
        <f>"LIX202001084581"</f>
        <v>LIX202001084581</v>
      </c>
      <c r="F2216" t="str">
        <f>"TEXAS LIFE/OLIVO GROUP"</f>
        <v>TEXAS LIFE/OLIVO GROUP</v>
      </c>
      <c r="G2216" s="2">
        <v>337.41</v>
      </c>
      <c r="H2216" t="str">
        <f>"TEXAS LIFE/OLIVO GROUP"</f>
        <v>TEXAS LIFE/OLIVO GROUP</v>
      </c>
    </row>
    <row r="2217" spans="1:8" x14ac:dyDescent="0.25">
      <c r="E2217" t="str">
        <f>"LIX202001224779"</f>
        <v>LIX202001224779</v>
      </c>
      <c r="F2217" t="str">
        <f>"TEXAS LIFE/OLIVO GROUP"</f>
        <v>TEXAS LIFE/OLIVO GROUP</v>
      </c>
      <c r="G2217" s="2">
        <v>337.41</v>
      </c>
      <c r="H2217" t="str">
        <f>"TEXAS LIFE/OLIVO GROUP"</f>
        <v>TEXAS LIFE/OLIVO GROUP</v>
      </c>
    </row>
    <row r="2218" spans="1:8" x14ac:dyDescent="0.25">
      <c r="A2218" t="s">
        <v>459</v>
      </c>
      <c r="B2218">
        <v>47785</v>
      </c>
      <c r="C2218" s="2">
        <v>367061.82</v>
      </c>
      <c r="D2218" s="1">
        <v>43858</v>
      </c>
      <c r="E2218" t="str">
        <f>"202001284836"</f>
        <v>202001284836</v>
      </c>
      <c r="F2218" t="str">
        <f>"CREDIT TAKEN"</f>
        <v>CREDIT TAKEN</v>
      </c>
      <c r="G2218" s="2">
        <v>-1106.1600000000001</v>
      </c>
      <c r="H2218" t="str">
        <f>"TAC HEALTH BENEFITS POOL"</f>
        <v>TAC HEALTH BENEFITS POOL</v>
      </c>
    </row>
    <row r="2219" spans="1:8" x14ac:dyDescent="0.25">
      <c r="E2219" t="str">
        <f>"202001284830"</f>
        <v>202001284830</v>
      </c>
      <c r="F2219" t="str">
        <f>"RETIREE JAN 2020"</f>
        <v>RETIREE JAN 2020</v>
      </c>
      <c r="G2219" s="2">
        <v>16818.88</v>
      </c>
      <c r="H2219" t="str">
        <f>"RETIREE JAN 2020"</f>
        <v>RETIREE JAN 2020</v>
      </c>
    </row>
    <row r="2220" spans="1:8" x14ac:dyDescent="0.25">
      <c r="E2220" t="str">
        <f>"202001284833"</f>
        <v>202001284833</v>
      </c>
      <c r="F2220" t="str">
        <f>"COBRA J FRONCEK"</f>
        <v>COBRA J FRONCEK</v>
      </c>
      <c r="G2220" s="2">
        <v>758.56</v>
      </c>
      <c r="H2220" t="str">
        <f>"TAC HEALTH BENEFITS POOL"</f>
        <v>TAC HEALTH BENEFITS POOL</v>
      </c>
    </row>
    <row r="2221" spans="1:8" x14ac:dyDescent="0.25">
      <c r="E2221" t="str">
        <f>"2EC202001084581"</f>
        <v>2EC202001084581</v>
      </c>
      <c r="F2221" t="str">
        <f>"BCBS PAYABLE"</f>
        <v>BCBS PAYABLE</v>
      </c>
      <c r="G2221" s="2">
        <v>48800.56</v>
      </c>
      <c r="H2221" t="str">
        <f t="shared" ref="H2221:H2284" si="46">"BCBS PAYABLE"</f>
        <v>BCBS PAYABLE</v>
      </c>
    </row>
    <row r="2222" spans="1:8" x14ac:dyDescent="0.25">
      <c r="E2222" t="str">
        <f>""</f>
        <v/>
      </c>
      <c r="F2222" t="str">
        <f>""</f>
        <v/>
      </c>
      <c r="H2222" t="str">
        <f t="shared" si="46"/>
        <v>BCBS PAYABLE</v>
      </c>
    </row>
    <row r="2223" spans="1:8" x14ac:dyDescent="0.25">
      <c r="E2223" t="str">
        <f>""</f>
        <v/>
      </c>
      <c r="F2223" t="str">
        <f>""</f>
        <v/>
      </c>
      <c r="H2223" t="str">
        <f t="shared" si="46"/>
        <v>BCBS PAYABLE</v>
      </c>
    </row>
    <row r="2224" spans="1:8" x14ac:dyDescent="0.25">
      <c r="E2224" t="str">
        <f>""</f>
        <v/>
      </c>
      <c r="F2224" t="str">
        <f>""</f>
        <v/>
      </c>
      <c r="H2224" t="str">
        <f t="shared" si="46"/>
        <v>BCBS PAYABLE</v>
      </c>
    </row>
    <row r="2225" spans="5:8" x14ac:dyDescent="0.25">
      <c r="E2225" t="str">
        <f>""</f>
        <v/>
      </c>
      <c r="F2225" t="str">
        <f>""</f>
        <v/>
      </c>
      <c r="H2225" t="str">
        <f t="shared" si="46"/>
        <v>BCBS PAYABLE</v>
      </c>
    </row>
    <row r="2226" spans="5:8" x14ac:dyDescent="0.25">
      <c r="E2226" t="str">
        <f>""</f>
        <v/>
      </c>
      <c r="F2226" t="str">
        <f>""</f>
        <v/>
      </c>
      <c r="H2226" t="str">
        <f t="shared" si="46"/>
        <v>BCBS PAYABLE</v>
      </c>
    </row>
    <row r="2227" spans="5:8" x14ac:dyDescent="0.25">
      <c r="E2227" t="str">
        <f>""</f>
        <v/>
      </c>
      <c r="F2227" t="str">
        <f>""</f>
        <v/>
      </c>
      <c r="H2227" t="str">
        <f t="shared" si="46"/>
        <v>BCBS PAYABLE</v>
      </c>
    </row>
    <row r="2228" spans="5:8" x14ac:dyDescent="0.25">
      <c r="E2228" t="str">
        <f>""</f>
        <v/>
      </c>
      <c r="F2228" t="str">
        <f>""</f>
        <v/>
      </c>
      <c r="H2228" t="str">
        <f t="shared" si="46"/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 t="shared" si="46"/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 t="shared" si="46"/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 t="shared" si="46"/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 t="shared" si="46"/>
        <v>BCBS PAYABLE</v>
      </c>
    </row>
    <row r="2233" spans="5:8" x14ac:dyDescent="0.25">
      <c r="E2233" t="str">
        <f>""</f>
        <v/>
      </c>
      <c r="F2233" t="str">
        <f>""</f>
        <v/>
      </c>
      <c r="H2233" t="str">
        <f t="shared" si="46"/>
        <v>BCBS PAYABLE</v>
      </c>
    </row>
    <row r="2234" spans="5:8" x14ac:dyDescent="0.25">
      <c r="E2234" t="str">
        <f>""</f>
        <v/>
      </c>
      <c r="F2234" t="str">
        <f>""</f>
        <v/>
      </c>
      <c r="H2234" t="str">
        <f t="shared" si="46"/>
        <v>BCBS PAYABLE</v>
      </c>
    </row>
    <row r="2235" spans="5:8" x14ac:dyDescent="0.25">
      <c r="E2235" t="str">
        <f>""</f>
        <v/>
      </c>
      <c r="F2235" t="str">
        <f>""</f>
        <v/>
      </c>
      <c r="H2235" t="str">
        <f t="shared" si="46"/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 t="shared" si="46"/>
        <v>BCBS PAYABLE</v>
      </c>
    </row>
    <row r="2237" spans="5:8" x14ac:dyDescent="0.25">
      <c r="E2237" t="str">
        <f>""</f>
        <v/>
      </c>
      <c r="F2237" t="str">
        <f>""</f>
        <v/>
      </c>
      <c r="H2237" t="str">
        <f t="shared" si="46"/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 t="shared" si="46"/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 t="shared" si="46"/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 t="shared" si="46"/>
        <v>BCBS PAYABLE</v>
      </c>
    </row>
    <row r="2241" spans="5:8" x14ac:dyDescent="0.25">
      <c r="E2241" t="str">
        <f>""</f>
        <v/>
      </c>
      <c r="F2241" t="str">
        <f>""</f>
        <v/>
      </c>
      <c r="H2241" t="str">
        <f t="shared" si="46"/>
        <v>BCBS PAYABLE</v>
      </c>
    </row>
    <row r="2242" spans="5:8" x14ac:dyDescent="0.25">
      <c r="E2242" t="str">
        <f>""</f>
        <v/>
      </c>
      <c r="F2242" t="str">
        <f>""</f>
        <v/>
      </c>
      <c r="H2242" t="str">
        <f t="shared" si="46"/>
        <v>BCBS PAYABLE</v>
      </c>
    </row>
    <row r="2243" spans="5:8" x14ac:dyDescent="0.25">
      <c r="E2243" t="str">
        <f>""</f>
        <v/>
      </c>
      <c r="F2243" t="str">
        <f>""</f>
        <v/>
      </c>
      <c r="H2243" t="str">
        <f t="shared" si="46"/>
        <v>BCBS PAYABLE</v>
      </c>
    </row>
    <row r="2244" spans="5:8" x14ac:dyDescent="0.25">
      <c r="E2244" t="str">
        <f>""</f>
        <v/>
      </c>
      <c r="F2244" t="str">
        <f>""</f>
        <v/>
      </c>
      <c r="H2244" t="str">
        <f t="shared" si="46"/>
        <v>BCBS PAYABLE</v>
      </c>
    </row>
    <row r="2245" spans="5:8" x14ac:dyDescent="0.25">
      <c r="E2245" t="str">
        <f>""</f>
        <v/>
      </c>
      <c r="F2245" t="str">
        <f>""</f>
        <v/>
      </c>
      <c r="H2245" t="str">
        <f t="shared" si="46"/>
        <v>BCBS PAYABLE</v>
      </c>
    </row>
    <row r="2246" spans="5:8" x14ac:dyDescent="0.25">
      <c r="E2246" t="str">
        <f>""</f>
        <v/>
      </c>
      <c r="F2246" t="str">
        <f>""</f>
        <v/>
      </c>
      <c r="H2246" t="str">
        <f t="shared" si="46"/>
        <v>BCBS PAYABLE</v>
      </c>
    </row>
    <row r="2247" spans="5:8" x14ac:dyDescent="0.25">
      <c r="E2247" t="str">
        <f>""</f>
        <v/>
      </c>
      <c r="F2247" t="str">
        <f>""</f>
        <v/>
      </c>
      <c r="H2247" t="str">
        <f t="shared" si="46"/>
        <v>BCBS PAYABLE</v>
      </c>
    </row>
    <row r="2248" spans="5:8" x14ac:dyDescent="0.25">
      <c r="E2248" t="str">
        <f>""</f>
        <v/>
      </c>
      <c r="F2248" t="str">
        <f>""</f>
        <v/>
      </c>
      <c r="H2248" t="str">
        <f t="shared" si="46"/>
        <v>BCBS PAYABLE</v>
      </c>
    </row>
    <row r="2249" spans="5:8" x14ac:dyDescent="0.25">
      <c r="E2249" t="str">
        <f>""</f>
        <v/>
      </c>
      <c r="F2249" t="str">
        <f>""</f>
        <v/>
      </c>
      <c r="H2249" t="str">
        <f t="shared" si="46"/>
        <v>BCBS PAYABLE</v>
      </c>
    </row>
    <row r="2250" spans="5:8" x14ac:dyDescent="0.25">
      <c r="E2250" t="str">
        <f>""</f>
        <v/>
      </c>
      <c r="F2250" t="str">
        <f>""</f>
        <v/>
      </c>
      <c r="H2250" t="str">
        <f t="shared" si="46"/>
        <v>BCBS PAYABLE</v>
      </c>
    </row>
    <row r="2251" spans="5:8" x14ac:dyDescent="0.25">
      <c r="E2251" t="str">
        <f>""</f>
        <v/>
      </c>
      <c r="F2251" t="str">
        <f>""</f>
        <v/>
      </c>
      <c r="H2251" t="str">
        <f t="shared" si="46"/>
        <v>BCBS PAYABLE</v>
      </c>
    </row>
    <row r="2252" spans="5:8" x14ac:dyDescent="0.25">
      <c r="E2252" t="str">
        <f>""</f>
        <v/>
      </c>
      <c r="F2252" t="str">
        <f>""</f>
        <v/>
      </c>
      <c r="H2252" t="str">
        <f t="shared" si="46"/>
        <v>BCBS PAYABLE</v>
      </c>
    </row>
    <row r="2253" spans="5:8" x14ac:dyDescent="0.25">
      <c r="E2253" t="str">
        <f>"2EC202001084582"</f>
        <v>2EC202001084582</v>
      </c>
      <c r="F2253" t="str">
        <f>"BCBS PAYABLE"</f>
        <v>BCBS PAYABLE</v>
      </c>
      <c r="G2253" s="2">
        <v>1824.32</v>
      </c>
      <c r="H2253" t="str">
        <f t="shared" si="46"/>
        <v>BCBS PAYABLE</v>
      </c>
    </row>
    <row r="2254" spans="5:8" x14ac:dyDescent="0.25">
      <c r="E2254" t="str">
        <f>""</f>
        <v/>
      </c>
      <c r="F2254" t="str">
        <f>""</f>
        <v/>
      </c>
      <c r="H2254" t="str">
        <f t="shared" si="46"/>
        <v>BCBS PAYABLE</v>
      </c>
    </row>
    <row r="2255" spans="5:8" x14ac:dyDescent="0.25">
      <c r="E2255" t="str">
        <f>"2EC202001224779"</f>
        <v>2EC202001224779</v>
      </c>
      <c r="F2255" t="str">
        <f>"BCBS PAYABLE"</f>
        <v>BCBS PAYABLE</v>
      </c>
      <c r="G2255" s="2">
        <v>49629.24</v>
      </c>
      <c r="H2255" t="str">
        <f t="shared" si="46"/>
        <v>BCBS PAYABLE</v>
      </c>
    </row>
    <row r="2256" spans="5:8" x14ac:dyDescent="0.25">
      <c r="E2256" t="str">
        <f>""</f>
        <v/>
      </c>
      <c r="F2256" t="str">
        <f>""</f>
        <v/>
      </c>
      <c r="H2256" t="str">
        <f t="shared" si="46"/>
        <v>BCBS PAYABLE</v>
      </c>
    </row>
    <row r="2257" spans="5:8" x14ac:dyDescent="0.25">
      <c r="E2257" t="str">
        <f>""</f>
        <v/>
      </c>
      <c r="F2257" t="str">
        <f>""</f>
        <v/>
      </c>
      <c r="H2257" t="str">
        <f t="shared" si="46"/>
        <v>BCBS PAYABLE</v>
      </c>
    </row>
    <row r="2258" spans="5:8" x14ac:dyDescent="0.25">
      <c r="E2258" t="str">
        <f>""</f>
        <v/>
      </c>
      <c r="F2258" t="str">
        <f>""</f>
        <v/>
      </c>
      <c r="H2258" t="str">
        <f t="shared" si="46"/>
        <v>BCBS PAYABLE</v>
      </c>
    </row>
    <row r="2259" spans="5:8" x14ac:dyDescent="0.25">
      <c r="E2259" t="str">
        <f>""</f>
        <v/>
      </c>
      <c r="F2259" t="str">
        <f>""</f>
        <v/>
      </c>
      <c r="H2259" t="str">
        <f t="shared" si="46"/>
        <v>BCBS PAYABLE</v>
      </c>
    </row>
    <row r="2260" spans="5:8" x14ac:dyDescent="0.25">
      <c r="E2260" t="str">
        <f>""</f>
        <v/>
      </c>
      <c r="F2260" t="str">
        <f>""</f>
        <v/>
      </c>
      <c r="H2260" t="str">
        <f t="shared" si="46"/>
        <v>BCBS PAYABLE</v>
      </c>
    </row>
    <row r="2261" spans="5:8" x14ac:dyDescent="0.25">
      <c r="E2261" t="str">
        <f>""</f>
        <v/>
      </c>
      <c r="F2261" t="str">
        <f>""</f>
        <v/>
      </c>
      <c r="H2261" t="str">
        <f t="shared" si="46"/>
        <v>BCBS PAYABLE</v>
      </c>
    </row>
    <row r="2262" spans="5:8" x14ac:dyDescent="0.25">
      <c r="E2262" t="str">
        <f>""</f>
        <v/>
      </c>
      <c r="F2262" t="str">
        <f>""</f>
        <v/>
      </c>
      <c r="H2262" t="str">
        <f t="shared" si="46"/>
        <v>BCBS PAYABLE</v>
      </c>
    </row>
    <row r="2263" spans="5:8" x14ac:dyDescent="0.25">
      <c r="E2263" t="str">
        <f>""</f>
        <v/>
      </c>
      <c r="F2263" t="str">
        <f>""</f>
        <v/>
      </c>
      <c r="H2263" t="str">
        <f t="shared" si="46"/>
        <v>BCBS PAYABLE</v>
      </c>
    </row>
    <row r="2264" spans="5:8" x14ac:dyDescent="0.25">
      <c r="E2264" t="str">
        <f>""</f>
        <v/>
      </c>
      <c r="F2264" t="str">
        <f>""</f>
        <v/>
      </c>
      <c r="H2264" t="str">
        <f t="shared" si="46"/>
        <v>BCBS PAYABLE</v>
      </c>
    </row>
    <row r="2265" spans="5:8" x14ac:dyDescent="0.25">
      <c r="E2265" t="str">
        <f>""</f>
        <v/>
      </c>
      <c r="F2265" t="str">
        <f>""</f>
        <v/>
      </c>
      <c r="H2265" t="str">
        <f t="shared" si="46"/>
        <v>BCBS PAYABLE</v>
      </c>
    </row>
    <row r="2266" spans="5:8" x14ac:dyDescent="0.25">
      <c r="E2266" t="str">
        <f>""</f>
        <v/>
      </c>
      <c r="F2266" t="str">
        <f>""</f>
        <v/>
      </c>
      <c r="H2266" t="str">
        <f t="shared" si="46"/>
        <v>BCBS PAYABLE</v>
      </c>
    </row>
    <row r="2267" spans="5:8" x14ac:dyDescent="0.25">
      <c r="E2267" t="str">
        <f>""</f>
        <v/>
      </c>
      <c r="F2267" t="str">
        <f>""</f>
        <v/>
      </c>
      <c r="H2267" t="str">
        <f t="shared" si="46"/>
        <v>BCBS PAYABLE</v>
      </c>
    </row>
    <row r="2268" spans="5:8" x14ac:dyDescent="0.25">
      <c r="E2268" t="str">
        <f>""</f>
        <v/>
      </c>
      <c r="F2268" t="str">
        <f>""</f>
        <v/>
      </c>
      <c r="H2268" t="str">
        <f t="shared" si="46"/>
        <v>BCBS PAYABLE</v>
      </c>
    </row>
    <row r="2269" spans="5:8" x14ac:dyDescent="0.25">
      <c r="E2269" t="str">
        <f>""</f>
        <v/>
      </c>
      <c r="F2269" t="str">
        <f>""</f>
        <v/>
      </c>
      <c r="H2269" t="str">
        <f t="shared" si="46"/>
        <v>BCBS PAYABLE</v>
      </c>
    </row>
    <row r="2270" spans="5:8" x14ac:dyDescent="0.25">
      <c r="E2270" t="str">
        <f>""</f>
        <v/>
      </c>
      <c r="F2270" t="str">
        <f>""</f>
        <v/>
      </c>
      <c r="H2270" t="str">
        <f t="shared" si="46"/>
        <v>BCBS PAYABLE</v>
      </c>
    </row>
    <row r="2271" spans="5:8" x14ac:dyDescent="0.25">
      <c r="E2271" t="str">
        <f>""</f>
        <v/>
      </c>
      <c r="F2271" t="str">
        <f>""</f>
        <v/>
      </c>
      <c r="H2271" t="str">
        <f t="shared" si="46"/>
        <v>BCBS PAYABLE</v>
      </c>
    </row>
    <row r="2272" spans="5:8" x14ac:dyDescent="0.25">
      <c r="E2272" t="str">
        <f>""</f>
        <v/>
      </c>
      <c r="F2272" t="str">
        <f>""</f>
        <v/>
      </c>
      <c r="H2272" t="str">
        <f t="shared" si="46"/>
        <v>BCBS PAYABLE</v>
      </c>
    </row>
    <row r="2273" spans="5:8" x14ac:dyDescent="0.25">
      <c r="E2273" t="str">
        <f>""</f>
        <v/>
      </c>
      <c r="F2273" t="str">
        <f>""</f>
        <v/>
      </c>
      <c r="H2273" t="str">
        <f t="shared" si="46"/>
        <v>BCBS PAYABLE</v>
      </c>
    </row>
    <row r="2274" spans="5:8" x14ac:dyDescent="0.25">
      <c r="E2274" t="str">
        <f>""</f>
        <v/>
      </c>
      <c r="F2274" t="str">
        <f>""</f>
        <v/>
      </c>
      <c r="H2274" t="str">
        <f t="shared" si="46"/>
        <v>BCBS PAYABLE</v>
      </c>
    </row>
    <row r="2275" spans="5:8" x14ac:dyDescent="0.25">
      <c r="E2275" t="str">
        <f>""</f>
        <v/>
      </c>
      <c r="F2275" t="str">
        <f>""</f>
        <v/>
      </c>
      <c r="H2275" t="str">
        <f t="shared" si="46"/>
        <v>BCBS PAYABLE</v>
      </c>
    </row>
    <row r="2276" spans="5:8" x14ac:dyDescent="0.25">
      <c r="E2276" t="str">
        <f>""</f>
        <v/>
      </c>
      <c r="F2276" t="str">
        <f>""</f>
        <v/>
      </c>
      <c r="H2276" t="str">
        <f t="shared" si="46"/>
        <v>BCBS PAYABLE</v>
      </c>
    </row>
    <row r="2277" spans="5:8" x14ac:dyDescent="0.25">
      <c r="E2277" t="str">
        <f>""</f>
        <v/>
      </c>
      <c r="F2277" t="str">
        <f>""</f>
        <v/>
      </c>
      <c r="H2277" t="str">
        <f t="shared" si="46"/>
        <v>BCBS PAYABLE</v>
      </c>
    </row>
    <row r="2278" spans="5:8" x14ac:dyDescent="0.25">
      <c r="E2278" t="str">
        <f>""</f>
        <v/>
      </c>
      <c r="F2278" t="str">
        <f>""</f>
        <v/>
      </c>
      <c r="H2278" t="str">
        <f t="shared" si="46"/>
        <v>BCBS PAYABLE</v>
      </c>
    </row>
    <row r="2279" spans="5:8" x14ac:dyDescent="0.25">
      <c r="E2279" t="str">
        <f>""</f>
        <v/>
      </c>
      <c r="F2279" t="str">
        <f>""</f>
        <v/>
      </c>
      <c r="H2279" t="str">
        <f t="shared" si="46"/>
        <v>BCBS PAYABLE</v>
      </c>
    </row>
    <row r="2280" spans="5:8" x14ac:dyDescent="0.25">
      <c r="E2280" t="str">
        <f>""</f>
        <v/>
      </c>
      <c r="F2280" t="str">
        <f>""</f>
        <v/>
      </c>
      <c r="H2280" t="str">
        <f t="shared" si="46"/>
        <v>BCBS PAYABLE</v>
      </c>
    </row>
    <row r="2281" spans="5:8" x14ac:dyDescent="0.25">
      <c r="E2281" t="str">
        <f>""</f>
        <v/>
      </c>
      <c r="F2281" t="str">
        <f>""</f>
        <v/>
      </c>
      <c r="H2281" t="str">
        <f t="shared" si="46"/>
        <v>BCBS PAYABLE</v>
      </c>
    </row>
    <row r="2282" spans="5:8" x14ac:dyDescent="0.25">
      <c r="E2282" t="str">
        <f>""</f>
        <v/>
      </c>
      <c r="F2282" t="str">
        <f>""</f>
        <v/>
      </c>
      <c r="H2282" t="str">
        <f t="shared" si="46"/>
        <v>BCBS PAYABLE</v>
      </c>
    </row>
    <row r="2283" spans="5:8" x14ac:dyDescent="0.25">
      <c r="E2283" t="str">
        <f>""</f>
        <v/>
      </c>
      <c r="F2283" t="str">
        <f>""</f>
        <v/>
      </c>
      <c r="H2283" t="str">
        <f t="shared" si="46"/>
        <v>BCBS PAYABLE</v>
      </c>
    </row>
    <row r="2284" spans="5:8" x14ac:dyDescent="0.25">
      <c r="E2284" t="str">
        <f>""</f>
        <v/>
      </c>
      <c r="F2284" t="str">
        <f>""</f>
        <v/>
      </c>
      <c r="H2284" t="str">
        <f t="shared" si="46"/>
        <v>BCBS PAYABLE</v>
      </c>
    </row>
    <row r="2285" spans="5:8" x14ac:dyDescent="0.25">
      <c r="E2285" t="str">
        <f>""</f>
        <v/>
      </c>
      <c r="F2285" t="str">
        <f>""</f>
        <v/>
      </c>
      <c r="H2285" t="str">
        <f t="shared" ref="H2285:H2348" si="47">"BCBS PAYABLE"</f>
        <v>BCBS PAYABLE</v>
      </c>
    </row>
    <row r="2286" spans="5:8" x14ac:dyDescent="0.25">
      <c r="E2286" t="str">
        <f>""</f>
        <v/>
      </c>
      <c r="F2286" t="str">
        <f>""</f>
        <v/>
      </c>
      <c r="H2286" t="str">
        <f t="shared" si="47"/>
        <v>BCBS PAYABLE</v>
      </c>
    </row>
    <row r="2287" spans="5:8" x14ac:dyDescent="0.25">
      <c r="E2287" t="str">
        <f>"2EC202001224787"</f>
        <v>2EC202001224787</v>
      </c>
      <c r="F2287" t="str">
        <f>"BCBS PAYABLE"</f>
        <v>BCBS PAYABLE</v>
      </c>
      <c r="G2287" s="2">
        <v>1824.32</v>
      </c>
      <c r="H2287" t="str">
        <f t="shared" si="47"/>
        <v>BCBS PAYABLE</v>
      </c>
    </row>
    <row r="2288" spans="5:8" x14ac:dyDescent="0.25">
      <c r="E2288" t="str">
        <f>""</f>
        <v/>
      </c>
      <c r="F2288" t="str">
        <f>""</f>
        <v/>
      </c>
      <c r="H2288" t="str">
        <f t="shared" si="47"/>
        <v>BCBS PAYABLE</v>
      </c>
    </row>
    <row r="2289" spans="5:8" x14ac:dyDescent="0.25">
      <c r="E2289" t="str">
        <f>"2EF202001084581"</f>
        <v>2EF202001084581</v>
      </c>
      <c r="F2289" t="str">
        <f>"BCBS PAYABLE"</f>
        <v>BCBS PAYABLE</v>
      </c>
      <c r="G2289" s="2">
        <v>2718.27</v>
      </c>
      <c r="H2289" t="str">
        <f t="shared" si="47"/>
        <v>BCBS PAYABLE</v>
      </c>
    </row>
    <row r="2290" spans="5:8" x14ac:dyDescent="0.25">
      <c r="E2290" t="str">
        <f>""</f>
        <v/>
      </c>
      <c r="F2290" t="str">
        <f>""</f>
        <v/>
      </c>
      <c r="H2290" t="str">
        <f t="shared" si="47"/>
        <v>BCBS PAYABLE</v>
      </c>
    </row>
    <row r="2291" spans="5:8" x14ac:dyDescent="0.25">
      <c r="E2291" t="str">
        <f>""</f>
        <v/>
      </c>
      <c r="F2291" t="str">
        <f>""</f>
        <v/>
      </c>
      <c r="H2291" t="str">
        <f t="shared" si="47"/>
        <v>BCBS PAYABLE</v>
      </c>
    </row>
    <row r="2292" spans="5:8" x14ac:dyDescent="0.25">
      <c r="E2292" t="str">
        <f>""</f>
        <v/>
      </c>
      <c r="F2292" t="str">
        <f>""</f>
        <v/>
      </c>
      <c r="H2292" t="str">
        <f t="shared" si="47"/>
        <v>BCBS PAYABLE</v>
      </c>
    </row>
    <row r="2293" spans="5:8" x14ac:dyDescent="0.25">
      <c r="E2293" t="str">
        <f>""</f>
        <v/>
      </c>
      <c r="F2293" t="str">
        <f>""</f>
        <v/>
      </c>
      <c r="H2293" t="str">
        <f t="shared" si="47"/>
        <v>BCBS PAYABLE</v>
      </c>
    </row>
    <row r="2294" spans="5:8" x14ac:dyDescent="0.25">
      <c r="E2294" t="str">
        <f>"2EF202001224779"</f>
        <v>2EF202001224779</v>
      </c>
      <c r="F2294" t="str">
        <f>"BCBS PAYABLE"</f>
        <v>BCBS PAYABLE</v>
      </c>
      <c r="G2294" s="2">
        <v>2718.27</v>
      </c>
      <c r="H2294" t="str">
        <f t="shared" si="47"/>
        <v>BCBS PAYABLE</v>
      </c>
    </row>
    <row r="2295" spans="5:8" x14ac:dyDescent="0.25">
      <c r="E2295" t="str">
        <f>""</f>
        <v/>
      </c>
      <c r="F2295" t="str">
        <f>""</f>
        <v/>
      </c>
      <c r="H2295" t="str">
        <f t="shared" si="47"/>
        <v>BCBS PAYABLE</v>
      </c>
    </row>
    <row r="2296" spans="5:8" x14ac:dyDescent="0.25">
      <c r="E2296" t="str">
        <f>""</f>
        <v/>
      </c>
      <c r="F2296" t="str">
        <f>""</f>
        <v/>
      </c>
      <c r="H2296" t="str">
        <f t="shared" si="47"/>
        <v>BCBS PAYABLE</v>
      </c>
    </row>
    <row r="2297" spans="5:8" x14ac:dyDescent="0.25">
      <c r="E2297" t="str">
        <f>""</f>
        <v/>
      </c>
      <c r="F2297" t="str">
        <f>""</f>
        <v/>
      </c>
      <c r="H2297" t="str">
        <f t="shared" si="47"/>
        <v>BCBS PAYABLE</v>
      </c>
    </row>
    <row r="2298" spans="5:8" x14ac:dyDescent="0.25">
      <c r="E2298" t="str">
        <f>""</f>
        <v/>
      </c>
      <c r="F2298" t="str">
        <f>""</f>
        <v/>
      </c>
      <c r="H2298" t="str">
        <f t="shared" si="47"/>
        <v>BCBS PAYABLE</v>
      </c>
    </row>
    <row r="2299" spans="5:8" x14ac:dyDescent="0.25">
      <c r="E2299" t="str">
        <f>"2EO202001084581"</f>
        <v>2EO202001084581</v>
      </c>
      <c r="F2299" t="str">
        <f>"BCBS PAYABLE"</f>
        <v>BCBS PAYABLE</v>
      </c>
      <c r="G2299" s="2">
        <v>101887.16</v>
      </c>
      <c r="H2299" t="str">
        <f t="shared" si="47"/>
        <v>BCBS PAYABLE</v>
      </c>
    </row>
    <row r="2300" spans="5:8" x14ac:dyDescent="0.25">
      <c r="E2300" t="str">
        <f>""</f>
        <v/>
      </c>
      <c r="F2300" t="str">
        <f>""</f>
        <v/>
      </c>
      <c r="H2300" t="str">
        <f t="shared" si="47"/>
        <v>BCBS PAYABLE</v>
      </c>
    </row>
    <row r="2301" spans="5:8" x14ac:dyDescent="0.25">
      <c r="E2301" t="str">
        <f>""</f>
        <v/>
      </c>
      <c r="F2301" t="str">
        <f>""</f>
        <v/>
      </c>
      <c r="H2301" t="str">
        <f t="shared" si="47"/>
        <v>BCBS PAYABLE</v>
      </c>
    </row>
    <row r="2302" spans="5:8" x14ac:dyDescent="0.25">
      <c r="E2302" t="str">
        <f>""</f>
        <v/>
      </c>
      <c r="F2302" t="str">
        <f>""</f>
        <v/>
      </c>
      <c r="H2302" t="str">
        <f t="shared" si="47"/>
        <v>BCBS PAYABLE</v>
      </c>
    </row>
    <row r="2303" spans="5:8" x14ac:dyDescent="0.25">
      <c r="E2303" t="str">
        <f>""</f>
        <v/>
      </c>
      <c r="F2303" t="str">
        <f>""</f>
        <v/>
      </c>
      <c r="H2303" t="str">
        <f t="shared" si="47"/>
        <v>BCBS PAYABLE</v>
      </c>
    </row>
    <row r="2304" spans="5:8" x14ac:dyDescent="0.25">
      <c r="E2304" t="str">
        <f>""</f>
        <v/>
      </c>
      <c r="F2304" t="str">
        <f>""</f>
        <v/>
      </c>
      <c r="H2304" t="str">
        <f t="shared" si="47"/>
        <v>BCBS PAYABLE</v>
      </c>
    </row>
    <row r="2305" spans="5:8" x14ac:dyDescent="0.25">
      <c r="E2305" t="str">
        <f>""</f>
        <v/>
      </c>
      <c r="F2305" t="str">
        <f>""</f>
        <v/>
      </c>
      <c r="H2305" t="str">
        <f t="shared" si="47"/>
        <v>BCBS PAYABLE</v>
      </c>
    </row>
    <row r="2306" spans="5:8" x14ac:dyDescent="0.25">
      <c r="E2306" t="str">
        <f>""</f>
        <v/>
      </c>
      <c r="F2306" t="str">
        <f>""</f>
        <v/>
      </c>
      <c r="H2306" t="str">
        <f t="shared" si="47"/>
        <v>BCBS PAYABLE</v>
      </c>
    </row>
    <row r="2307" spans="5:8" x14ac:dyDescent="0.25">
      <c r="E2307" t="str">
        <f>""</f>
        <v/>
      </c>
      <c r="F2307" t="str">
        <f>""</f>
        <v/>
      </c>
      <c r="H2307" t="str">
        <f t="shared" si="47"/>
        <v>BCBS PAYABLE</v>
      </c>
    </row>
    <row r="2308" spans="5:8" x14ac:dyDescent="0.25">
      <c r="E2308" t="str">
        <f>""</f>
        <v/>
      </c>
      <c r="F2308" t="str">
        <f>""</f>
        <v/>
      </c>
      <c r="H2308" t="str">
        <f t="shared" si="47"/>
        <v>BCBS PAYABLE</v>
      </c>
    </row>
    <row r="2309" spans="5:8" x14ac:dyDescent="0.25">
      <c r="E2309" t="str">
        <f>""</f>
        <v/>
      </c>
      <c r="F2309" t="str">
        <f>""</f>
        <v/>
      </c>
      <c r="H2309" t="str">
        <f t="shared" si="47"/>
        <v>BCBS PAYABLE</v>
      </c>
    </row>
    <row r="2310" spans="5:8" x14ac:dyDescent="0.25">
      <c r="E2310" t="str">
        <f>""</f>
        <v/>
      </c>
      <c r="F2310" t="str">
        <f>""</f>
        <v/>
      </c>
      <c r="H2310" t="str">
        <f t="shared" si="47"/>
        <v>BCBS PAYABLE</v>
      </c>
    </row>
    <row r="2311" spans="5:8" x14ac:dyDescent="0.25">
      <c r="E2311" t="str">
        <f>""</f>
        <v/>
      </c>
      <c r="F2311" t="str">
        <f>""</f>
        <v/>
      </c>
      <c r="H2311" t="str">
        <f t="shared" si="47"/>
        <v>BCBS PAYABLE</v>
      </c>
    </row>
    <row r="2312" spans="5:8" x14ac:dyDescent="0.25">
      <c r="E2312" t="str">
        <f>""</f>
        <v/>
      </c>
      <c r="F2312" t="str">
        <f>""</f>
        <v/>
      </c>
      <c r="H2312" t="str">
        <f t="shared" si="47"/>
        <v>BCBS PAYABLE</v>
      </c>
    </row>
    <row r="2313" spans="5:8" x14ac:dyDescent="0.25">
      <c r="E2313" t="str">
        <f>""</f>
        <v/>
      </c>
      <c r="F2313" t="str">
        <f>""</f>
        <v/>
      </c>
      <c r="H2313" t="str">
        <f t="shared" si="47"/>
        <v>BCBS PAYABLE</v>
      </c>
    </row>
    <row r="2314" spans="5:8" x14ac:dyDescent="0.25">
      <c r="E2314" t="str">
        <f>""</f>
        <v/>
      </c>
      <c r="F2314" t="str">
        <f>""</f>
        <v/>
      </c>
      <c r="H2314" t="str">
        <f t="shared" si="47"/>
        <v>BCBS PAYABLE</v>
      </c>
    </row>
    <row r="2315" spans="5:8" x14ac:dyDescent="0.25">
      <c r="E2315" t="str">
        <f>""</f>
        <v/>
      </c>
      <c r="F2315" t="str">
        <f>""</f>
        <v/>
      </c>
      <c r="H2315" t="str">
        <f t="shared" si="47"/>
        <v>BCBS PAYABLE</v>
      </c>
    </row>
    <row r="2316" spans="5:8" x14ac:dyDescent="0.25">
      <c r="E2316" t="str">
        <f>""</f>
        <v/>
      </c>
      <c r="F2316" t="str">
        <f>""</f>
        <v/>
      </c>
      <c r="H2316" t="str">
        <f t="shared" si="47"/>
        <v>BCBS PAYABLE</v>
      </c>
    </row>
    <row r="2317" spans="5:8" x14ac:dyDescent="0.25">
      <c r="E2317" t="str">
        <f>""</f>
        <v/>
      </c>
      <c r="F2317" t="str">
        <f>""</f>
        <v/>
      </c>
      <c r="H2317" t="str">
        <f t="shared" si="47"/>
        <v>BCBS PAYABLE</v>
      </c>
    </row>
    <row r="2318" spans="5:8" x14ac:dyDescent="0.25">
      <c r="E2318" t="str">
        <f>""</f>
        <v/>
      </c>
      <c r="F2318" t="str">
        <f>""</f>
        <v/>
      </c>
      <c r="H2318" t="str">
        <f t="shared" si="47"/>
        <v>BCBS PAYABLE</v>
      </c>
    </row>
    <row r="2319" spans="5:8" x14ac:dyDescent="0.25">
      <c r="E2319" t="str">
        <f>""</f>
        <v/>
      </c>
      <c r="F2319" t="str">
        <f>""</f>
        <v/>
      </c>
      <c r="H2319" t="str">
        <f t="shared" si="47"/>
        <v>BCBS PAYABLE</v>
      </c>
    </row>
    <row r="2320" spans="5:8" x14ac:dyDescent="0.25">
      <c r="E2320" t="str">
        <f>""</f>
        <v/>
      </c>
      <c r="F2320" t="str">
        <f>""</f>
        <v/>
      </c>
      <c r="H2320" t="str">
        <f t="shared" si="47"/>
        <v>BCBS PAYABLE</v>
      </c>
    </row>
    <row r="2321" spans="5:8" x14ac:dyDescent="0.25">
      <c r="E2321" t="str">
        <f>""</f>
        <v/>
      </c>
      <c r="F2321" t="str">
        <f>""</f>
        <v/>
      </c>
      <c r="H2321" t="str">
        <f t="shared" si="47"/>
        <v>BCBS PAYABLE</v>
      </c>
    </row>
    <row r="2322" spans="5:8" x14ac:dyDescent="0.25">
      <c r="E2322" t="str">
        <f>""</f>
        <v/>
      </c>
      <c r="F2322" t="str">
        <f>""</f>
        <v/>
      </c>
      <c r="H2322" t="str">
        <f t="shared" si="47"/>
        <v>BCBS PAYABLE</v>
      </c>
    </row>
    <row r="2323" spans="5:8" x14ac:dyDescent="0.25">
      <c r="E2323" t="str">
        <f>""</f>
        <v/>
      </c>
      <c r="F2323" t="str">
        <f>""</f>
        <v/>
      </c>
      <c r="H2323" t="str">
        <f t="shared" si="47"/>
        <v>BCBS PAYABLE</v>
      </c>
    </row>
    <row r="2324" spans="5:8" x14ac:dyDescent="0.25">
      <c r="E2324" t="str">
        <f>""</f>
        <v/>
      </c>
      <c r="F2324" t="str">
        <f>""</f>
        <v/>
      </c>
      <c r="H2324" t="str">
        <f t="shared" si="47"/>
        <v>BCBS PAYABLE</v>
      </c>
    </row>
    <row r="2325" spans="5:8" x14ac:dyDescent="0.25">
      <c r="E2325" t="str">
        <f>""</f>
        <v/>
      </c>
      <c r="F2325" t="str">
        <f>""</f>
        <v/>
      </c>
      <c r="H2325" t="str">
        <f t="shared" si="47"/>
        <v>BCBS PAYABLE</v>
      </c>
    </row>
    <row r="2326" spans="5:8" x14ac:dyDescent="0.25">
      <c r="E2326" t="str">
        <f>""</f>
        <v/>
      </c>
      <c r="F2326" t="str">
        <f>""</f>
        <v/>
      </c>
      <c r="H2326" t="str">
        <f t="shared" si="47"/>
        <v>BCBS PAYABLE</v>
      </c>
    </row>
    <row r="2327" spans="5:8" x14ac:dyDescent="0.25">
      <c r="E2327" t="str">
        <f>""</f>
        <v/>
      </c>
      <c r="F2327" t="str">
        <f>""</f>
        <v/>
      </c>
      <c r="H2327" t="str">
        <f t="shared" si="47"/>
        <v>BCBS PAYABLE</v>
      </c>
    </row>
    <row r="2328" spans="5:8" x14ac:dyDescent="0.25">
      <c r="E2328" t="str">
        <f>""</f>
        <v/>
      </c>
      <c r="F2328" t="str">
        <f>""</f>
        <v/>
      </c>
      <c r="H2328" t="str">
        <f t="shared" si="47"/>
        <v>BCBS PAYABLE</v>
      </c>
    </row>
    <row r="2329" spans="5:8" x14ac:dyDescent="0.25">
      <c r="E2329" t="str">
        <f>""</f>
        <v/>
      </c>
      <c r="F2329" t="str">
        <f>""</f>
        <v/>
      </c>
      <c r="H2329" t="str">
        <f t="shared" si="47"/>
        <v>BCBS PAYABLE</v>
      </c>
    </row>
    <row r="2330" spans="5:8" x14ac:dyDescent="0.25">
      <c r="E2330" t="str">
        <f>""</f>
        <v/>
      </c>
      <c r="F2330" t="str">
        <f>""</f>
        <v/>
      </c>
      <c r="H2330" t="str">
        <f t="shared" si="47"/>
        <v>BCBS PAYABLE</v>
      </c>
    </row>
    <row r="2331" spans="5:8" x14ac:dyDescent="0.25">
      <c r="E2331" t="str">
        <f>""</f>
        <v/>
      </c>
      <c r="F2331" t="str">
        <f>""</f>
        <v/>
      </c>
      <c r="H2331" t="str">
        <f t="shared" si="47"/>
        <v>BCBS PAYABLE</v>
      </c>
    </row>
    <row r="2332" spans="5:8" x14ac:dyDescent="0.25">
      <c r="E2332" t="str">
        <f>""</f>
        <v/>
      </c>
      <c r="F2332" t="str">
        <f>""</f>
        <v/>
      </c>
      <c r="H2332" t="str">
        <f t="shared" si="47"/>
        <v>BCBS PAYABLE</v>
      </c>
    </row>
    <row r="2333" spans="5:8" x14ac:dyDescent="0.25">
      <c r="E2333" t="str">
        <f>""</f>
        <v/>
      </c>
      <c r="F2333" t="str">
        <f>""</f>
        <v/>
      </c>
      <c r="H2333" t="str">
        <f t="shared" si="47"/>
        <v>BCBS PAYABLE</v>
      </c>
    </row>
    <row r="2334" spans="5:8" x14ac:dyDescent="0.25">
      <c r="E2334" t="str">
        <f>""</f>
        <v/>
      </c>
      <c r="F2334" t="str">
        <f>""</f>
        <v/>
      </c>
      <c r="H2334" t="str">
        <f t="shared" si="47"/>
        <v>BCBS PAYABLE</v>
      </c>
    </row>
    <row r="2335" spans="5:8" x14ac:dyDescent="0.25">
      <c r="E2335" t="str">
        <f>""</f>
        <v/>
      </c>
      <c r="F2335" t="str">
        <f>""</f>
        <v/>
      </c>
      <c r="H2335" t="str">
        <f t="shared" si="47"/>
        <v>BCBS PAYABLE</v>
      </c>
    </row>
    <row r="2336" spans="5:8" x14ac:dyDescent="0.25">
      <c r="E2336" t="str">
        <f>""</f>
        <v/>
      </c>
      <c r="F2336" t="str">
        <f>""</f>
        <v/>
      </c>
      <c r="H2336" t="str">
        <f t="shared" si="47"/>
        <v>BCBS PAYABLE</v>
      </c>
    </row>
    <row r="2337" spans="5:8" x14ac:dyDescent="0.25">
      <c r="E2337" t="str">
        <f>""</f>
        <v/>
      </c>
      <c r="F2337" t="str">
        <f>""</f>
        <v/>
      </c>
      <c r="H2337" t="str">
        <f t="shared" si="47"/>
        <v>BCBS PAYABLE</v>
      </c>
    </row>
    <row r="2338" spans="5:8" x14ac:dyDescent="0.25">
      <c r="E2338" t="str">
        <f>""</f>
        <v/>
      </c>
      <c r="F2338" t="str">
        <f>""</f>
        <v/>
      </c>
      <c r="H2338" t="str">
        <f t="shared" si="47"/>
        <v>BCBS PAYABLE</v>
      </c>
    </row>
    <row r="2339" spans="5:8" x14ac:dyDescent="0.25">
      <c r="E2339" t="str">
        <f>""</f>
        <v/>
      </c>
      <c r="F2339" t="str">
        <f>""</f>
        <v/>
      </c>
      <c r="H2339" t="str">
        <f t="shared" si="47"/>
        <v>BCBS PAYABLE</v>
      </c>
    </row>
    <row r="2340" spans="5:8" x14ac:dyDescent="0.25">
      <c r="E2340" t="str">
        <f>""</f>
        <v/>
      </c>
      <c r="F2340" t="str">
        <f>""</f>
        <v/>
      </c>
      <c r="H2340" t="str">
        <f t="shared" si="47"/>
        <v>BCBS PAYABLE</v>
      </c>
    </row>
    <row r="2341" spans="5:8" x14ac:dyDescent="0.25">
      <c r="E2341" t="str">
        <f>""</f>
        <v/>
      </c>
      <c r="F2341" t="str">
        <f>""</f>
        <v/>
      </c>
      <c r="H2341" t="str">
        <f t="shared" si="47"/>
        <v>BCBS PAYABLE</v>
      </c>
    </row>
    <row r="2342" spans="5:8" x14ac:dyDescent="0.25">
      <c r="E2342" t="str">
        <f>""</f>
        <v/>
      </c>
      <c r="F2342" t="str">
        <f>""</f>
        <v/>
      </c>
      <c r="H2342" t="str">
        <f t="shared" si="47"/>
        <v>BCBS PAYABLE</v>
      </c>
    </row>
    <row r="2343" spans="5:8" x14ac:dyDescent="0.25">
      <c r="E2343" t="str">
        <f>""</f>
        <v/>
      </c>
      <c r="F2343" t="str">
        <f>""</f>
        <v/>
      </c>
      <c r="H2343" t="str">
        <f t="shared" si="47"/>
        <v>BCBS PAYABLE</v>
      </c>
    </row>
    <row r="2344" spans="5:8" x14ac:dyDescent="0.25">
      <c r="E2344" t="str">
        <f>""</f>
        <v/>
      </c>
      <c r="F2344" t="str">
        <f>""</f>
        <v/>
      </c>
      <c r="H2344" t="str">
        <f t="shared" si="47"/>
        <v>BCBS PAYABLE</v>
      </c>
    </row>
    <row r="2345" spans="5:8" x14ac:dyDescent="0.25">
      <c r="E2345" t="str">
        <f>""</f>
        <v/>
      </c>
      <c r="F2345" t="str">
        <f>""</f>
        <v/>
      </c>
      <c r="H2345" t="str">
        <f t="shared" si="47"/>
        <v>BCBS PAYABLE</v>
      </c>
    </row>
    <row r="2346" spans="5:8" x14ac:dyDescent="0.25">
      <c r="E2346" t="str">
        <f>""</f>
        <v/>
      </c>
      <c r="F2346" t="str">
        <f>""</f>
        <v/>
      </c>
      <c r="H2346" t="str">
        <f t="shared" si="47"/>
        <v>BCBS PAYABLE</v>
      </c>
    </row>
    <row r="2347" spans="5:8" x14ac:dyDescent="0.25">
      <c r="E2347" t="str">
        <f>"2EO202001084582"</f>
        <v>2EO202001084582</v>
      </c>
      <c r="F2347" t="str">
        <f>"BCBS PAYABLE"</f>
        <v>BCBS PAYABLE</v>
      </c>
      <c r="G2347" s="2">
        <v>4314.4399999999996</v>
      </c>
      <c r="H2347" t="str">
        <f t="shared" si="47"/>
        <v>BCBS PAYABLE</v>
      </c>
    </row>
    <row r="2348" spans="5:8" x14ac:dyDescent="0.25">
      <c r="E2348" t="str">
        <f>"2EO202001224779"</f>
        <v>2EO202001224779</v>
      </c>
      <c r="F2348" t="str">
        <f>"BCBS PAYABLE"</f>
        <v>BCBS PAYABLE</v>
      </c>
      <c r="G2348" s="2">
        <v>100891.52</v>
      </c>
      <c r="H2348" t="str">
        <f t="shared" si="47"/>
        <v>BCBS PAYABLE</v>
      </c>
    </row>
    <row r="2349" spans="5:8" x14ac:dyDescent="0.25">
      <c r="E2349" t="str">
        <f>""</f>
        <v/>
      </c>
      <c r="F2349" t="str">
        <f>""</f>
        <v/>
      </c>
      <c r="H2349" t="str">
        <f t="shared" ref="H2349:H2412" si="48">"BCBS PAYABLE"</f>
        <v>BCBS PAYABLE</v>
      </c>
    </row>
    <row r="2350" spans="5:8" x14ac:dyDescent="0.25">
      <c r="E2350" t="str">
        <f>""</f>
        <v/>
      </c>
      <c r="F2350" t="str">
        <f>""</f>
        <v/>
      </c>
      <c r="H2350" t="str">
        <f t="shared" si="48"/>
        <v>BCBS PAYABLE</v>
      </c>
    </row>
    <row r="2351" spans="5:8" x14ac:dyDescent="0.25">
      <c r="E2351" t="str">
        <f>""</f>
        <v/>
      </c>
      <c r="F2351" t="str">
        <f>""</f>
        <v/>
      </c>
      <c r="H2351" t="str">
        <f t="shared" si="48"/>
        <v>BCBS PAYABLE</v>
      </c>
    </row>
    <row r="2352" spans="5:8" x14ac:dyDescent="0.25">
      <c r="E2352" t="str">
        <f>""</f>
        <v/>
      </c>
      <c r="F2352" t="str">
        <f>""</f>
        <v/>
      </c>
      <c r="H2352" t="str">
        <f t="shared" si="48"/>
        <v>BCBS PAYABLE</v>
      </c>
    </row>
    <row r="2353" spans="5:8" x14ac:dyDescent="0.25">
      <c r="E2353" t="str">
        <f>""</f>
        <v/>
      </c>
      <c r="F2353" t="str">
        <f>""</f>
        <v/>
      </c>
      <c r="H2353" t="str">
        <f t="shared" si="48"/>
        <v>BCBS PAYABLE</v>
      </c>
    </row>
    <row r="2354" spans="5:8" x14ac:dyDescent="0.25">
      <c r="E2354" t="str">
        <f>""</f>
        <v/>
      </c>
      <c r="F2354" t="str">
        <f>""</f>
        <v/>
      </c>
      <c r="H2354" t="str">
        <f t="shared" si="48"/>
        <v>BCBS PAYABLE</v>
      </c>
    </row>
    <row r="2355" spans="5:8" x14ac:dyDescent="0.25">
      <c r="E2355" t="str">
        <f>""</f>
        <v/>
      </c>
      <c r="F2355" t="str">
        <f>""</f>
        <v/>
      </c>
      <c r="H2355" t="str">
        <f t="shared" si="48"/>
        <v>BCBS PAYABLE</v>
      </c>
    </row>
    <row r="2356" spans="5:8" x14ac:dyDescent="0.25">
      <c r="E2356" t="str">
        <f>""</f>
        <v/>
      </c>
      <c r="F2356" t="str">
        <f>""</f>
        <v/>
      </c>
      <c r="H2356" t="str">
        <f t="shared" si="48"/>
        <v>BCBS PAYABLE</v>
      </c>
    </row>
    <row r="2357" spans="5:8" x14ac:dyDescent="0.25">
      <c r="E2357" t="str">
        <f>""</f>
        <v/>
      </c>
      <c r="F2357" t="str">
        <f>""</f>
        <v/>
      </c>
      <c r="H2357" t="str">
        <f t="shared" si="48"/>
        <v>BCBS PAYABLE</v>
      </c>
    </row>
    <row r="2358" spans="5:8" x14ac:dyDescent="0.25">
      <c r="E2358" t="str">
        <f>""</f>
        <v/>
      </c>
      <c r="F2358" t="str">
        <f>""</f>
        <v/>
      </c>
      <c r="H2358" t="str">
        <f t="shared" si="48"/>
        <v>BCBS PAYABLE</v>
      </c>
    </row>
    <row r="2359" spans="5:8" x14ac:dyDescent="0.25">
      <c r="E2359" t="str">
        <f>""</f>
        <v/>
      </c>
      <c r="F2359" t="str">
        <f>""</f>
        <v/>
      </c>
      <c r="H2359" t="str">
        <f t="shared" si="48"/>
        <v>BCBS PAYABLE</v>
      </c>
    </row>
    <row r="2360" spans="5:8" x14ac:dyDescent="0.25">
      <c r="E2360" t="str">
        <f>""</f>
        <v/>
      </c>
      <c r="F2360" t="str">
        <f>""</f>
        <v/>
      </c>
      <c r="H2360" t="str">
        <f t="shared" si="48"/>
        <v>BCBS PAYABLE</v>
      </c>
    </row>
    <row r="2361" spans="5:8" x14ac:dyDescent="0.25">
      <c r="E2361" t="str">
        <f>""</f>
        <v/>
      </c>
      <c r="F2361" t="str">
        <f>""</f>
        <v/>
      </c>
      <c r="H2361" t="str">
        <f t="shared" si="48"/>
        <v>BCBS PAYABLE</v>
      </c>
    </row>
    <row r="2362" spans="5:8" x14ac:dyDescent="0.25">
      <c r="E2362" t="str">
        <f>""</f>
        <v/>
      </c>
      <c r="F2362" t="str">
        <f>""</f>
        <v/>
      </c>
      <c r="H2362" t="str">
        <f t="shared" si="48"/>
        <v>BCBS PAYABLE</v>
      </c>
    </row>
    <row r="2363" spans="5:8" x14ac:dyDescent="0.25">
      <c r="E2363" t="str">
        <f>""</f>
        <v/>
      </c>
      <c r="F2363" t="str">
        <f>""</f>
        <v/>
      </c>
      <c r="H2363" t="str">
        <f t="shared" si="48"/>
        <v>BCBS PAYABLE</v>
      </c>
    </row>
    <row r="2364" spans="5:8" x14ac:dyDescent="0.25">
      <c r="E2364" t="str">
        <f>""</f>
        <v/>
      </c>
      <c r="F2364" t="str">
        <f>""</f>
        <v/>
      </c>
      <c r="H2364" t="str">
        <f t="shared" si="48"/>
        <v>BCBS PAYABLE</v>
      </c>
    </row>
    <row r="2365" spans="5:8" x14ac:dyDescent="0.25">
      <c r="E2365" t="str">
        <f>""</f>
        <v/>
      </c>
      <c r="F2365" t="str">
        <f>""</f>
        <v/>
      </c>
      <c r="H2365" t="str">
        <f t="shared" si="48"/>
        <v>BCBS PAYABLE</v>
      </c>
    </row>
    <row r="2366" spans="5:8" x14ac:dyDescent="0.25">
      <c r="E2366" t="str">
        <f>""</f>
        <v/>
      </c>
      <c r="F2366" t="str">
        <f>""</f>
        <v/>
      </c>
      <c r="H2366" t="str">
        <f t="shared" si="48"/>
        <v>BCBS PAYABLE</v>
      </c>
    </row>
    <row r="2367" spans="5:8" x14ac:dyDescent="0.25">
      <c r="E2367" t="str">
        <f>""</f>
        <v/>
      </c>
      <c r="F2367" t="str">
        <f>""</f>
        <v/>
      </c>
      <c r="H2367" t="str">
        <f t="shared" si="48"/>
        <v>BCBS PAYABLE</v>
      </c>
    </row>
    <row r="2368" spans="5:8" x14ac:dyDescent="0.25">
      <c r="E2368" t="str">
        <f>""</f>
        <v/>
      </c>
      <c r="F2368" t="str">
        <f>""</f>
        <v/>
      </c>
      <c r="H2368" t="str">
        <f t="shared" si="48"/>
        <v>BCBS PAYABLE</v>
      </c>
    </row>
    <row r="2369" spans="5:8" x14ac:dyDescent="0.25">
      <c r="E2369" t="str">
        <f>""</f>
        <v/>
      </c>
      <c r="F2369" t="str">
        <f>""</f>
        <v/>
      </c>
      <c r="H2369" t="str">
        <f t="shared" si="48"/>
        <v>BCBS PAYABLE</v>
      </c>
    </row>
    <row r="2370" spans="5:8" x14ac:dyDescent="0.25">
      <c r="E2370" t="str">
        <f>""</f>
        <v/>
      </c>
      <c r="F2370" t="str">
        <f>""</f>
        <v/>
      </c>
      <c r="H2370" t="str">
        <f t="shared" si="48"/>
        <v>BCBS PAYABLE</v>
      </c>
    </row>
    <row r="2371" spans="5:8" x14ac:dyDescent="0.25">
      <c r="E2371" t="str">
        <f>""</f>
        <v/>
      </c>
      <c r="F2371" t="str">
        <f>""</f>
        <v/>
      </c>
      <c r="H2371" t="str">
        <f t="shared" si="48"/>
        <v>BCBS PAYABLE</v>
      </c>
    </row>
    <row r="2372" spans="5:8" x14ac:dyDescent="0.25">
      <c r="E2372" t="str">
        <f>""</f>
        <v/>
      </c>
      <c r="F2372" t="str">
        <f>""</f>
        <v/>
      </c>
      <c r="H2372" t="str">
        <f t="shared" si="48"/>
        <v>BCBS PAYABLE</v>
      </c>
    </row>
    <row r="2373" spans="5:8" x14ac:dyDescent="0.25">
      <c r="E2373" t="str">
        <f>""</f>
        <v/>
      </c>
      <c r="F2373" t="str">
        <f>""</f>
        <v/>
      </c>
      <c r="H2373" t="str">
        <f t="shared" si="48"/>
        <v>BCBS PAYABLE</v>
      </c>
    </row>
    <row r="2374" spans="5:8" x14ac:dyDescent="0.25">
      <c r="E2374" t="str">
        <f>""</f>
        <v/>
      </c>
      <c r="F2374" t="str">
        <f>""</f>
        <v/>
      </c>
      <c r="H2374" t="str">
        <f t="shared" si="48"/>
        <v>BCBS PAYABLE</v>
      </c>
    </row>
    <row r="2375" spans="5:8" x14ac:dyDescent="0.25">
      <c r="E2375" t="str">
        <f>""</f>
        <v/>
      </c>
      <c r="F2375" t="str">
        <f>""</f>
        <v/>
      </c>
      <c r="H2375" t="str">
        <f t="shared" si="48"/>
        <v>BCBS PAYABLE</v>
      </c>
    </row>
    <row r="2376" spans="5:8" x14ac:dyDescent="0.25">
      <c r="E2376" t="str">
        <f>""</f>
        <v/>
      </c>
      <c r="F2376" t="str">
        <f>""</f>
        <v/>
      </c>
      <c r="H2376" t="str">
        <f t="shared" si="48"/>
        <v>BCBS PAYABLE</v>
      </c>
    </row>
    <row r="2377" spans="5:8" x14ac:dyDescent="0.25">
      <c r="E2377" t="str">
        <f>""</f>
        <v/>
      </c>
      <c r="F2377" t="str">
        <f>""</f>
        <v/>
      </c>
      <c r="H2377" t="str">
        <f t="shared" si="48"/>
        <v>BCBS PAYABLE</v>
      </c>
    </row>
    <row r="2378" spans="5:8" x14ac:dyDescent="0.25">
      <c r="E2378" t="str">
        <f>""</f>
        <v/>
      </c>
      <c r="F2378" t="str">
        <f>""</f>
        <v/>
      </c>
      <c r="H2378" t="str">
        <f t="shared" si="48"/>
        <v>BCBS PAYABLE</v>
      </c>
    </row>
    <row r="2379" spans="5:8" x14ac:dyDescent="0.25">
      <c r="E2379" t="str">
        <f>""</f>
        <v/>
      </c>
      <c r="F2379" t="str">
        <f>""</f>
        <v/>
      </c>
      <c r="H2379" t="str">
        <f t="shared" si="48"/>
        <v>BCBS PAYABLE</v>
      </c>
    </row>
    <row r="2380" spans="5:8" x14ac:dyDescent="0.25">
      <c r="E2380" t="str">
        <f>""</f>
        <v/>
      </c>
      <c r="F2380" t="str">
        <f>""</f>
        <v/>
      </c>
      <c r="H2380" t="str">
        <f t="shared" si="48"/>
        <v>BCBS PAYABLE</v>
      </c>
    </row>
    <row r="2381" spans="5:8" x14ac:dyDescent="0.25">
      <c r="E2381" t="str">
        <f>""</f>
        <v/>
      </c>
      <c r="F2381" t="str">
        <f>""</f>
        <v/>
      </c>
      <c r="H2381" t="str">
        <f t="shared" si="48"/>
        <v>BCBS PAYABLE</v>
      </c>
    </row>
    <row r="2382" spans="5:8" x14ac:dyDescent="0.25">
      <c r="E2382" t="str">
        <f>""</f>
        <v/>
      </c>
      <c r="F2382" t="str">
        <f>""</f>
        <v/>
      </c>
      <c r="H2382" t="str">
        <f t="shared" si="48"/>
        <v>BCBS PAYABLE</v>
      </c>
    </row>
    <row r="2383" spans="5:8" x14ac:dyDescent="0.25">
      <c r="E2383" t="str">
        <f>""</f>
        <v/>
      </c>
      <c r="F2383" t="str">
        <f>""</f>
        <v/>
      </c>
      <c r="H2383" t="str">
        <f t="shared" si="48"/>
        <v>BCBS PAYABLE</v>
      </c>
    </row>
    <row r="2384" spans="5:8" x14ac:dyDescent="0.25">
      <c r="E2384" t="str">
        <f>""</f>
        <v/>
      </c>
      <c r="F2384" t="str">
        <f>""</f>
        <v/>
      </c>
      <c r="H2384" t="str">
        <f t="shared" si="48"/>
        <v>BCBS PAYABLE</v>
      </c>
    </row>
    <row r="2385" spans="5:8" x14ac:dyDescent="0.25">
      <c r="E2385" t="str">
        <f>""</f>
        <v/>
      </c>
      <c r="F2385" t="str">
        <f>""</f>
        <v/>
      </c>
      <c r="H2385" t="str">
        <f t="shared" si="48"/>
        <v>BCBS PAYABLE</v>
      </c>
    </row>
    <row r="2386" spans="5:8" x14ac:dyDescent="0.25">
      <c r="E2386" t="str">
        <f>""</f>
        <v/>
      </c>
      <c r="F2386" t="str">
        <f>""</f>
        <v/>
      </c>
      <c r="H2386" t="str">
        <f t="shared" si="48"/>
        <v>BCBS PAYABLE</v>
      </c>
    </row>
    <row r="2387" spans="5:8" x14ac:dyDescent="0.25">
      <c r="E2387" t="str">
        <f>""</f>
        <v/>
      </c>
      <c r="F2387" t="str">
        <f>""</f>
        <v/>
      </c>
      <c r="H2387" t="str">
        <f t="shared" si="48"/>
        <v>BCBS PAYABLE</v>
      </c>
    </row>
    <row r="2388" spans="5:8" x14ac:dyDescent="0.25">
      <c r="E2388" t="str">
        <f>""</f>
        <v/>
      </c>
      <c r="F2388" t="str">
        <f>""</f>
        <v/>
      </c>
      <c r="H2388" t="str">
        <f t="shared" si="48"/>
        <v>BCBS PAYABLE</v>
      </c>
    </row>
    <row r="2389" spans="5:8" x14ac:dyDescent="0.25">
      <c r="E2389" t="str">
        <f>""</f>
        <v/>
      </c>
      <c r="F2389" t="str">
        <f>""</f>
        <v/>
      </c>
      <c r="H2389" t="str">
        <f t="shared" si="48"/>
        <v>BCBS PAYABLE</v>
      </c>
    </row>
    <row r="2390" spans="5:8" x14ac:dyDescent="0.25">
      <c r="E2390" t="str">
        <f>""</f>
        <v/>
      </c>
      <c r="F2390" t="str">
        <f>""</f>
        <v/>
      </c>
      <c r="H2390" t="str">
        <f t="shared" si="48"/>
        <v>BCBS PAYABLE</v>
      </c>
    </row>
    <row r="2391" spans="5:8" x14ac:dyDescent="0.25">
      <c r="E2391" t="str">
        <f>""</f>
        <v/>
      </c>
      <c r="F2391" t="str">
        <f>""</f>
        <v/>
      </c>
      <c r="H2391" t="str">
        <f t="shared" si="48"/>
        <v>BCBS PAYABLE</v>
      </c>
    </row>
    <row r="2392" spans="5:8" x14ac:dyDescent="0.25">
      <c r="E2392" t="str">
        <f>""</f>
        <v/>
      </c>
      <c r="F2392" t="str">
        <f>""</f>
        <v/>
      </c>
      <c r="H2392" t="str">
        <f t="shared" si="48"/>
        <v>BCBS PAYABLE</v>
      </c>
    </row>
    <row r="2393" spans="5:8" x14ac:dyDescent="0.25">
      <c r="E2393" t="str">
        <f>""</f>
        <v/>
      </c>
      <c r="F2393" t="str">
        <f>""</f>
        <v/>
      </c>
      <c r="H2393" t="str">
        <f t="shared" si="48"/>
        <v>BCBS PAYABLE</v>
      </c>
    </row>
    <row r="2394" spans="5:8" x14ac:dyDescent="0.25">
      <c r="E2394" t="str">
        <f>""</f>
        <v/>
      </c>
      <c r="F2394" t="str">
        <f>""</f>
        <v/>
      </c>
      <c r="H2394" t="str">
        <f t="shared" si="48"/>
        <v>BCBS PAYABLE</v>
      </c>
    </row>
    <row r="2395" spans="5:8" x14ac:dyDescent="0.25">
      <c r="E2395" t="str">
        <f>""</f>
        <v/>
      </c>
      <c r="F2395" t="str">
        <f>""</f>
        <v/>
      </c>
      <c r="H2395" t="str">
        <f t="shared" si="48"/>
        <v>BCBS PAYABLE</v>
      </c>
    </row>
    <row r="2396" spans="5:8" x14ac:dyDescent="0.25">
      <c r="E2396" t="str">
        <f>"2EO202001224787"</f>
        <v>2EO202001224787</v>
      </c>
      <c r="F2396" t="str">
        <f>"BCBS PAYABLE"</f>
        <v>BCBS PAYABLE</v>
      </c>
      <c r="G2396" s="2">
        <v>4314.4399999999996</v>
      </c>
      <c r="H2396" t="str">
        <f t="shared" si="48"/>
        <v>BCBS PAYABLE</v>
      </c>
    </row>
    <row r="2397" spans="5:8" x14ac:dyDescent="0.25">
      <c r="E2397" t="str">
        <f>"2ES202001084581"</f>
        <v>2ES202001084581</v>
      </c>
      <c r="F2397" t="str">
        <f>"BCBS PAYABLE"</f>
        <v>BCBS PAYABLE</v>
      </c>
      <c r="G2397" s="2">
        <v>15834</v>
      </c>
      <c r="H2397" t="str">
        <f t="shared" si="48"/>
        <v>BCBS PAYABLE</v>
      </c>
    </row>
    <row r="2398" spans="5:8" x14ac:dyDescent="0.25">
      <c r="E2398" t="str">
        <f>""</f>
        <v/>
      </c>
      <c r="F2398" t="str">
        <f>""</f>
        <v/>
      </c>
      <c r="H2398" t="str">
        <f t="shared" si="48"/>
        <v>BCBS PAYABLE</v>
      </c>
    </row>
    <row r="2399" spans="5:8" x14ac:dyDescent="0.25">
      <c r="E2399" t="str">
        <f>""</f>
        <v/>
      </c>
      <c r="F2399" t="str">
        <f>""</f>
        <v/>
      </c>
      <c r="H2399" t="str">
        <f t="shared" si="48"/>
        <v>BCBS PAYABLE</v>
      </c>
    </row>
    <row r="2400" spans="5:8" x14ac:dyDescent="0.25">
      <c r="E2400" t="str">
        <f>""</f>
        <v/>
      </c>
      <c r="F2400" t="str">
        <f>""</f>
        <v/>
      </c>
      <c r="H2400" t="str">
        <f t="shared" si="48"/>
        <v>BCBS PAYABLE</v>
      </c>
    </row>
    <row r="2401" spans="5:8" x14ac:dyDescent="0.25">
      <c r="E2401" t="str">
        <f>""</f>
        <v/>
      </c>
      <c r="F2401" t="str">
        <f>""</f>
        <v/>
      </c>
      <c r="H2401" t="str">
        <f t="shared" si="48"/>
        <v>BCBS PAYABLE</v>
      </c>
    </row>
    <row r="2402" spans="5:8" x14ac:dyDescent="0.25">
      <c r="E2402" t="str">
        <f>""</f>
        <v/>
      </c>
      <c r="F2402" t="str">
        <f>""</f>
        <v/>
      </c>
      <c r="H2402" t="str">
        <f t="shared" si="48"/>
        <v>BCBS PAYABLE</v>
      </c>
    </row>
    <row r="2403" spans="5:8" x14ac:dyDescent="0.25">
      <c r="E2403" t="str">
        <f>""</f>
        <v/>
      </c>
      <c r="F2403" t="str">
        <f>""</f>
        <v/>
      </c>
      <c r="H2403" t="str">
        <f t="shared" si="48"/>
        <v>BCBS PAYABLE</v>
      </c>
    </row>
    <row r="2404" spans="5:8" x14ac:dyDescent="0.25">
      <c r="E2404" t="str">
        <f>""</f>
        <v/>
      </c>
      <c r="F2404" t="str">
        <f>""</f>
        <v/>
      </c>
      <c r="H2404" t="str">
        <f t="shared" si="48"/>
        <v>BCBS PAYABLE</v>
      </c>
    </row>
    <row r="2405" spans="5:8" x14ac:dyDescent="0.25">
      <c r="E2405" t="str">
        <f>""</f>
        <v/>
      </c>
      <c r="F2405" t="str">
        <f>""</f>
        <v/>
      </c>
      <c r="H2405" t="str">
        <f t="shared" si="48"/>
        <v>BCBS PAYABLE</v>
      </c>
    </row>
    <row r="2406" spans="5:8" x14ac:dyDescent="0.25">
      <c r="E2406" t="str">
        <f>""</f>
        <v/>
      </c>
      <c r="F2406" t="str">
        <f>""</f>
        <v/>
      </c>
      <c r="H2406" t="str">
        <f t="shared" si="48"/>
        <v>BCBS PAYABLE</v>
      </c>
    </row>
    <row r="2407" spans="5:8" x14ac:dyDescent="0.25">
      <c r="E2407" t="str">
        <f>""</f>
        <v/>
      </c>
      <c r="F2407" t="str">
        <f>""</f>
        <v/>
      </c>
      <c r="H2407" t="str">
        <f t="shared" si="48"/>
        <v>BCBS PAYABLE</v>
      </c>
    </row>
    <row r="2408" spans="5:8" x14ac:dyDescent="0.25">
      <c r="E2408" t="str">
        <f>""</f>
        <v/>
      </c>
      <c r="F2408" t="str">
        <f>""</f>
        <v/>
      </c>
      <c r="H2408" t="str">
        <f t="shared" si="48"/>
        <v>BCBS PAYABLE</v>
      </c>
    </row>
    <row r="2409" spans="5:8" x14ac:dyDescent="0.25">
      <c r="E2409" t="str">
        <f>""</f>
        <v/>
      </c>
      <c r="F2409" t="str">
        <f>""</f>
        <v/>
      </c>
      <c r="H2409" t="str">
        <f t="shared" si="48"/>
        <v>BCBS PAYABLE</v>
      </c>
    </row>
    <row r="2410" spans="5:8" x14ac:dyDescent="0.25">
      <c r="E2410" t="str">
        <f>""</f>
        <v/>
      </c>
      <c r="F2410" t="str">
        <f>""</f>
        <v/>
      </c>
      <c r="H2410" t="str">
        <f t="shared" si="48"/>
        <v>BCBS PAYABLE</v>
      </c>
    </row>
    <row r="2411" spans="5:8" x14ac:dyDescent="0.25">
      <c r="E2411" t="str">
        <f>""</f>
        <v/>
      </c>
      <c r="F2411" t="str">
        <f>""</f>
        <v/>
      </c>
      <c r="H2411" t="str">
        <f t="shared" si="48"/>
        <v>BCBS PAYABLE</v>
      </c>
    </row>
    <row r="2412" spans="5:8" x14ac:dyDescent="0.25">
      <c r="E2412" t="str">
        <f>""</f>
        <v/>
      </c>
      <c r="F2412" t="str">
        <f>""</f>
        <v/>
      </c>
      <c r="H2412" t="str">
        <f t="shared" si="48"/>
        <v>BCBS PAYABLE</v>
      </c>
    </row>
    <row r="2413" spans="5:8" x14ac:dyDescent="0.25">
      <c r="E2413" t="str">
        <f>"2ES202001224779"</f>
        <v>2ES202001224779</v>
      </c>
      <c r="F2413" t="str">
        <f>"BCBS PAYABLE"</f>
        <v>BCBS PAYABLE</v>
      </c>
      <c r="G2413" s="2">
        <v>15834</v>
      </c>
      <c r="H2413" t="str">
        <f t="shared" ref="H2413:H2428" si="49">"BCBS PAYABLE"</f>
        <v>BCBS PAYABLE</v>
      </c>
    </row>
    <row r="2414" spans="5:8" x14ac:dyDescent="0.25">
      <c r="E2414" t="str">
        <f>""</f>
        <v/>
      </c>
      <c r="F2414" t="str">
        <f>""</f>
        <v/>
      </c>
      <c r="H2414" t="str">
        <f t="shared" si="49"/>
        <v>BCBS PAYABLE</v>
      </c>
    </row>
    <row r="2415" spans="5:8" x14ac:dyDescent="0.25">
      <c r="E2415" t="str">
        <f>""</f>
        <v/>
      </c>
      <c r="F2415" t="str">
        <f>""</f>
        <v/>
      </c>
      <c r="H2415" t="str">
        <f t="shared" si="49"/>
        <v>BCBS PAYABLE</v>
      </c>
    </row>
    <row r="2416" spans="5:8" x14ac:dyDescent="0.25">
      <c r="E2416" t="str">
        <f>""</f>
        <v/>
      </c>
      <c r="F2416" t="str">
        <f>""</f>
        <v/>
      </c>
      <c r="H2416" t="str">
        <f t="shared" si="49"/>
        <v>BCBS PAYABLE</v>
      </c>
    </row>
    <row r="2417" spans="1:8" x14ac:dyDescent="0.25">
      <c r="E2417" t="str">
        <f>""</f>
        <v/>
      </c>
      <c r="F2417" t="str">
        <f>""</f>
        <v/>
      </c>
      <c r="H2417" t="str">
        <f t="shared" si="49"/>
        <v>BCBS PAYABLE</v>
      </c>
    </row>
    <row r="2418" spans="1:8" x14ac:dyDescent="0.25">
      <c r="E2418" t="str">
        <f>""</f>
        <v/>
      </c>
      <c r="F2418" t="str">
        <f>""</f>
        <v/>
      </c>
      <c r="H2418" t="str">
        <f t="shared" si="49"/>
        <v>BCBS PAYABLE</v>
      </c>
    </row>
    <row r="2419" spans="1:8" x14ac:dyDescent="0.25">
      <c r="E2419" t="str">
        <f>""</f>
        <v/>
      </c>
      <c r="F2419" t="str">
        <f>""</f>
        <v/>
      </c>
      <c r="H2419" t="str">
        <f t="shared" si="49"/>
        <v>BCBS PAYABLE</v>
      </c>
    </row>
    <row r="2420" spans="1:8" x14ac:dyDescent="0.25">
      <c r="E2420" t="str">
        <f>""</f>
        <v/>
      </c>
      <c r="F2420" t="str">
        <f>""</f>
        <v/>
      </c>
      <c r="H2420" t="str">
        <f t="shared" si="49"/>
        <v>BCBS PAYABLE</v>
      </c>
    </row>
    <row r="2421" spans="1:8" x14ac:dyDescent="0.25">
      <c r="E2421" t="str">
        <f>""</f>
        <v/>
      </c>
      <c r="F2421" t="str">
        <f>""</f>
        <v/>
      </c>
      <c r="H2421" t="str">
        <f t="shared" si="49"/>
        <v>BCBS PAYABLE</v>
      </c>
    </row>
    <row r="2422" spans="1:8" x14ac:dyDescent="0.25">
      <c r="E2422" t="str">
        <f>""</f>
        <v/>
      </c>
      <c r="F2422" t="str">
        <f>""</f>
        <v/>
      </c>
      <c r="H2422" t="str">
        <f t="shared" si="49"/>
        <v>BCBS PAYABLE</v>
      </c>
    </row>
    <row r="2423" spans="1:8" x14ac:dyDescent="0.25">
      <c r="E2423" t="str">
        <f>""</f>
        <v/>
      </c>
      <c r="F2423" t="str">
        <f>""</f>
        <v/>
      </c>
      <c r="H2423" t="str">
        <f t="shared" si="49"/>
        <v>BCBS PAYABLE</v>
      </c>
    </row>
    <row r="2424" spans="1:8" x14ac:dyDescent="0.25">
      <c r="E2424" t="str">
        <f>""</f>
        <v/>
      </c>
      <c r="F2424" t="str">
        <f>""</f>
        <v/>
      </c>
      <c r="H2424" t="str">
        <f t="shared" si="49"/>
        <v>BCBS PAYABLE</v>
      </c>
    </row>
    <row r="2425" spans="1:8" x14ac:dyDescent="0.25">
      <c r="E2425" t="str">
        <f>""</f>
        <v/>
      </c>
      <c r="F2425" t="str">
        <f>""</f>
        <v/>
      </c>
      <c r="H2425" t="str">
        <f t="shared" si="49"/>
        <v>BCBS PAYABLE</v>
      </c>
    </row>
    <row r="2426" spans="1:8" x14ac:dyDescent="0.25">
      <c r="E2426" t="str">
        <f>""</f>
        <v/>
      </c>
      <c r="F2426" t="str">
        <f>""</f>
        <v/>
      </c>
      <c r="H2426" t="str">
        <f t="shared" si="49"/>
        <v>BCBS PAYABLE</v>
      </c>
    </row>
    <row r="2427" spans="1:8" x14ac:dyDescent="0.25">
      <c r="E2427" t="str">
        <f>""</f>
        <v/>
      </c>
      <c r="F2427" t="str">
        <f>""</f>
        <v/>
      </c>
      <c r="H2427" t="str">
        <f t="shared" si="49"/>
        <v>BCBS PAYABLE</v>
      </c>
    </row>
    <row r="2428" spans="1:8" x14ac:dyDescent="0.25">
      <c r="E2428" t="str">
        <f>""</f>
        <v/>
      </c>
      <c r="F2428" t="str">
        <f>""</f>
        <v/>
      </c>
      <c r="H2428" t="str">
        <f t="shared" si="49"/>
        <v>BCBS PAYABLE</v>
      </c>
    </row>
    <row r="2429" spans="1:8" x14ac:dyDescent="0.25">
      <c r="A2429" t="s">
        <v>460</v>
      </c>
      <c r="B2429">
        <v>339</v>
      </c>
      <c r="C2429" s="2">
        <v>9775.7900000000009</v>
      </c>
      <c r="D2429" s="1">
        <v>43840</v>
      </c>
      <c r="E2429" t="str">
        <f>"HRA202001064409"</f>
        <v>HRA202001064409</v>
      </c>
      <c r="F2429" t="str">
        <f>"TASC HRA"</f>
        <v>TASC HRA</v>
      </c>
      <c r="G2429" s="2">
        <v>-2500.1999999999998</v>
      </c>
      <c r="H2429" t="str">
        <f>"TASC HRA"</f>
        <v>TASC HRA</v>
      </c>
    </row>
    <row r="2430" spans="1:8" x14ac:dyDescent="0.25">
      <c r="E2430" t="str">
        <f>""</f>
        <v/>
      </c>
      <c r="F2430" t="str">
        <f>""</f>
        <v/>
      </c>
      <c r="H2430" t="str">
        <f>"TASC HRA"</f>
        <v>TASC HRA</v>
      </c>
    </row>
    <row r="2431" spans="1:8" x14ac:dyDescent="0.25">
      <c r="E2431" t="str">
        <f>""</f>
        <v/>
      </c>
      <c r="F2431" t="str">
        <f>""</f>
        <v/>
      </c>
      <c r="H2431" t="str">
        <f>"TASC HRA"</f>
        <v>TASC HRA</v>
      </c>
    </row>
    <row r="2432" spans="1:8" x14ac:dyDescent="0.25">
      <c r="E2432" t="str">
        <f>"FSA202001084581"</f>
        <v>FSA202001084581</v>
      </c>
      <c r="F2432" t="str">
        <f>"TASC FSA"</f>
        <v>TASC FSA</v>
      </c>
      <c r="G2432" s="2">
        <v>7637.38</v>
      </c>
      <c r="H2432" t="str">
        <f>"TASC FSA"</f>
        <v>TASC FSA</v>
      </c>
    </row>
    <row r="2433" spans="5:8" x14ac:dyDescent="0.25">
      <c r="E2433" t="str">
        <f>"FSA202001084582"</f>
        <v>FSA202001084582</v>
      </c>
      <c r="F2433" t="str">
        <f>"TASC FSA"</f>
        <v>TASC FSA</v>
      </c>
      <c r="G2433" s="2">
        <v>445.4</v>
      </c>
      <c r="H2433" t="str">
        <f>"TASC FSA"</f>
        <v>TASC FSA</v>
      </c>
    </row>
    <row r="2434" spans="5:8" x14ac:dyDescent="0.25">
      <c r="E2434" t="str">
        <f>"FSC202001084581"</f>
        <v>FSC202001084581</v>
      </c>
      <c r="F2434" t="str">
        <f>"TASC DEPENDENT CARE"</f>
        <v>TASC DEPENDENT CARE</v>
      </c>
      <c r="G2434" s="2">
        <v>470</v>
      </c>
      <c r="H2434" t="str">
        <f>"TASC DEPENDENT CARE"</f>
        <v>TASC DEPENDENT CARE</v>
      </c>
    </row>
    <row r="2435" spans="5:8" x14ac:dyDescent="0.25">
      <c r="E2435" t="str">
        <f>"FSF202001084581"</f>
        <v>FSF202001084581</v>
      </c>
      <c r="F2435" t="str">
        <f>"TASC - FSA  FEES"</f>
        <v>TASC - FSA  FEES</v>
      </c>
      <c r="G2435" s="2">
        <v>252</v>
      </c>
      <c r="H2435" t="str">
        <f t="shared" ref="H2435:H2475" si="50">"TASC - FSA  FEES"</f>
        <v>TASC - FSA  FEES</v>
      </c>
    </row>
    <row r="2436" spans="5:8" x14ac:dyDescent="0.25">
      <c r="E2436" t="str">
        <f>""</f>
        <v/>
      </c>
      <c r="F2436" t="str">
        <f>""</f>
        <v/>
      </c>
      <c r="H2436" t="str">
        <f t="shared" si="50"/>
        <v>TASC - FSA  FEES</v>
      </c>
    </row>
    <row r="2437" spans="5:8" x14ac:dyDescent="0.25">
      <c r="E2437" t="str">
        <f>""</f>
        <v/>
      </c>
      <c r="F2437" t="str">
        <f>""</f>
        <v/>
      </c>
      <c r="H2437" t="str">
        <f t="shared" si="50"/>
        <v>TASC - FSA  FEES</v>
      </c>
    </row>
    <row r="2438" spans="5:8" x14ac:dyDescent="0.25">
      <c r="E2438" t="str">
        <f>""</f>
        <v/>
      </c>
      <c r="F2438" t="str">
        <f>""</f>
        <v/>
      </c>
      <c r="H2438" t="str">
        <f t="shared" si="50"/>
        <v>TASC - FSA  FEES</v>
      </c>
    </row>
    <row r="2439" spans="5:8" x14ac:dyDescent="0.25">
      <c r="E2439" t="str">
        <f>""</f>
        <v/>
      </c>
      <c r="F2439" t="str">
        <f>""</f>
        <v/>
      </c>
      <c r="H2439" t="str">
        <f t="shared" si="50"/>
        <v>TASC - FSA  FEES</v>
      </c>
    </row>
    <row r="2440" spans="5:8" x14ac:dyDescent="0.25">
      <c r="E2440" t="str">
        <f>""</f>
        <v/>
      </c>
      <c r="F2440" t="str">
        <f>""</f>
        <v/>
      </c>
      <c r="H2440" t="str">
        <f t="shared" si="50"/>
        <v>TASC - FSA  FEES</v>
      </c>
    </row>
    <row r="2441" spans="5:8" x14ac:dyDescent="0.25">
      <c r="E2441" t="str">
        <f>""</f>
        <v/>
      </c>
      <c r="F2441" t="str">
        <f>""</f>
        <v/>
      </c>
      <c r="H2441" t="str">
        <f t="shared" si="50"/>
        <v>TASC - FSA  FEES</v>
      </c>
    </row>
    <row r="2442" spans="5:8" x14ac:dyDescent="0.25">
      <c r="E2442" t="str">
        <f>""</f>
        <v/>
      </c>
      <c r="F2442" t="str">
        <f>""</f>
        <v/>
      </c>
      <c r="H2442" t="str">
        <f t="shared" si="50"/>
        <v>TASC - FSA  FEES</v>
      </c>
    </row>
    <row r="2443" spans="5:8" x14ac:dyDescent="0.25">
      <c r="E2443" t="str">
        <f>""</f>
        <v/>
      </c>
      <c r="F2443" t="str">
        <f>""</f>
        <v/>
      </c>
      <c r="H2443" t="str">
        <f t="shared" si="50"/>
        <v>TASC - FSA  FEES</v>
      </c>
    </row>
    <row r="2444" spans="5:8" x14ac:dyDescent="0.25">
      <c r="E2444" t="str">
        <f>""</f>
        <v/>
      </c>
      <c r="F2444" t="str">
        <f>""</f>
        <v/>
      </c>
      <c r="H2444" t="str">
        <f t="shared" si="50"/>
        <v>TASC - FSA  FEES</v>
      </c>
    </row>
    <row r="2445" spans="5:8" x14ac:dyDescent="0.25">
      <c r="E2445" t="str">
        <f>""</f>
        <v/>
      </c>
      <c r="F2445" t="str">
        <f>""</f>
        <v/>
      </c>
      <c r="H2445" t="str">
        <f t="shared" si="50"/>
        <v>TASC - FSA  FEES</v>
      </c>
    </row>
    <row r="2446" spans="5:8" x14ac:dyDescent="0.25">
      <c r="E2446" t="str">
        <f>""</f>
        <v/>
      </c>
      <c r="F2446" t="str">
        <f>""</f>
        <v/>
      </c>
      <c r="H2446" t="str">
        <f t="shared" si="50"/>
        <v>TASC - FSA  FEES</v>
      </c>
    </row>
    <row r="2447" spans="5:8" x14ac:dyDescent="0.25">
      <c r="E2447" t="str">
        <f>""</f>
        <v/>
      </c>
      <c r="F2447" t="str">
        <f>""</f>
        <v/>
      </c>
      <c r="H2447" t="str">
        <f t="shared" si="50"/>
        <v>TASC - FSA  FEES</v>
      </c>
    </row>
    <row r="2448" spans="5:8" x14ac:dyDescent="0.25">
      <c r="E2448" t="str">
        <f>""</f>
        <v/>
      </c>
      <c r="F2448" t="str">
        <f>""</f>
        <v/>
      </c>
      <c r="H2448" t="str">
        <f t="shared" si="50"/>
        <v>TASC - FSA  FEES</v>
      </c>
    </row>
    <row r="2449" spans="5:8" x14ac:dyDescent="0.25">
      <c r="E2449" t="str">
        <f>""</f>
        <v/>
      </c>
      <c r="F2449" t="str">
        <f>""</f>
        <v/>
      </c>
      <c r="H2449" t="str">
        <f t="shared" si="50"/>
        <v>TASC - FSA  FEES</v>
      </c>
    </row>
    <row r="2450" spans="5:8" x14ac:dyDescent="0.25">
      <c r="E2450" t="str">
        <f>""</f>
        <v/>
      </c>
      <c r="F2450" t="str">
        <f>""</f>
        <v/>
      </c>
      <c r="H2450" t="str">
        <f t="shared" si="50"/>
        <v>TASC - FSA  FEES</v>
      </c>
    </row>
    <row r="2451" spans="5:8" x14ac:dyDescent="0.25">
      <c r="E2451" t="str">
        <f>""</f>
        <v/>
      </c>
      <c r="F2451" t="str">
        <f>""</f>
        <v/>
      </c>
      <c r="H2451" t="str">
        <f t="shared" si="50"/>
        <v>TASC - FSA  FEES</v>
      </c>
    </row>
    <row r="2452" spans="5:8" x14ac:dyDescent="0.25">
      <c r="E2452" t="str">
        <f>""</f>
        <v/>
      </c>
      <c r="F2452" t="str">
        <f>""</f>
        <v/>
      </c>
      <c r="H2452" t="str">
        <f t="shared" si="50"/>
        <v>TASC - FSA  FEES</v>
      </c>
    </row>
    <row r="2453" spans="5:8" x14ac:dyDescent="0.25">
      <c r="E2453" t="str">
        <f>""</f>
        <v/>
      </c>
      <c r="F2453" t="str">
        <f>""</f>
        <v/>
      </c>
      <c r="H2453" t="str">
        <f t="shared" si="50"/>
        <v>TASC - FSA  FEES</v>
      </c>
    </row>
    <row r="2454" spans="5:8" x14ac:dyDescent="0.25">
      <c r="E2454" t="str">
        <f>""</f>
        <v/>
      </c>
      <c r="F2454" t="str">
        <f>""</f>
        <v/>
      </c>
      <c r="H2454" t="str">
        <f t="shared" si="50"/>
        <v>TASC - FSA  FEES</v>
      </c>
    </row>
    <row r="2455" spans="5:8" x14ac:dyDescent="0.25">
      <c r="E2455" t="str">
        <f>""</f>
        <v/>
      </c>
      <c r="F2455" t="str">
        <f>""</f>
        <v/>
      </c>
      <c r="H2455" t="str">
        <f t="shared" si="50"/>
        <v>TASC - FSA  FEES</v>
      </c>
    </row>
    <row r="2456" spans="5:8" x14ac:dyDescent="0.25">
      <c r="E2456" t="str">
        <f>""</f>
        <v/>
      </c>
      <c r="F2456" t="str">
        <f>""</f>
        <v/>
      </c>
      <c r="H2456" t="str">
        <f t="shared" si="50"/>
        <v>TASC - FSA  FEES</v>
      </c>
    </row>
    <row r="2457" spans="5:8" x14ac:dyDescent="0.25">
      <c r="E2457" t="str">
        <f>""</f>
        <v/>
      </c>
      <c r="F2457" t="str">
        <f>""</f>
        <v/>
      </c>
      <c r="H2457" t="str">
        <f t="shared" si="50"/>
        <v>TASC - FSA  FEES</v>
      </c>
    </row>
    <row r="2458" spans="5:8" x14ac:dyDescent="0.25">
      <c r="E2458" t="str">
        <f>""</f>
        <v/>
      </c>
      <c r="F2458" t="str">
        <f>""</f>
        <v/>
      </c>
      <c r="H2458" t="str">
        <f t="shared" si="50"/>
        <v>TASC - FSA  FEES</v>
      </c>
    </row>
    <row r="2459" spans="5:8" x14ac:dyDescent="0.25">
      <c r="E2459" t="str">
        <f>""</f>
        <v/>
      </c>
      <c r="F2459" t="str">
        <f>""</f>
        <v/>
      </c>
      <c r="H2459" t="str">
        <f t="shared" si="50"/>
        <v>TASC - FSA  FEES</v>
      </c>
    </row>
    <row r="2460" spans="5:8" x14ac:dyDescent="0.25">
      <c r="E2460" t="str">
        <f>""</f>
        <v/>
      </c>
      <c r="F2460" t="str">
        <f>""</f>
        <v/>
      </c>
      <c r="H2460" t="str">
        <f t="shared" si="50"/>
        <v>TASC - FSA  FEES</v>
      </c>
    </row>
    <row r="2461" spans="5:8" x14ac:dyDescent="0.25">
      <c r="E2461" t="str">
        <f>""</f>
        <v/>
      </c>
      <c r="F2461" t="str">
        <f>""</f>
        <v/>
      </c>
      <c r="H2461" t="str">
        <f t="shared" si="50"/>
        <v>TASC - FSA  FEES</v>
      </c>
    </row>
    <row r="2462" spans="5:8" x14ac:dyDescent="0.25">
      <c r="E2462" t="str">
        <f>""</f>
        <v/>
      </c>
      <c r="F2462" t="str">
        <f>""</f>
        <v/>
      </c>
      <c r="H2462" t="str">
        <f t="shared" si="50"/>
        <v>TASC - FSA  FEES</v>
      </c>
    </row>
    <row r="2463" spans="5:8" x14ac:dyDescent="0.25">
      <c r="E2463" t="str">
        <f>""</f>
        <v/>
      </c>
      <c r="F2463" t="str">
        <f>""</f>
        <v/>
      </c>
      <c r="H2463" t="str">
        <f t="shared" si="50"/>
        <v>TASC - FSA  FEES</v>
      </c>
    </row>
    <row r="2464" spans="5:8" x14ac:dyDescent="0.25">
      <c r="E2464" t="str">
        <f>""</f>
        <v/>
      </c>
      <c r="F2464" t="str">
        <f>""</f>
        <v/>
      </c>
      <c r="H2464" t="str">
        <f t="shared" si="50"/>
        <v>TASC - FSA  FEES</v>
      </c>
    </row>
    <row r="2465" spans="5:8" x14ac:dyDescent="0.25">
      <c r="E2465" t="str">
        <f>""</f>
        <v/>
      </c>
      <c r="F2465" t="str">
        <f>""</f>
        <v/>
      </c>
      <c r="H2465" t="str">
        <f t="shared" si="50"/>
        <v>TASC - FSA  FEES</v>
      </c>
    </row>
    <row r="2466" spans="5:8" x14ac:dyDescent="0.25">
      <c r="E2466" t="str">
        <f>""</f>
        <v/>
      </c>
      <c r="F2466" t="str">
        <f>""</f>
        <v/>
      </c>
      <c r="H2466" t="str">
        <f t="shared" si="50"/>
        <v>TASC - FSA  FEES</v>
      </c>
    </row>
    <row r="2467" spans="5:8" x14ac:dyDescent="0.25">
      <c r="E2467" t="str">
        <f>""</f>
        <v/>
      </c>
      <c r="F2467" t="str">
        <f>""</f>
        <v/>
      </c>
      <c r="H2467" t="str">
        <f t="shared" si="50"/>
        <v>TASC - FSA  FEES</v>
      </c>
    </row>
    <row r="2468" spans="5:8" x14ac:dyDescent="0.25">
      <c r="E2468" t="str">
        <f>""</f>
        <v/>
      </c>
      <c r="F2468" t="str">
        <f>""</f>
        <v/>
      </c>
      <c r="H2468" t="str">
        <f t="shared" si="50"/>
        <v>TASC - FSA  FEES</v>
      </c>
    </row>
    <row r="2469" spans="5:8" x14ac:dyDescent="0.25">
      <c r="E2469" t="str">
        <f>""</f>
        <v/>
      </c>
      <c r="F2469" t="str">
        <f>""</f>
        <v/>
      </c>
      <c r="H2469" t="str">
        <f t="shared" si="50"/>
        <v>TASC - FSA  FEES</v>
      </c>
    </row>
    <row r="2470" spans="5:8" x14ac:dyDescent="0.25">
      <c r="E2470" t="str">
        <f>""</f>
        <v/>
      </c>
      <c r="F2470" t="str">
        <f>""</f>
        <v/>
      </c>
      <c r="H2470" t="str">
        <f t="shared" si="50"/>
        <v>TASC - FSA  FEES</v>
      </c>
    </row>
    <row r="2471" spans="5:8" x14ac:dyDescent="0.25">
      <c r="E2471" t="str">
        <f>""</f>
        <v/>
      </c>
      <c r="F2471" t="str">
        <f>""</f>
        <v/>
      </c>
      <c r="H2471" t="str">
        <f t="shared" si="50"/>
        <v>TASC - FSA  FEES</v>
      </c>
    </row>
    <row r="2472" spans="5:8" x14ac:dyDescent="0.25">
      <c r="E2472" t="str">
        <f>""</f>
        <v/>
      </c>
      <c r="F2472" t="str">
        <f>""</f>
        <v/>
      </c>
      <c r="H2472" t="str">
        <f t="shared" si="50"/>
        <v>TASC - FSA  FEES</v>
      </c>
    </row>
    <row r="2473" spans="5:8" x14ac:dyDescent="0.25">
      <c r="E2473" t="str">
        <f>""</f>
        <v/>
      </c>
      <c r="F2473" t="str">
        <f>""</f>
        <v/>
      </c>
      <c r="H2473" t="str">
        <f t="shared" si="50"/>
        <v>TASC - FSA  FEES</v>
      </c>
    </row>
    <row r="2474" spans="5:8" x14ac:dyDescent="0.25">
      <c r="E2474" t="str">
        <f>""</f>
        <v/>
      </c>
      <c r="F2474" t="str">
        <f>""</f>
        <v/>
      </c>
      <c r="H2474" t="str">
        <f t="shared" si="50"/>
        <v>TASC - FSA  FEES</v>
      </c>
    </row>
    <row r="2475" spans="5:8" x14ac:dyDescent="0.25">
      <c r="E2475" t="str">
        <f>"FSF202001084582"</f>
        <v>FSF202001084582</v>
      </c>
      <c r="F2475" t="str">
        <f>"TASC - FSA  FEES"</f>
        <v>TASC - FSA  FEES</v>
      </c>
      <c r="G2475" s="2">
        <v>12.6</v>
      </c>
      <c r="H2475" t="str">
        <f t="shared" si="50"/>
        <v>TASC - FSA  FEES</v>
      </c>
    </row>
    <row r="2476" spans="5:8" x14ac:dyDescent="0.25">
      <c r="E2476" t="str">
        <f>"HRA202001084581"</f>
        <v>HRA202001084581</v>
      </c>
      <c r="F2476" t="str">
        <f>"TASC HRA"</f>
        <v>TASC HRA</v>
      </c>
      <c r="G2476" s="2">
        <v>2625.21</v>
      </c>
      <c r="H2476" t="str">
        <f t="shared" ref="H2476:H2481" si="51">"TASC HRA"</f>
        <v>TASC HRA</v>
      </c>
    </row>
    <row r="2477" spans="5:8" x14ac:dyDescent="0.25">
      <c r="E2477" t="str">
        <f>""</f>
        <v/>
      </c>
      <c r="F2477" t="str">
        <f>""</f>
        <v/>
      </c>
      <c r="H2477" t="str">
        <f t="shared" si="51"/>
        <v>TASC HRA</v>
      </c>
    </row>
    <row r="2478" spans="5:8" x14ac:dyDescent="0.25">
      <c r="E2478" t="str">
        <f>""</f>
        <v/>
      </c>
      <c r="F2478" t="str">
        <f>""</f>
        <v/>
      </c>
      <c r="H2478" t="str">
        <f t="shared" si="51"/>
        <v>TASC HRA</v>
      </c>
    </row>
    <row r="2479" spans="5:8" x14ac:dyDescent="0.25">
      <c r="E2479" t="str">
        <f>""</f>
        <v/>
      </c>
      <c r="F2479" t="str">
        <f>""</f>
        <v/>
      </c>
      <c r="H2479" t="str">
        <f t="shared" si="51"/>
        <v>TASC HRA</v>
      </c>
    </row>
    <row r="2480" spans="5:8" x14ac:dyDescent="0.25">
      <c r="E2480" t="str">
        <f>""</f>
        <v/>
      </c>
      <c r="F2480" t="str">
        <f>""</f>
        <v/>
      </c>
      <c r="H2480" t="str">
        <f t="shared" si="51"/>
        <v>TASC HRA</v>
      </c>
    </row>
    <row r="2481" spans="5:8" x14ac:dyDescent="0.25">
      <c r="E2481" t="str">
        <f>""</f>
        <v/>
      </c>
      <c r="F2481" t="str">
        <f>""</f>
        <v/>
      </c>
      <c r="H2481" t="str">
        <f t="shared" si="51"/>
        <v>TASC HRA</v>
      </c>
    </row>
    <row r="2482" spans="5:8" x14ac:dyDescent="0.25">
      <c r="E2482" t="str">
        <f>"HRF202001084581"</f>
        <v>HRF202001084581</v>
      </c>
      <c r="F2482" t="str">
        <f>"TASC - HRA FEES"</f>
        <v>TASC - HRA FEES</v>
      </c>
      <c r="G2482" s="2">
        <v>802.8</v>
      </c>
      <c r="H2482" t="str">
        <f t="shared" ref="H2482:H2513" si="52">"TASC - HRA FEES"</f>
        <v>TASC - HRA FEES</v>
      </c>
    </row>
    <row r="2483" spans="5:8" x14ac:dyDescent="0.25">
      <c r="E2483" t="str">
        <f>""</f>
        <v/>
      </c>
      <c r="F2483" t="str">
        <f>""</f>
        <v/>
      </c>
      <c r="H2483" t="str">
        <f t="shared" si="52"/>
        <v>TASC - HRA FEES</v>
      </c>
    </row>
    <row r="2484" spans="5:8" x14ac:dyDescent="0.25">
      <c r="E2484" t="str">
        <f>""</f>
        <v/>
      </c>
      <c r="F2484" t="str">
        <f>""</f>
        <v/>
      </c>
      <c r="H2484" t="str">
        <f t="shared" si="52"/>
        <v>TASC - HRA FEES</v>
      </c>
    </row>
    <row r="2485" spans="5:8" x14ac:dyDescent="0.25">
      <c r="E2485" t="str">
        <f>""</f>
        <v/>
      </c>
      <c r="F2485" t="str">
        <f>""</f>
        <v/>
      </c>
      <c r="H2485" t="str">
        <f t="shared" si="52"/>
        <v>TASC - HRA FEES</v>
      </c>
    </row>
    <row r="2486" spans="5:8" x14ac:dyDescent="0.25">
      <c r="E2486" t="str">
        <f>""</f>
        <v/>
      </c>
      <c r="F2486" t="str">
        <f>""</f>
        <v/>
      </c>
      <c r="H2486" t="str">
        <f t="shared" si="52"/>
        <v>TASC - HRA FEES</v>
      </c>
    </row>
    <row r="2487" spans="5:8" x14ac:dyDescent="0.25">
      <c r="E2487" t="str">
        <f>""</f>
        <v/>
      </c>
      <c r="F2487" t="str">
        <f>""</f>
        <v/>
      </c>
      <c r="H2487" t="str">
        <f t="shared" si="52"/>
        <v>TASC - HRA FEES</v>
      </c>
    </row>
    <row r="2488" spans="5:8" x14ac:dyDescent="0.25">
      <c r="E2488" t="str">
        <f>""</f>
        <v/>
      </c>
      <c r="F2488" t="str">
        <f>""</f>
        <v/>
      </c>
      <c r="H2488" t="str">
        <f t="shared" si="52"/>
        <v>TASC - HRA FEES</v>
      </c>
    </row>
    <row r="2489" spans="5:8" x14ac:dyDescent="0.25">
      <c r="E2489" t="str">
        <f>""</f>
        <v/>
      </c>
      <c r="F2489" t="str">
        <f>""</f>
        <v/>
      </c>
      <c r="H2489" t="str">
        <f t="shared" si="52"/>
        <v>TASC - HRA FEES</v>
      </c>
    </row>
    <row r="2490" spans="5:8" x14ac:dyDescent="0.25">
      <c r="E2490" t="str">
        <f>""</f>
        <v/>
      </c>
      <c r="F2490" t="str">
        <f>""</f>
        <v/>
      </c>
      <c r="H2490" t="str">
        <f t="shared" si="52"/>
        <v>TASC - HRA FEES</v>
      </c>
    </row>
    <row r="2491" spans="5:8" x14ac:dyDescent="0.25">
      <c r="E2491" t="str">
        <f>""</f>
        <v/>
      </c>
      <c r="F2491" t="str">
        <f>""</f>
        <v/>
      </c>
      <c r="H2491" t="str">
        <f t="shared" si="52"/>
        <v>TASC - HRA FEES</v>
      </c>
    </row>
    <row r="2492" spans="5:8" x14ac:dyDescent="0.25">
      <c r="E2492" t="str">
        <f>""</f>
        <v/>
      </c>
      <c r="F2492" t="str">
        <f>""</f>
        <v/>
      </c>
      <c r="H2492" t="str">
        <f t="shared" si="52"/>
        <v>TASC - HRA FEES</v>
      </c>
    </row>
    <row r="2493" spans="5:8" x14ac:dyDescent="0.25">
      <c r="E2493" t="str">
        <f>""</f>
        <v/>
      </c>
      <c r="F2493" t="str">
        <f>""</f>
        <v/>
      </c>
      <c r="H2493" t="str">
        <f t="shared" si="52"/>
        <v>TASC - HRA FEES</v>
      </c>
    </row>
    <row r="2494" spans="5:8" x14ac:dyDescent="0.25">
      <c r="E2494" t="str">
        <f>""</f>
        <v/>
      </c>
      <c r="F2494" t="str">
        <f>""</f>
        <v/>
      </c>
      <c r="H2494" t="str">
        <f t="shared" si="52"/>
        <v>TASC - HRA FEES</v>
      </c>
    </row>
    <row r="2495" spans="5:8" x14ac:dyDescent="0.25">
      <c r="E2495" t="str">
        <f>""</f>
        <v/>
      </c>
      <c r="F2495" t="str">
        <f>""</f>
        <v/>
      </c>
      <c r="H2495" t="str">
        <f t="shared" si="52"/>
        <v>TASC - HRA FEES</v>
      </c>
    </row>
    <row r="2496" spans="5:8" x14ac:dyDescent="0.25">
      <c r="E2496" t="str">
        <f>""</f>
        <v/>
      </c>
      <c r="F2496" t="str">
        <f>""</f>
        <v/>
      </c>
      <c r="H2496" t="str">
        <f t="shared" si="52"/>
        <v>TASC - HRA FEES</v>
      </c>
    </row>
    <row r="2497" spans="5:8" x14ac:dyDescent="0.25">
      <c r="E2497" t="str">
        <f>""</f>
        <v/>
      </c>
      <c r="F2497" t="str">
        <f>""</f>
        <v/>
      </c>
      <c r="H2497" t="str">
        <f t="shared" si="52"/>
        <v>TASC - HRA FEES</v>
      </c>
    </row>
    <row r="2498" spans="5:8" x14ac:dyDescent="0.25">
      <c r="E2498" t="str">
        <f>""</f>
        <v/>
      </c>
      <c r="F2498" t="str">
        <f>""</f>
        <v/>
      </c>
      <c r="H2498" t="str">
        <f t="shared" si="52"/>
        <v>TASC - HRA FEES</v>
      </c>
    </row>
    <row r="2499" spans="5:8" x14ac:dyDescent="0.25">
      <c r="E2499" t="str">
        <f>""</f>
        <v/>
      </c>
      <c r="F2499" t="str">
        <f>""</f>
        <v/>
      </c>
      <c r="H2499" t="str">
        <f t="shared" si="52"/>
        <v>TASC - HRA FEES</v>
      </c>
    </row>
    <row r="2500" spans="5:8" x14ac:dyDescent="0.25">
      <c r="E2500" t="str">
        <f>""</f>
        <v/>
      </c>
      <c r="F2500" t="str">
        <f>""</f>
        <v/>
      </c>
      <c r="H2500" t="str">
        <f t="shared" si="52"/>
        <v>TASC - HRA FEES</v>
      </c>
    </row>
    <row r="2501" spans="5:8" x14ac:dyDescent="0.25">
      <c r="E2501" t="str">
        <f>""</f>
        <v/>
      </c>
      <c r="F2501" t="str">
        <f>""</f>
        <v/>
      </c>
      <c r="H2501" t="str">
        <f t="shared" si="52"/>
        <v>TASC - HRA FEES</v>
      </c>
    </row>
    <row r="2502" spans="5:8" x14ac:dyDescent="0.25">
      <c r="E2502" t="str">
        <f>""</f>
        <v/>
      </c>
      <c r="F2502" t="str">
        <f>""</f>
        <v/>
      </c>
      <c r="H2502" t="str">
        <f t="shared" si="52"/>
        <v>TASC - HRA FEES</v>
      </c>
    </row>
    <row r="2503" spans="5:8" x14ac:dyDescent="0.25">
      <c r="E2503" t="str">
        <f>""</f>
        <v/>
      </c>
      <c r="F2503" t="str">
        <f>""</f>
        <v/>
      </c>
      <c r="H2503" t="str">
        <f t="shared" si="52"/>
        <v>TASC - HRA FEES</v>
      </c>
    </row>
    <row r="2504" spans="5:8" x14ac:dyDescent="0.25">
      <c r="E2504" t="str">
        <f>""</f>
        <v/>
      </c>
      <c r="F2504" t="str">
        <f>""</f>
        <v/>
      </c>
      <c r="H2504" t="str">
        <f t="shared" si="52"/>
        <v>TASC - HRA FEES</v>
      </c>
    </row>
    <row r="2505" spans="5:8" x14ac:dyDescent="0.25">
      <c r="E2505" t="str">
        <f>""</f>
        <v/>
      </c>
      <c r="F2505" t="str">
        <f>""</f>
        <v/>
      </c>
      <c r="H2505" t="str">
        <f t="shared" si="52"/>
        <v>TASC - HRA FEES</v>
      </c>
    </row>
    <row r="2506" spans="5:8" x14ac:dyDescent="0.25">
      <c r="E2506" t="str">
        <f>""</f>
        <v/>
      </c>
      <c r="F2506" t="str">
        <f>""</f>
        <v/>
      </c>
      <c r="H2506" t="str">
        <f t="shared" si="52"/>
        <v>TASC - HRA FEES</v>
      </c>
    </row>
    <row r="2507" spans="5:8" x14ac:dyDescent="0.25">
      <c r="E2507" t="str">
        <f>""</f>
        <v/>
      </c>
      <c r="F2507" t="str">
        <f>""</f>
        <v/>
      </c>
      <c r="H2507" t="str">
        <f t="shared" si="52"/>
        <v>TASC - HRA FEES</v>
      </c>
    </row>
    <row r="2508" spans="5:8" x14ac:dyDescent="0.25">
      <c r="E2508" t="str">
        <f>""</f>
        <v/>
      </c>
      <c r="F2508" t="str">
        <f>""</f>
        <v/>
      </c>
      <c r="H2508" t="str">
        <f t="shared" si="52"/>
        <v>TASC - HRA FEES</v>
      </c>
    </row>
    <row r="2509" spans="5:8" x14ac:dyDescent="0.25">
      <c r="E2509" t="str">
        <f>""</f>
        <v/>
      </c>
      <c r="F2509" t="str">
        <f>""</f>
        <v/>
      </c>
      <c r="H2509" t="str">
        <f t="shared" si="52"/>
        <v>TASC - HRA FEES</v>
      </c>
    </row>
    <row r="2510" spans="5:8" x14ac:dyDescent="0.25">
      <c r="E2510" t="str">
        <f>""</f>
        <v/>
      </c>
      <c r="F2510" t="str">
        <f>""</f>
        <v/>
      </c>
      <c r="H2510" t="str">
        <f t="shared" si="52"/>
        <v>TASC - HRA FEES</v>
      </c>
    </row>
    <row r="2511" spans="5:8" x14ac:dyDescent="0.25">
      <c r="E2511" t="str">
        <f>""</f>
        <v/>
      </c>
      <c r="F2511" t="str">
        <f>""</f>
        <v/>
      </c>
      <c r="H2511" t="str">
        <f t="shared" si="52"/>
        <v>TASC - HRA FEES</v>
      </c>
    </row>
    <row r="2512" spans="5:8" x14ac:dyDescent="0.25">
      <c r="E2512" t="str">
        <f>""</f>
        <v/>
      </c>
      <c r="F2512" t="str">
        <f>""</f>
        <v/>
      </c>
      <c r="H2512" t="str">
        <f t="shared" si="52"/>
        <v>TASC - HRA FEES</v>
      </c>
    </row>
    <row r="2513" spans="5:8" x14ac:dyDescent="0.25">
      <c r="E2513" t="str">
        <f>""</f>
        <v/>
      </c>
      <c r="F2513" t="str">
        <f>""</f>
        <v/>
      </c>
      <c r="H2513" t="str">
        <f t="shared" si="52"/>
        <v>TASC - HRA FEES</v>
      </c>
    </row>
    <row r="2514" spans="5:8" x14ac:dyDescent="0.25">
      <c r="E2514" t="str">
        <f>""</f>
        <v/>
      </c>
      <c r="F2514" t="str">
        <f>""</f>
        <v/>
      </c>
      <c r="H2514" t="str">
        <f t="shared" ref="H2514:H2533" si="53">"TASC - HRA FEES"</f>
        <v>TASC - HRA FEES</v>
      </c>
    </row>
    <row r="2515" spans="5:8" x14ac:dyDescent="0.25">
      <c r="E2515" t="str">
        <f>""</f>
        <v/>
      </c>
      <c r="F2515" t="str">
        <f>""</f>
        <v/>
      </c>
      <c r="H2515" t="str">
        <f t="shared" si="53"/>
        <v>TASC - HRA FEES</v>
      </c>
    </row>
    <row r="2516" spans="5:8" x14ac:dyDescent="0.25">
      <c r="E2516" t="str">
        <f>""</f>
        <v/>
      </c>
      <c r="F2516" t="str">
        <f>""</f>
        <v/>
      </c>
      <c r="H2516" t="str">
        <f t="shared" si="53"/>
        <v>TASC - HRA FEES</v>
      </c>
    </row>
    <row r="2517" spans="5:8" x14ac:dyDescent="0.25">
      <c r="E2517" t="str">
        <f>""</f>
        <v/>
      </c>
      <c r="F2517" t="str">
        <f>""</f>
        <v/>
      </c>
      <c r="H2517" t="str">
        <f t="shared" si="53"/>
        <v>TASC - HRA FEES</v>
      </c>
    </row>
    <row r="2518" spans="5:8" x14ac:dyDescent="0.25">
      <c r="E2518" t="str">
        <f>""</f>
        <v/>
      </c>
      <c r="F2518" t="str">
        <f>""</f>
        <v/>
      </c>
      <c r="H2518" t="str">
        <f t="shared" si="53"/>
        <v>TASC - HRA FEES</v>
      </c>
    </row>
    <row r="2519" spans="5:8" x14ac:dyDescent="0.25">
      <c r="E2519" t="str">
        <f>""</f>
        <v/>
      </c>
      <c r="F2519" t="str">
        <f>""</f>
        <v/>
      </c>
      <c r="H2519" t="str">
        <f t="shared" si="53"/>
        <v>TASC - HRA FEES</v>
      </c>
    </row>
    <row r="2520" spans="5:8" x14ac:dyDescent="0.25">
      <c r="E2520" t="str">
        <f>""</f>
        <v/>
      </c>
      <c r="F2520" t="str">
        <f>""</f>
        <v/>
      </c>
      <c r="H2520" t="str">
        <f t="shared" si="53"/>
        <v>TASC - HRA FEES</v>
      </c>
    </row>
    <row r="2521" spans="5:8" x14ac:dyDescent="0.25">
      <c r="E2521" t="str">
        <f>""</f>
        <v/>
      </c>
      <c r="F2521" t="str">
        <f>""</f>
        <v/>
      </c>
      <c r="H2521" t="str">
        <f t="shared" si="53"/>
        <v>TASC - HRA FEES</v>
      </c>
    </row>
    <row r="2522" spans="5:8" x14ac:dyDescent="0.25">
      <c r="E2522" t="str">
        <f>""</f>
        <v/>
      </c>
      <c r="F2522" t="str">
        <f>""</f>
        <v/>
      </c>
      <c r="H2522" t="str">
        <f t="shared" si="53"/>
        <v>TASC - HRA FEES</v>
      </c>
    </row>
    <row r="2523" spans="5:8" x14ac:dyDescent="0.25">
      <c r="E2523" t="str">
        <f>""</f>
        <v/>
      </c>
      <c r="F2523" t="str">
        <f>""</f>
        <v/>
      </c>
      <c r="H2523" t="str">
        <f t="shared" si="53"/>
        <v>TASC - HRA FEES</v>
      </c>
    </row>
    <row r="2524" spans="5:8" x14ac:dyDescent="0.25">
      <c r="E2524" t="str">
        <f>""</f>
        <v/>
      </c>
      <c r="F2524" t="str">
        <f>""</f>
        <v/>
      </c>
      <c r="H2524" t="str">
        <f t="shared" si="53"/>
        <v>TASC - HRA FEES</v>
      </c>
    </row>
    <row r="2525" spans="5:8" x14ac:dyDescent="0.25">
      <c r="E2525" t="str">
        <f>""</f>
        <v/>
      </c>
      <c r="F2525" t="str">
        <f>""</f>
        <v/>
      </c>
      <c r="H2525" t="str">
        <f t="shared" si="53"/>
        <v>TASC - HRA FEES</v>
      </c>
    </row>
    <row r="2526" spans="5:8" x14ac:dyDescent="0.25">
      <c r="E2526" t="str">
        <f>""</f>
        <v/>
      </c>
      <c r="F2526" t="str">
        <f>""</f>
        <v/>
      </c>
      <c r="H2526" t="str">
        <f t="shared" si="53"/>
        <v>TASC - HRA FEES</v>
      </c>
    </row>
    <row r="2527" spans="5:8" x14ac:dyDescent="0.25">
      <c r="E2527" t="str">
        <f>""</f>
        <v/>
      </c>
      <c r="F2527" t="str">
        <f>""</f>
        <v/>
      </c>
      <c r="H2527" t="str">
        <f t="shared" si="53"/>
        <v>TASC - HRA FEES</v>
      </c>
    </row>
    <row r="2528" spans="5:8" x14ac:dyDescent="0.25">
      <c r="E2528" t="str">
        <f>""</f>
        <v/>
      </c>
      <c r="F2528" t="str">
        <f>""</f>
        <v/>
      </c>
      <c r="H2528" t="str">
        <f t="shared" si="53"/>
        <v>TASC - HRA FEES</v>
      </c>
    </row>
    <row r="2529" spans="1:8" x14ac:dyDescent="0.25">
      <c r="E2529" t="str">
        <f>""</f>
        <v/>
      </c>
      <c r="F2529" t="str">
        <f>""</f>
        <v/>
      </c>
      <c r="H2529" t="str">
        <f t="shared" si="53"/>
        <v>TASC - HRA FEES</v>
      </c>
    </row>
    <row r="2530" spans="1:8" x14ac:dyDescent="0.25">
      <c r="E2530" t="str">
        <f>""</f>
        <v/>
      </c>
      <c r="F2530" t="str">
        <f>""</f>
        <v/>
      </c>
      <c r="H2530" t="str">
        <f t="shared" si="53"/>
        <v>TASC - HRA FEES</v>
      </c>
    </row>
    <row r="2531" spans="1:8" x14ac:dyDescent="0.25">
      <c r="E2531" t="str">
        <f>""</f>
        <v/>
      </c>
      <c r="F2531" t="str">
        <f>""</f>
        <v/>
      </c>
      <c r="H2531" t="str">
        <f t="shared" si="53"/>
        <v>TASC - HRA FEES</v>
      </c>
    </row>
    <row r="2532" spans="1:8" x14ac:dyDescent="0.25">
      <c r="E2532" t="str">
        <f>""</f>
        <v/>
      </c>
      <c r="F2532" t="str">
        <f>""</f>
        <v/>
      </c>
      <c r="H2532" t="str">
        <f t="shared" si="53"/>
        <v>TASC - HRA FEES</v>
      </c>
    </row>
    <row r="2533" spans="1:8" x14ac:dyDescent="0.25">
      <c r="E2533" t="str">
        <f>"HRF202001084582"</f>
        <v>HRF202001084582</v>
      </c>
      <c r="F2533" t="str">
        <f>"TASC - HRA FEES"</f>
        <v>TASC - HRA FEES</v>
      </c>
      <c r="G2533" s="2">
        <v>30.6</v>
      </c>
      <c r="H2533" t="str">
        <f t="shared" si="53"/>
        <v>TASC - HRA FEES</v>
      </c>
    </row>
    <row r="2534" spans="1:8" x14ac:dyDescent="0.25">
      <c r="A2534" t="s">
        <v>460</v>
      </c>
      <c r="B2534">
        <v>372</v>
      </c>
      <c r="C2534" s="2">
        <v>9647.18</v>
      </c>
      <c r="D2534" s="1">
        <v>43854</v>
      </c>
      <c r="E2534" t="str">
        <f>"FSA202001224779"</f>
        <v>FSA202001224779</v>
      </c>
      <c r="F2534" t="str">
        <f>"TASC FSA"</f>
        <v>TASC FSA</v>
      </c>
      <c r="G2534" s="2">
        <v>7637.38</v>
      </c>
      <c r="H2534" t="str">
        <f>"TASC FSA"</f>
        <v>TASC FSA</v>
      </c>
    </row>
    <row r="2535" spans="1:8" x14ac:dyDescent="0.25">
      <c r="E2535" t="str">
        <f>"FSA202001224787"</f>
        <v>FSA202001224787</v>
      </c>
      <c r="F2535" t="str">
        <f>"TASC FSA"</f>
        <v>TASC FSA</v>
      </c>
      <c r="G2535" s="2">
        <v>445.4</v>
      </c>
      <c r="H2535" t="str">
        <f>"TASC FSA"</f>
        <v>TASC FSA</v>
      </c>
    </row>
    <row r="2536" spans="1:8" x14ac:dyDescent="0.25">
      <c r="E2536" t="str">
        <f>"FSC202001224779"</f>
        <v>FSC202001224779</v>
      </c>
      <c r="F2536" t="str">
        <f>"TASC DEPENDENT CARE"</f>
        <v>TASC DEPENDENT CARE</v>
      </c>
      <c r="G2536" s="2">
        <v>470</v>
      </c>
      <c r="H2536" t="str">
        <f>"TASC DEPENDENT CARE"</f>
        <v>TASC DEPENDENT CARE</v>
      </c>
    </row>
    <row r="2537" spans="1:8" x14ac:dyDescent="0.25">
      <c r="E2537" t="str">
        <f>"FSF202001224779"</f>
        <v>FSF202001224779</v>
      </c>
      <c r="F2537" t="str">
        <f>"TASC - FSA  FEES"</f>
        <v>TASC - FSA  FEES</v>
      </c>
      <c r="G2537" s="2">
        <v>252</v>
      </c>
      <c r="H2537" t="str">
        <f t="shared" ref="H2537:H2577" si="54">"TASC - FSA  FEES"</f>
        <v>TASC - FSA  FEES</v>
      </c>
    </row>
    <row r="2538" spans="1:8" x14ac:dyDescent="0.25">
      <c r="E2538" t="str">
        <f>""</f>
        <v/>
      </c>
      <c r="F2538" t="str">
        <f>""</f>
        <v/>
      </c>
      <c r="H2538" t="str">
        <f t="shared" si="54"/>
        <v>TASC - FSA  FEES</v>
      </c>
    </row>
    <row r="2539" spans="1:8" x14ac:dyDescent="0.25">
      <c r="E2539" t="str">
        <f>""</f>
        <v/>
      </c>
      <c r="F2539" t="str">
        <f>""</f>
        <v/>
      </c>
      <c r="H2539" t="str">
        <f t="shared" si="54"/>
        <v>TASC - FSA  FEES</v>
      </c>
    </row>
    <row r="2540" spans="1:8" x14ac:dyDescent="0.25">
      <c r="E2540" t="str">
        <f>""</f>
        <v/>
      </c>
      <c r="F2540" t="str">
        <f>""</f>
        <v/>
      </c>
      <c r="H2540" t="str">
        <f t="shared" si="54"/>
        <v>TASC - FSA  FEES</v>
      </c>
    </row>
    <row r="2541" spans="1:8" x14ac:dyDescent="0.25">
      <c r="E2541" t="str">
        <f>""</f>
        <v/>
      </c>
      <c r="F2541" t="str">
        <f>""</f>
        <v/>
      </c>
      <c r="H2541" t="str">
        <f t="shared" si="54"/>
        <v>TASC - FSA  FEES</v>
      </c>
    </row>
    <row r="2542" spans="1:8" x14ac:dyDescent="0.25">
      <c r="E2542" t="str">
        <f>""</f>
        <v/>
      </c>
      <c r="F2542" t="str">
        <f>""</f>
        <v/>
      </c>
      <c r="H2542" t="str">
        <f t="shared" si="54"/>
        <v>TASC - FSA  FEES</v>
      </c>
    </row>
    <row r="2543" spans="1:8" x14ac:dyDescent="0.25">
      <c r="E2543" t="str">
        <f>""</f>
        <v/>
      </c>
      <c r="F2543" t="str">
        <f>""</f>
        <v/>
      </c>
      <c r="H2543" t="str">
        <f t="shared" si="54"/>
        <v>TASC - FSA  FEES</v>
      </c>
    </row>
    <row r="2544" spans="1:8" x14ac:dyDescent="0.25">
      <c r="E2544" t="str">
        <f>""</f>
        <v/>
      </c>
      <c r="F2544" t="str">
        <f>""</f>
        <v/>
      </c>
      <c r="H2544" t="str">
        <f t="shared" si="54"/>
        <v>TASC - FSA  FEES</v>
      </c>
    </row>
    <row r="2545" spans="5:8" x14ac:dyDescent="0.25">
      <c r="E2545" t="str">
        <f>""</f>
        <v/>
      </c>
      <c r="F2545" t="str">
        <f>""</f>
        <v/>
      </c>
      <c r="H2545" t="str">
        <f t="shared" si="54"/>
        <v>TASC - FSA  FEES</v>
      </c>
    </row>
    <row r="2546" spans="5:8" x14ac:dyDescent="0.25">
      <c r="E2546" t="str">
        <f>""</f>
        <v/>
      </c>
      <c r="F2546" t="str">
        <f>""</f>
        <v/>
      </c>
      <c r="H2546" t="str">
        <f t="shared" si="54"/>
        <v>TASC - FSA  FEES</v>
      </c>
    </row>
    <row r="2547" spans="5:8" x14ac:dyDescent="0.25">
      <c r="E2547" t="str">
        <f>""</f>
        <v/>
      </c>
      <c r="F2547" t="str">
        <f>""</f>
        <v/>
      </c>
      <c r="H2547" t="str">
        <f t="shared" si="54"/>
        <v>TASC - FSA  FEES</v>
      </c>
    </row>
    <row r="2548" spans="5:8" x14ac:dyDescent="0.25">
      <c r="E2548" t="str">
        <f>""</f>
        <v/>
      </c>
      <c r="F2548" t="str">
        <f>""</f>
        <v/>
      </c>
      <c r="H2548" t="str">
        <f t="shared" si="54"/>
        <v>TASC - FSA  FEES</v>
      </c>
    </row>
    <row r="2549" spans="5:8" x14ac:dyDescent="0.25">
      <c r="E2549" t="str">
        <f>""</f>
        <v/>
      </c>
      <c r="F2549" t="str">
        <f>""</f>
        <v/>
      </c>
      <c r="H2549" t="str">
        <f t="shared" si="54"/>
        <v>TASC - FSA  FEES</v>
      </c>
    </row>
    <row r="2550" spans="5:8" x14ac:dyDescent="0.25">
      <c r="E2550" t="str">
        <f>""</f>
        <v/>
      </c>
      <c r="F2550" t="str">
        <f>""</f>
        <v/>
      </c>
      <c r="H2550" t="str">
        <f t="shared" si="54"/>
        <v>TASC - FSA  FEES</v>
      </c>
    </row>
    <row r="2551" spans="5:8" x14ac:dyDescent="0.25">
      <c r="E2551" t="str">
        <f>""</f>
        <v/>
      </c>
      <c r="F2551" t="str">
        <f>""</f>
        <v/>
      </c>
      <c r="H2551" t="str">
        <f t="shared" si="54"/>
        <v>TASC - FSA  FEES</v>
      </c>
    </row>
    <row r="2552" spans="5:8" x14ac:dyDescent="0.25">
      <c r="E2552" t="str">
        <f>""</f>
        <v/>
      </c>
      <c r="F2552" t="str">
        <f>""</f>
        <v/>
      </c>
      <c r="H2552" t="str">
        <f t="shared" si="54"/>
        <v>TASC - FSA  FEES</v>
      </c>
    </row>
    <row r="2553" spans="5:8" x14ac:dyDescent="0.25">
      <c r="E2553" t="str">
        <f>""</f>
        <v/>
      </c>
      <c r="F2553" t="str">
        <f>""</f>
        <v/>
      </c>
      <c r="H2553" t="str">
        <f t="shared" si="54"/>
        <v>TASC - FSA  FEES</v>
      </c>
    </row>
    <row r="2554" spans="5:8" x14ac:dyDescent="0.25">
      <c r="E2554" t="str">
        <f>""</f>
        <v/>
      </c>
      <c r="F2554" t="str">
        <f>""</f>
        <v/>
      </c>
      <c r="H2554" t="str">
        <f t="shared" si="54"/>
        <v>TASC - FSA  FEES</v>
      </c>
    </row>
    <row r="2555" spans="5:8" x14ac:dyDescent="0.25">
      <c r="E2555" t="str">
        <f>""</f>
        <v/>
      </c>
      <c r="F2555" t="str">
        <f>""</f>
        <v/>
      </c>
      <c r="H2555" t="str">
        <f t="shared" si="54"/>
        <v>TASC - FSA  FEES</v>
      </c>
    </row>
    <row r="2556" spans="5:8" x14ac:dyDescent="0.25">
      <c r="E2556" t="str">
        <f>""</f>
        <v/>
      </c>
      <c r="F2556" t="str">
        <f>""</f>
        <v/>
      </c>
      <c r="H2556" t="str">
        <f t="shared" si="54"/>
        <v>TASC - FSA  FEES</v>
      </c>
    </row>
    <row r="2557" spans="5:8" x14ac:dyDescent="0.25">
      <c r="E2557" t="str">
        <f>""</f>
        <v/>
      </c>
      <c r="F2557" t="str">
        <f>""</f>
        <v/>
      </c>
      <c r="H2557" t="str">
        <f t="shared" si="54"/>
        <v>TASC - FSA  FEES</v>
      </c>
    </row>
    <row r="2558" spans="5:8" x14ac:dyDescent="0.25">
      <c r="E2558" t="str">
        <f>""</f>
        <v/>
      </c>
      <c r="F2558" t="str">
        <f>""</f>
        <v/>
      </c>
      <c r="H2558" t="str">
        <f t="shared" si="54"/>
        <v>TASC - FSA  FEES</v>
      </c>
    </row>
    <row r="2559" spans="5:8" x14ac:dyDescent="0.25">
      <c r="E2559" t="str">
        <f>""</f>
        <v/>
      </c>
      <c r="F2559" t="str">
        <f>""</f>
        <v/>
      </c>
      <c r="H2559" t="str">
        <f t="shared" si="54"/>
        <v>TASC - FSA  FEES</v>
      </c>
    </row>
    <row r="2560" spans="5:8" x14ac:dyDescent="0.25">
      <c r="E2560" t="str">
        <f>""</f>
        <v/>
      </c>
      <c r="F2560" t="str">
        <f>""</f>
        <v/>
      </c>
      <c r="H2560" t="str">
        <f t="shared" si="54"/>
        <v>TASC - FSA  FEES</v>
      </c>
    </row>
    <row r="2561" spans="5:8" x14ac:dyDescent="0.25">
      <c r="E2561" t="str">
        <f>""</f>
        <v/>
      </c>
      <c r="F2561" t="str">
        <f>""</f>
        <v/>
      </c>
      <c r="H2561" t="str">
        <f t="shared" si="54"/>
        <v>TASC - FSA  FEES</v>
      </c>
    </row>
    <row r="2562" spans="5:8" x14ac:dyDescent="0.25">
      <c r="E2562" t="str">
        <f>""</f>
        <v/>
      </c>
      <c r="F2562" t="str">
        <f>""</f>
        <v/>
      </c>
      <c r="H2562" t="str">
        <f t="shared" si="54"/>
        <v>TASC - FSA  FEES</v>
      </c>
    </row>
    <row r="2563" spans="5:8" x14ac:dyDescent="0.25">
      <c r="E2563" t="str">
        <f>""</f>
        <v/>
      </c>
      <c r="F2563" t="str">
        <f>""</f>
        <v/>
      </c>
      <c r="H2563" t="str">
        <f t="shared" si="54"/>
        <v>TASC - FSA  FEES</v>
      </c>
    </row>
    <row r="2564" spans="5:8" x14ac:dyDescent="0.25">
      <c r="E2564" t="str">
        <f>""</f>
        <v/>
      </c>
      <c r="F2564" t="str">
        <f>""</f>
        <v/>
      </c>
      <c r="H2564" t="str">
        <f t="shared" si="54"/>
        <v>TASC - FSA  FEES</v>
      </c>
    </row>
    <row r="2565" spans="5:8" x14ac:dyDescent="0.25">
      <c r="E2565" t="str">
        <f>""</f>
        <v/>
      </c>
      <c r="F2565" t="str">
        <f>""</f>
        <v/>
      </c>
      <c r="H2565" t="str">
        <f t="shared" si="54"/>
        <v>TASC - FSA  FEES</v>
      </c>
    </row>
    <row r="2566" spans="5:8" x14ac:dyDescent="0.25">
      <c r="E2566" t="str">
        <f>""</f>
        <v/>
      </c>
      <c r="F2566" t="str">
        <f>""</f>
        <v/>
      </c>
      <c r="H2566" t="str">
        <f t="shared" si="54"/>
        <v>TASC - FSA  FEES</v>
      </c>
    </row>
    <row r="2567" spans="5:8" x14ac:dyDescent="0.25">
      <c r="E2567" t="str">
        <f>""</f>
        <v/>
      </c>
      <c r="F2567" t="str">
        <f>""</f>
        <v/>
      </c>
      <c r="H2567" t="str">
        <f t="shared" si="54"/>
        <v>TASC - FSA  FEES</v>
      </c>
    </row>
    <row r="2568" spans="5:8" x14ac:dyDescent="0.25">
      <c r="E2568" t="str">
        <f>""</f>
        <v/>
      </c>
      <c r="F2568" t="str">
        <f>""</f>
        <v/>
      </c>
      <c r="H2568" t="str">
        <f t="shared" si="54"/>
        <v>TASC - FSA  FEES</v>
      </c>
    </row>
    <row r="2569" spans="5:8" x14ac:dyDescent="0.25">
      <c r="E2569" t="str">
        <f>""</f>
        <v/>
      </c>
      <c r="F2569" t="str">
        <f>""</f>
        <v/>
      </c>
      <c r="H2569" t="str">
        <f t="shared" si="54"/>
        <v>TASC - FSA  FEES</v>
      </c>
    </row>
    <row r="2570" spans="5:8" x14ac:dyDescent="0.25">
      <c r="E2570" t="str">
        <f>""</f>
        <v/>
      </c>
      <c r="F2570" t="str">
        <f>""</f>
        <v/>
      </c>
      <c r="H2570" t="str">
        <f t="shared" si="54"/>
        <v>TASC - FSA  FEES</v>
      </c>
    </row>
    <row r="2571" spans="5:8" x14ac:dyDescent="0.25">
      <c r="E2571" t="str">
        <f>""</f>
        <v/>
      </c>
      <c r="F2571" t="str">
        <f>""</f>
        <v/>
      </c>
      <c r="H2571" t="str">
        <f t="shared" si="54"/>
        <v>TASC - FSA  FEES</v>
      </c>
    </row>
    <row r="2572" spans="5:8" x14ac:dyDescent="0.25">
      <c r="E2572" t="str">
        <f>""</f>
        <v/>
      </c>
      <c r="F2572" t="str">
        <f>""</f>
        <v/>
      </c>
      <c r="H2572" t="str">
        <f t="shared" si="54"/>
        <v>TASC - FSA  FEES</v>
      </c>
    </row>
    <row r="2573" spans="5:8" x14ac:dyDescent="0.25">
      <c r="E2573" t="str">
        <f>""</f>
        <v/>
      </c>
      <c r="F2573" t="str">
        <f>""</f>
        <v/>
      </c>
      <c r="H2573" t="str">
        <f t="shared" si="54"/>
        <v>TASC - FSA  FEES</v>
      </c>
    </row>
    <row r="2574" spans="5:8" x14ac:dyDescent="0.25">
      <c r="E2574" t="str">
        <f>""</f>
        <v/>
      </c>
      <c r="F2574" t="str">
        <f>""</f>
        <v/>
      </c>
      <c r="H2574" t="str">
        <f t="shared" si="54"/>
        <v>TASC - FSA  FEES</v>
      </c>
    </row>
    <row r="2575" spans="5:8" x14ac:dyDescent="0.25">
      <c r="E2575" t="str">
        <f>""</f>
        <v/>
      </c>
      <c r="F2575" t="str">
        <f>""</f>
        <v/>
      </c>
      <c r="H2575" t="str">
        <f t="shared" si="54"/>
        <v>TASC - FSA  FEES</v>
      </c>
    </row>
    <row r="2576" spans="5:8" x14ac:dyDescent="0.25">
      <c r="E2576" t="str">
        <f>""</f>
        <v/>
      </c>
      <c r="F2576" t="str">
        <f>""</f>
        <v/>
      </c>
      <c r="H2576" t="str">
        <f t="shared" si="54"/>
        <v>TASC - FSA  FEES</v>
      </c>
    </row>
    <row r="2577" spans="5:8" x14ac:dyDescent="0.25">
      <c r="E2577" t="str">
        <f>"FSF202001224787"</f>
        <v>FSF202001224787</v>
      </c>
      <c r="F2577" t="str">
        <f>"TASC - FSA  FEES"</f>
        <v>TASC - FSA  FEES</v>
      </c>
      <c r="G2577" s="2">
        <v>12.6</v>
      </c>
      <c r="H2577" t="str">
        <f t="shared" si="54"/>
        <v>TASC - FSA  FEES</v>
      </c>
    </row>
    <row r="2578" spans="5:8" x14ac:dyDescent="0.25">
      <c r="E2578" t="str">
        <f>"HRF202001224779"</f>
        <v>HRF202001224779</v>
      </c>
      <c r="F2578" t="str">
        <f>"TASC - HRA FEES"</f>
        <v>TASC - HRA FEES</v>
      </c>
      <c r="G2578" s="2">
        <v>799.2</v>
      </c>
      <c r="H2578" t="str">
        <f t="shared" ref="H2578:H2609" si="55">"TASC - HRA FEES"</f>
        <v>TASC - HRA FEES</v>
      </c>
    </row>
    <row r="2579" spans="5:8" x14ac:dyDescent="0.25">
      <c r="E2579" t="str">
        <f>""</f>
        <v/>
      </c>
      <c r="F2579" t="str">
        <f>""</f>
        <v/>
      </c>
      <c r="H2579" t="str">
        <f t="shared" si="55"/>
        <v>TASC - HRA FEES</v>
      </c>
    </row>
    <row r="2580" spans="5:8" x14ac:dyDescent="0.25">
      <c r="E2580" t="str">
        <f>""</f>
        <v/>
      </c>
      <c r="F2580" t="str">
        <f>""</f>
        <v/>
      </c>
      <c r="H2580" t="str">
        <f t="shared" si="55"/>
        <v>TASC - HRA FEES</v>
      </c>
    </row>
    <row r="2581" spans="5:8" x14ac:dyDescent="0.25">
      <c r="E2581" t="str">
        <f>""</f>
        <v/>
      </c>
      <c r="F2581" t="str">
        <f>""</f>
        <v/>
      </c>
      <c r="H2581" t="str">
        <f t="shared" si="55"/>
        <v>TASC - HRA FEES</v>
      </c>
    </row>
    <row r="2582" spans="5:8" x14ac:dyDescent="0.25">
      <c r="E2582" t="str">
        <f>""</f>
        <v/>
      </c>
      <c r="F2582" t="str">
        <f>""</f>
        <v/>
      </c>
      <c r="H2582" t="str">
        <f t="shared" si="55"/>
        <v>TASC - HRA FEES</v>
      </c>
    </row>
    <row r="2583" spans="5:8" x14ac:dyDescent="0.25">
      <c r="E2583" t="str">
        <f>""</f>
        <v/>
      </c>
      <c r="F2583" t="str">
        <f>""</f>
        <v/>
      </c>
      <c r="H2583" t="str">
        <f t="shared" si="55"/>
        <v>TASC - HRA FEES</v>
      </c>
    </row>
    <row r="2584" spans="5:8" x14ac:dyDescent="0.25">
      <c r="E2584" t="str">
        <f>""</f>
        <v/>
      </c>
      <c r="F2584" t="str">
        <f>""</f>
        <v/>
      </c>
      <c r="H2584" t="str">
        <f t="shared" si="55"/>
        <v>TASC - HRA FEES</v>
      </c>
    </row>
    <row r="2585" spans="5:8" x14ac:dyDescent="0.25">
      <c r="E2585" t="str">
        <f>""</f>
        <v/>
      </c>
      <c r="F2585" t="str">
        <f>""</f>
        <v/>
      </c>
      <c r="H2585" t="str">
        <f t="shared" si="55"/>
        <v>TASC - HRA FEES</v>
      </c>
    </row>
    <row r="2586" spans="5:8" x14ac:dyDescent="0.25">
      <c r="E2586" t="str">
        <f>""</f>
        <v/>
      </c>
      <c r="F2586" t="str">
        <f>""</f>
        <v/>
      </c>
      <c r="H2586" t="str">
        <f t="shared" si="55"/>
        <v>TASC - HRA FEES</v>
      </c>
    </row>
    <row r="2587" spans="5:8" x14ac:dyDescent="0.25">
      <c r="E2587" t="str">
        <f>""</f>
        <v/>
      </c>
      <c r="F2587" t="str">
        <f>""</f>
        <v/>
      </c>
      <c r="H2587" t="str">
        <f t="shared" si="55"/>
        <v>TASC - HRA FEES</v>
      </c>
    </row>
    <row r="2588" spans="5:8" x14ac:dyDescent="0.25">
      <c r="E2588" t="str">
        <f>""</f>
        <v/>
      </c>
      <c r="F2588" t="str">
        <f>""</f>
        <v/>
      </c>
      <c r="H2588" t="str">
        <f t="shared" si="55"/>
        <v>TASC - HRA FEES</v>
      </c>
    </row>
    <row r="2589" spans="5:8" x14ac:dyDescent="0.25">
      <c r="E2589" t="str">
        <f>""</f>
        <v/>
      </c>
      <c r="F2589" t="str">
        <f>""</f>
        <v/>
      </c>
      <c r="H2589" t="str">
        <f t="shared" si="55"/>
        <v>TASC - HRA FEES</v>
      </c>
    </row>
    <row r="2590" spans="5:8" x14ac:dyDescent="0.25">
      <c r="E2590" t="str">
        <f>""</f>
        <v/>
      </c>
      <c r="F2590" t="str">
        <f>""</f>
        <v/>
      </c>
      <c r="H2590" t="str">
        <f t="shared" si="55"/>
        <v>TASC - HRA FEES</v>
      </c>
    </row>
    <row r="2591" spans="5:8" x14ac:dyDescent="0.25">
      <c r="E2591" t="str">
        <f>""</f>
        <v/>
      </c>
      <c r="F2591" t="str">
        <f>""</f>
        <v/>
      </c>
      <c r="H2591" t="str">
        <f t="shared" si="55"/>
        <v>TASC - HRA FEES</v>
      </c>
    </row>
    <row r="2592" spans="5:8" x14ac:dyDescent="0.25">
      <c r="E2592" t="str">
        <f>""</f>
        <v/>
      </c>
      <c r="F2592" t="str">
        <f>""</f>
        <v/>
      </c>
      <c r="H2592" t="str">
        <f t="shared" si="55"/>
        <v>TASC - HRA FEES</v>
      </c>
    </row>
    <row r="2593" spans="5:8" x14ac:dyDescent="0.25">
      <c r="E2593" t="str">
        <f>""</f>
        <v/>
      </c>
      <c r="F2593" t="str">
        <f>""</f>
        <v/>
      </c>
      <c r="H2593" t="str">
        <f t="shared" si="55"/>
        <v>TASC - HRA FEES</v>
      </c>
    </row>
    <row r="2594" spans="5:8" x14ac:dyDescent="0.25">
      <c r="E2594" t="str">
        <f>""</f>
        <v/>
      </c>
      <c r="F2594" t="str">
        <f>""</f>
        <v/>
      </c>
      <c r="H2594" t="str">
        <f t="shared" si="55"/>
        <v>TASC - HRA FEES</v>
      </c>
    </row>
    <row r="2595" spans="5:8" x14ac:dyDescent="0.25">
      <c r="E2595" t="str">
        <f>""</f>
        <v/>
      </c>
      <c r="F2595" t="str">
        <f>""</f>
        <v/>
      </c>
      <c r="H2595" t="str">
        <f t="shared" si="55"/>
        <v>TASC - HRA FEES</v>
      </c>
    </row>
    <row r="2596" spans="5:8" x14ac:dyDescent="0.25">
      <c r="E2596" t="str">
        <f>""</f>
        <v/>
      </c>
      <c r="F2596" t="str">
        <f>""</f>
        <v/>
      </c>
      <c r="H2596" t="str">
        <f t="shared" si="55"/>
        <v>TASC - HRA FEES</v>
      </c>
    </row>
    <row r="2597" spans="5:8" x14ac:dyDescent="0.25">
      <c r="E2597" t="str">
        <f>""</f>
        <v/>
      </c>
      <c r="F2597" t="str">
        <f>""</f>
        <v/>
      </c>
      <c r="H2597" t="str">
        <f t="shared" si="55"/>
        <v>TASC - HRA FEES</v>
      </c>
    </row>
    <row r="2598" spans="5:8" x14ac:dyDescent="0.25">
      <c r="E2598" t="str">
        <f>""</f>
        <v/>
      </c>
      <c r="F2598" t="str">
        <f>""</f>
        <v/>
      </c>
      <c r="H2598" t="str">
        <f t="shared" si="55"/>
        <v>TASC - HRA FEES</v>
      </c>
    </row>
    <row r="2599" spans="5:8" x14ac:dyDescent="0.25">
      <c r="E2599" t="str">
        <f>""</f>
        <v/>
      </c>
      <c r="F2599" t="str">
        <f>""</f>
        <v/>
      </c>
      <c r="H2599" t="str">
        <f t="shared" si="55"/>
        <v>TASC - HRA FEES</v>
      </c>
    </row>
    <row r="2600" spans="5:8" x14ac:dyDescent="0.25">
      <c r="E2600" t="str">
        <f>""</f>
        <v/>
      </c>
      <c r="F2600" t="str">
        <f>""</f>
        <v/>
      </c>
      <c r="H2600" t="str">
        <f t="shared" si="55"/>
        <v>TASC - HRA FEES</v>
      </c>
    </row>
    <row r="2601" spans="5:8" x14ac:dyDescent="0.25">
      <c r="E2601" t="str">
        <f>""</f>
        <v/>
      </c>
      <c r="F2601" t="str">
        <f>""</f>
        <v/>
      </c>
      <c r="H2601" t="str">
        <f t="shared" si="55"/>
        <v>TASC - HRA FEES</v>
      </c>
    </row>
    <row r="2602" spans="5:8" x14ac:dyDescent="0.25">
      <c r="E2602" t="str">
        <f>""</f>
        <v/>
      </c>
      <c r="F2602" t="str">
        <f>""</f>
        <v/>
      </c>
      <c r="H2602" t="str">
        <f t="shared" si="55"/>
        <v>TASC - HRA FEES</v>
      </c>
    </row>
    <row r="2603" spans="5:8" x14ac:dyDescent="0.25">
      <c r="E2603" t="str">
        <f>""</f>
        <v/>
      </c>
      <c r="F2603" t="str">
        <f>""</f>
        <v/>
      </c>
      <c r="H2603" t="str">
        <f t="shared" si="55"/>
        <v>TASC - HRA FEES</v>
      </c>
    </row>
    <row r="2604" spans="5:8" x14ac:dyDescent="0.25">
      <c r="E2604" t="str">
        <f>""</f>
        <v/>
      </c>
      <c r="F2604" t="str">
        <f>""</f>
        <v/>
      </c>
      <c r="H2604" t="str">
        <f t="shared" si="55"/>
        <v>TASC - HRA FEES</v>
      </c>
    </row>
    <row r="2605" spans="5:8" x14ac:dyDescent="0.25">
      <c r="E2605" t="str">
        <f>""</f>
        <v/>
      </c>
      <c r="F2605" t="str">
        <f>""</f>
        <v/>
      </c>
      <c r="H2605" t="str">
        <f t="shared" si="55"/>
        <v>TASC - HRA FEES</v>
      </c>
    </row>
    <row r="2606" spans="5:8" x14ac:dyDescent="0.25">
      <c r="E2606" t="str">
        <f>""</f>
        <v/>
      </c>
      <c r="F2606" t="str">
        <f>""</f>
        <v/>
      </c>
      <c r="H2606" t="str">
        <f t="shared" si="55"/>
        <v>TASC - HRA FEES</v>
      </c>
    </row>
    <row r="2607" spans="5:8" x14ac:dyDescent="0.25">
      <c r="E2607" t="str">
        <f>""</f>
        <v/>
      </c>
      <c r="F2607" t="str">
        <f>""</f>
        <v/>
      </c>
      <c r="H2607" t="str">
        <f t="shared" si="55"/>
        <v>TASC - HRA FEES</v>
      </c>
    </row>
    <row r="2608" spans="5:8" x14ac:dyDescent="0.25">
      <c r="E2608" t="str">
        <f>""</f>
        <v/>
      </c>
      <c r="F2608" t="str">
        <f>""</f>
        <v/>
      </c>
      <c r="H2608" t="str">
        <f t="shared" si="55"/>
        <v>TASC - HRA FEES</v>
      </c>
    </row>
    <row r="2609" spans="5:8" x14ac:dyDescent="0.25">
      <c r="E2609" t="str">
        <f>""</f>
        <v/>
      </c>
      <c r="F2609" t="str">
        <f>""</f>
        <v/>
      </c>
      <c r="H2609" t="str">
        <f t="shared" si="55"/>
        <v>TASC - HRA FEES</v>
      </c>
    </row>
    <row r="2610" spans="5:8" x14ac:dyDescent="0.25">
      <c r="E2610" t="str">
        <f>""</f>
        <v/>
      </c>
      <c r="F2610" t="str">
        <f>""</f>
        <v/>
      </c>
      <c r="H2610" t="str">
        <f t="shared" ref="H2610:H2629" si="56">"TASC - HRA FEES"</f>
        <v>TASC - HRA FEES</v>
      </c>
    </row>
    <row r="2611" spans="5:8" x14ac:dyDescent="0.25">
      <c r="E2611" t="str">
        <f>""</f>
        <v/>
      </c>
      <c r="F2611" t="str">
        <f>""</f>
        <v/>
      </c>
      <c r="H2611" t="str">
        <f t="shared" si="56"/>
        <v>TASC - HRA FEES</v>
      </c>
    </row>
    <row r="2612" spans="5:8" x14ac:dyDescent="0.25">
      <c r="E2612" t="str">
        <f>""</f>
        <v/>
      </c>
      <c r="F2612" t="str">
        <f>""</f>
        <v/>
      </c>
      <c r="H2612" t="str">
        <f t="shared" si="56"/>
        <v>TASC - HRA FEES</v>
      </c>
    </row>
    <row r="2613" spans="5:8" x14ac:dyDescent="0.25">
      <c r="E2613" t="str">
        <f>""</f>
        <v/>
      </c>
      <c r="F2613" t="str">
        <f>""</f>
        <v/>
      </c>
      <c r="H2613" t="str">
        <f t="shared" si="56"/>
        <v>TASC - HRA FEES</v>
      </c>
    </row>
    <row r="2614" spans="5:8" x14ac:dyDescent="0.25">
      <c r="E2614" t="str">
        <f>""</f>
        <v/>
      </c>
      <c r="F2614" t="str">
        <f>""</f>
        <v/>
      </c>
      <c r="H2614" t="str">
        <f t="shared" si="56"/>
        <v>TASC - HRA FEES</v>
      </c>
    </row>
    <row r="2615" spans="5:8" x14ac:dyDescent="0.25">
      <c r="E2615" t="str">
        <f>""</f>
        <v/>
      </c>
      <c r="F2615" t="str">
        <f>""</f>
        <v/>
      </c>
      <c r="H2615" t="str">
        <f t="shared" si="56"/>
        <v>TASC - HRA FEES</v>
      </c>
    </row>
    <row r="2616" spans="5:8" x14ac:dyDescent="0.25">
      <c r="E2616" t="str">
        <f>""</f>
        <v/>
      </c>
      <c r="F2616" t="str">
        <f>""</f>
        <v/>
      </c>
      <c r="H2616" t="str">
        <f t="shared" si="56"/>
        <v>TASC - HRA FEES</v>
      </c>
    </row>
    <row r="2617" spans="5:8" x14ac:dyDescent="0.25">
      <c r="E2617" t="str">
        <f>""</f>
        <v/>
      </c>
      <c r="F2617" t="str">
        <f>""</f>
        <v/>
      </c>
      <c r="H2617" t="str">
        <f t="shared" si="56"/>
        <v>TASC - HRA FEES</v>
      </c>
    </row>
    <row r="2618" spans="5:8" x14ac:dyDescent="0.25">
      <c r="E2618" t="str">
        <f>""</f>
        <v/>
      </c>
      <c r="F2618" t="str">
        <f>""</f>
        <v/>
      </c>
      <c r="H2618" t="str">
        <f t="shared" si="56"/>
        <v>TASC - HRA FEES</v>
      </c>
    </row>
    <row r="2619" spans="5:8" x14ac:dyDescent="0.25">
      <c r="E2619" t="str">
        <f>""</f>
        <v/>
      </c>
      <c r="F2619" t="str">
        <f>""</f>
        <v/>
      </c>
      <c r="H2619" t="str">
        <f t="shared" si="56"/>
        <v>TASC - HRA FEES</v>
      </c>
    </row>
    <row r="2620" spans="5:8" x14ac:dyDescent="0.25">
      <c r="E2620" t="str">
        <f>""</f>
        <v/>
      </c>
      <c r="F2620" t="str">
        <f>""</f>
        <v/>
      </c>
      <c r="H2620" t="str">
        <f t="shared" si="56"/>
        <v>TASC - HRA FEES</v>
      </c>
    </row>
    <row r="2621" spans="5:8" x14ac:dyDescent="0.25">
      <c r="E2621" t="str">
        <f>""</f>
        <v/>
      </c>
      <c r="F2621" t="str">
        <f>""</f>
        <v/>
      </c>
      <c r="H2621" t="str">
        <f t="shared" si="56"/>
        <v>TASC - HRA FEES</v>
      </c>
    </row>
    <row r="2622" spans="5:8" x14ac:dyDescent="0.25">
      <c r="E2622" t="str">
        <f>""</f>
        <v/>
      </c>
      <c r="F2622" t="str">
        <f>""</f>
        <v/>
      </c>
      <c r="H2622" t="str">
        <f t="shared" si="56"/>
        <v>TASC - HRA FEES</v>
      </c>
    </row>
    <row r="2623" spans="5:8" x14ac:dyDescent="0.25">
      <c r="E2623" t="str">
        <f>""</f>
        <v/>
      </c>
      <c r="F2623" t="str">
        <f>""</f>
        <v/>
      </c>
      <c r="H2623" t="str">
        <f t="shared" si="56"/>
        <v>TASC - HRA FEES</v>
      </c>
    </row>
    <row r="2624" spans="5:8" x14ac:dyDescent="0.25">
      <c r="E2624" t="str">
        <f>""</f>
        <v/>
      </c>
      <c r="F2624" t="str">
        <f>""</f>
        <v/>
      </c>
      <c r="H2624" t="str">
        <f t="shared" si="56"/>
        <v>TASC - HRA FEES</v>
      </c>
    </row>
    <row r="2625" spans="1:8" x14ac:dyDescent="0.25">
      <c r="E2625" t="str">
        <f>""</f>
        <v/>
      </c>
      <c r="F2625" t="str">
        <f>""</f>
        <v/>
      </c>
      <c r="H2625" t="str">
        <f t="shared" si="56"/>
        <v>TASC - HRA FEES</v>
      </c>
    </row>
    <row r="2626" spans="1:8" x14ac:dyDescent="0.25">
      <c r="E2626" t="str">
        <f>""</f>
        <v/>
      </c>
      <c r="F2626" t="str">
        <f>""</f>
        <v/>
      </c>
      <c r="H2626" t="str">
        <f t="shared" si="56"/>
        <v>TASC - HRA FEES</v>
      </c>
    </row>
    <row r="2627" spans="1:8" x14ac:dyDescent="0.25">
      <c r="E2627" t="str">
        <f>""</f>
        <v/>
      </c>
      <c r="F2627" t="str">
        <f>""</f>
        <v/>
      </c>
      <c r="H2627" t="str">
        <f t="shared" si="56"/>
        <v>TASC - HRA FEES</v>
      </c>
    </row>
    <row r="2628" spans="1:8" x14ac:dyDescent="0.25">
      <c r="E2628" t="str">
        <f>""</f>
        <v/>
      </c>
      <c r="F2628" t="str">
        <f>""</f>
        <v/>
      </c>
      <c r="H2628" t="str">
        <f t="shared" si="56"/>
        <v>TASC - HRA FEES</v>
      </c>
    </row>
    <row r="2629" spans="1:8" x14ac:dyDescent="0.25">
      <c r="E2629" t="str">
        <f>"HRF202001224787"</f>
        <v>HRF202001224787</v>
      </c>
      <c r="F2629" t="str">
        <f>"TASC - HRA FEES"</f>
        <v>TASC - HRA FEES</v>
      </c>
      <c r="G2629" s="2">
        <v>30.6</v>
      </c>
      <c r="H2629" t="str">
        <f t="shared" si="56"/>
        <v>TASC - HRA FEES</v>
      </c>
    </row>
    <row r="2630" spans="1:8" x14ac:dyDescent="0.25">
      <c r="A2630" t="s">
        <v>461</v>
      </c>
      <c r="B2630">
        <v>338</v>
      </c>
      <c r="C2630" s="2">
        <v>5405.4</v>
      </c>
      <c r="D2630" s="1">
        <v>43840</v>
      </c>
      <c r="E2630" t="str">
        <f>"C18202001084582"</f>
        <v>C18202001084582</v>
      </c>
      <c r="F2630" t="str">
        <f>"CAUSE# 0011635329"</f>
        <v>CAUSE# 0011635329</v>
      </c>
      <c r="G2630" s="2">
        <v>603.23</v>
      </c>
      <c r="H2630" t="str">
        <f>"CAUSE# 0011635329"</f>
        <v>CAUSE# 0011635329</v>
      </c>
    </row>
    <row r="2631" spans="1:8" x14ac:dyDescent="0.25">
      <c r="E2631" t="str">
        <f>"C2 202001084582"</f>
        <v>C2 202001084582</v>
      </c>
      <c r="F2631" t="str">
        <f>"0012982132CCL7445"</f>
        <v>0012982132CCL7445</v>
      </c>
      <c r="G2631" s="2">
        <v>692.31</v>
      </c>
      <c r="H2631" t="str">
        <f>"0012982132CCL7445"</f>
        <v>0012982132CCL7445</v>
      </c>
    </row>
    <row r="2632" spans="1:8" x14ac:dyDescent="0.25">
      <c r="E2632" t="str">
        <f>"C20202001084581"</f>
        <v>C20202001084581</v>
      </c>
      <c r="F2632" t="str">
        <f>"001003981107-12252"</f>
        <v>001003981107-12252</v>
      </c>
      <c r="G2632" s="2">
        <v>115.39</v>
      </c>
      <c r="H2632" t="str">
        <f>"001003981107-12252"</f>
        <v>001003981107-12252</v>
      </c>
    </row>
    <row r="2633" spans="1:8" x14ac:dyDescent="0.25">
      <c r="E2633" t="str">
        <f>"C42202001084581"</f>
        <v>C42202001084581</v>
      </c>
      <c r="F2633" t="str">
        <f>"001236769211-14410"</f>
        <v>001236769211-14410</v>
      </c>
      <c r="G2633" s="2">
        <v>230.31</v>
      </c>
      <c r="H2633" t="str">
        <f>"001236769211-14410"</f>
        <v>001236769211-14410</v>
      </c>
    </row>
    <row r="2634" spans="1:8" x14ac:dyDescent="0.25">
      <c r="E2634" t="str">
        <f>"C46202001084581"</f>
        <v>C46202001084581</v>
      </c>
      <c r="F2634" t="str">
        <f>"CAUSE# 11-14911"</f>
        <v>CAUSE# 11-14911</v>
      </c>
      <c r="G2634" s="2">
        <v>238.62</v>
      </c>
      <c r="H2634" t="str">
        <f>"CAUSE# 11-14911"</f>
        <v>CAUSE# 11-14911</v>
      </c>
    </row>
    <row r="2635" spans="1:8" x14ac:dyDescent="0.25">
      <c r="E2635" t="str">
        <f>"C53202001084581"</f>
        <v>C53202001084581</v>
      </c>
      <c r="F2635" t="str">
        <f>"0012453366"</f>
        <v>0012453366</v>
      </c>
      <c r="G2635" s="2">
        <v>138.46</v>
      </c>
      <c r="H2635" t="str">
        <f>"0012453366"</f>
        <v>0012453366</v>
      </c>
    </row>
    <row r="2636" spans="1:8" x14ac:dyDescent="0.25">
      <c r="E2636" t="str">
        <f>"C60202001084581"</f>
        <v>C60202001084581</v>
      </c>
      <c r="F2636" t="str">
        <f>"00130730762012V300"</f>
        <v>00130730762012V300</v>
      </c>
      <c r="G2636" s="2">
        <v>399.32</v>
      </c>
      <c r="H2636" t="str">
        <f>"00130730762012V300"</f>
        <v>00130730762012V300</v>
      </c>
    </row>
    <row r="2637" spans="1:8" x14ac:dyDescent="0.25">
      <c r="E2637" t="str">
        <f>"C62202001084581"</f>
        <v>C62202001084581</v>
      </c>
      <c r="F2637" t="str">
        <f>"# 0012128865"</f>
        <v># 0012128865</v>
      </c>
      <c r="G2637" s="2">
        <v>243.23</v>
      </c>
      <c r="H2637" t="str">
        <f>"# 0012128865"</f>
        <v># 0012128865</v>
      </c>
    </row>
    <row r="2638" spans="1:8" x14ac:dyDescent="0.25">
      <c r="E2638" t="str">
        <f>"C66202001084581"</f>
        <v>C66202001084581</v>
      </c>
      <c r="F2638" t="str">
        <f>"# 0012871801"</f>
        <v># 0012871801</v>
      </c>
      <c r="G2638" s="2">
        <v>90</v>
      </c>
      <c r="H2638" t="str">
        <f>"# 0012871801"</f>
        <v># 0012871801</v>
      </c>
    </row>
    <row r="2639" spans="1:8" x14ac:dyDescent="0.25">
      <c r="E2639" t="str">
        <f>"C67202001084581"</f>
        <v>C67202001084581</v>
      </c>
      <c r="F2639" t="str">
        <f>"13154657"</f>
        <v>13154657</v>
      </c>
      <c r="G2639" s="2">
        <v>101.99</v>
      </c>
      <c r="H2639" t="str">
        <f>"13154657"</f>
        <v>13154657</v>
      </c>
    </row>
    <row r="2640" spans="1:8" x14ac:dyDescent="0.25">
      <c r="E2640" t="str">
        <f>"C69202001084581"</f>
        <v>C69202001084581</v>
      </c>
      <c r="F2640" t="str">
        <f>"0012046911423672"</f>
        <v>0012046911423672</v>
      </c>
      <c r="G2640" s="2">
        <v>187.38</v>
      </c>
      <c r="H2640" t="str">
        <f>"0012046911423672"</f>
        <v>0012046911423672</v>
      </c>
    </row>
    <row r="2641" spans="1:8" x14ac:dyDescent="0.25">
      <c r="E2641" t="str">
        <f>"C70202001084581"</f>
        <v>C70202001084581</v>
      </c>
      <c r="F2641" t="str">
        <f>"00136881334235026"</f>
        <v>00136881334235026</v>
      </c>
      <c r="G2641" s="2">
        <v>195.15</v>
      </c>
      <c r="H2641" t="str">
        <f>"00136881334235026"</f>
        <v>00136881334235026</v>
      </c>
    </row>
    <row r="2642" spans="1:8" x14ac:dyDescent="0.25">
      <c r="E2642" t="str">
        <f>"C71202001084581"</f>
        <v>C71202001084581</v>
      </c>
      <c r="F2642" t="str">
        <f>"00137390532018V215"</f>
        <v>00137390532018V215</v>
      </c>
      <c r="G2642" s="2">
        <v>264</v>
      </c>
      <c r="H2642" t="str">
        <f>"00137390532018V215"</f>
        <v>00137390532018V215</v>
      </c>
    </row>
    <row r="2643" spans="1:8" x14ac:dyDescent="0.25">
      <c r="E2643" t="str">
        <f>"C72202001084581"</f>
        <v>C72202001084581</v>
      </c>
      <c r="F2643" t="str">
        <f>"0012797601C20130529B"</f>
        <v>0012797601C20130529B</v>
      </c>
      <c r="G2643" s="2">
        <v>241.85</v>
      </c>
      <c r="H2643" t="str">
        <f>"0012797601C20130529B"</f>
        <v>0012797601C20130529B</v>
      </c>
    </row>
    <row r="2644" spans="1:8" x14ac:dyDescent="0.25">
      <c r="E2644" t="str">
        <f>"C78202001084581"</f>
        <v>C78202001084581</v>
      </c>
      <c r="F2644" t="str">
        <f>"00105115972005106221"</f>
        <v>00105115972005106221</v>
      </c>
      <c r="G2644" s="2">
        <v>144.68</v>
      </c>
      <c r="H2644" t="str">
        <f>"00105115972005106221"</f>
        <v>00105115972005106221</v>
      </c>
    </row>
    <row r="2645" spans="1:8" x14ac:dyDescent="0.25">
      <c r="E2645" t="str">
        <f>"C79202001084581"</f>
        <v>C79202001084581</v>
      </c>
      <c r="F2645" t="str">
        <f>"0013045733S146091FLB"</f>
        <v>0013045733S146091FLB</v>
      </c>
      <c r="G2645" s="2">
        <v>197.08</v>
      </c>
      <c r="H2645" t="str">
        <f>"0013045733S146091FLB"</f>
        <v>0013045733S146091FLB</v>
      </c>
    </row>
    <row r="2646" spans="1:8" x14ac:dyDescent="0.25">
      <c r="E2646" t="str">
        <f>"C81202001084581"</f>
        <v>C81202001084581</v>
      </c>
      <c r="F2646" t="str">
        <f>"00123916889200232472"</f>
        <v>00123916889200232472</v>
      </c>
      <c r="G2646" s="2">
        <v>109.85</v>
      </c>
      <c r="H2646" t="str">
        <f>"00123916889200232472"</f>
        <v>00123916889200232472</v>
      </c>
    </row>
    <row r="2647" spans="1:8" x14ac:dyDescent="0.25">
      <c r="E2647" t="str">
        <f>"C82202001084581"</f>
        <v>C82202001084581</v>
      </c>
      <c r="F2647" t="str">
        <f>"0009476377203172B"</f>
        <v>0009476377203172B</v>
      </c>
      <c r="G2647" s="2">
        <v>46.15</v>
      </c>
      <c r="H2647" t="str">
        <f>"0009476377203172B"</f>
        <v>0009476377203172B</v>
      </c>
    </row>
    <row r="2648" spans="1:8" x14ac:dyDescent="0.25">
      <c r="E2648" t="str">
        <f>"C83202001084581"</f>
        <v>C83202001084581</v>
      </c>
      <c r="F2648" t="str">
        <f>"0013096953150533"</f>
        <v>0013096953150533</v>
      </c>
      <c r="G2648" s="2">
        <v>346.15</v>
      </c>
      <c r="H2648" t="str">
        <f>"0013096953150533"</f>
        <v>0013096953150533</v>
      </c>
    </row>
    <row r="2649" spans="1:8" x14ac:dyDescent="0.25">
      <c r="E2649" t="str">
        <f>"C84202001084581"</f>
        <v>C84202001084581</v>
      </c>
      <c r="F2649" t="str">
        <f>"00128499834232566"</f>
        <v>00128499834232566</v>
      </c>
      <c r="G2649" s="2">
        <v>439.94</v>
      </c>
      <c r="H2649" t="str">
        <f>"00128499834232566"</f>
        <v>00128499834232566</v>
      </c>
    </row>
    <row r="2650" spans="1:8" x14ac:dyDescent="0.25">
      <c r="E2650" t="str">
        <f>"C85202001084581"</f>
        <v>C85202001084581</v>
      </c>
      <c r="F2650" t="str">
        <f>"0012469425201770874"</f>
        <v>0012469425201770874</v>
      </c>
      <c r="G2650" s="2">
        <v>138.46</v>
      </c>
      <c r="H2650" t="str">
        <f>"0012469425201770874"</f>
        <v>0012469425201770874</v>
      </c>
    </row>
    <row r="2651" spans="1:8" x14ac:dyDescent="0.25">
      <c r="E2651" t="str">
        <f>"C86202001084581"</f>
        <v>C86202001084581</v>
      </c>
      <c r="F2651" t="str">
        <f>"0013854015101285F"</f>
        <v>0013854015101285F</v>
      </c>
      <c r="G2651" s="2">
        <v>241.85</v>
      </c>
      <c r="H2651" t="str">
        <f>"0013854015101285F"</f>
        <v>0013854015101285F</v>
      </c>
    </row>
    <row r="2652" spans="1:8" x14ac:dyDescent="0.25">
      <c r="A2652" t="s">
        <v>461</v>
      </c>
      <c r="B2652">
        <v>371</v>
      </c>
      <c r="C2652" s="2">
        <v>5405.4</v>
      </c>
      <c r="D2652" s="1">
        <v>43854</v>
      </c>
      <c r="E2652" t="str">
        <f>"C18202001224787"</f>
        <v>C18202001224787</v>
      </c>
      <c r="F2652" t="str">
        <f>"CAUSE# 0011635329"</f>
        <v>CAUSE# 0011635329</v>
      </c>
      <c r="G2652" s="2">
        <v>603.23</v>
      </c>
      <c r="H2652" t="str">
        <f>"CAUSE# 0011635329"</f>
        <v>CAUSE# 0011635329</v>
      </c>
    </row>
    <row r="2653" spans="1:8" x14ac:dyDescent="0.25">
      <c r="E2653" t="str">
        <f>"C2 202001224787"</f>
        <v>C2 202001224787</v>
      </c>
      <c r="F2653" t="str">
        <f>"0012982132CCL7445"</f>
        <v>0012982132CCL7445</v>
      </c>
      <c r="G2653" s="2">
        <v>692.31</v>
      </c>
      <c r="H2653" t="str">
        <f>"0012982132CCL7445"</f>
        <v>0012982132CCL7445</v>
      </c>
    </row>
    <row r="2654" spans="1:8" x14ac:dyDescent="0.25">
      <c r="E2654" t="str">
        <f>"C20202001224779"</f>
        <v>C20202001224779</v>
      </c>
      <c r="F2654" t="str">
        <f>"001003981107-12252"</f>
        <v>001003981107-12252</v>
      </c>
      <c r="G2654" s="2">
        <v>115.39</v>
      </c>
      <c r="H2654" t="str">
        <f>"001003981107-12252"</f>
        <v>001003981107-12252</v>
      </c>
    </row>
    <row r="2655" spans="1:8" x14ac:dyDescent="0.25">
      <c r="E2655" t="str">
        <f>"C42202001224779"</f>
        <v>C42202001224779</v>
      </c>
      <c r="F2655" t="str">
        <f>"001236769211-14410"</f>
        <v>001236769211-14410</v>
      </c>
      <c r="G2655" s="2">
        <v>230.31</v>
      </c>
      <c r="H2655" t="str">
        <f>"001236769211-14410"</f>
        <v>001236769211-14410</v>
      </c>
    </row>
    <row r="2656" spans="1:8" x14ac:dyDescent="0.25">
      <c r="E2656" t="str">
        <f>"C46202001224779"</f>
        <v>C46202001224779</v>
      </c>
      <c r="F2656" t="str">
        <f>"CAUSE# 11-14911"</f>
        <v>CAUSE# 11-14911</v>
      </c>
      <c r="G2656" s="2">
        <v>238.62</v>
      </c>
      <c r="H2656" t="str">
        <f>"CAUSE# 11-14911"</f>
        <v>CAUSE# 11-14911</v>
      </c>
    </row>
    <row r="2657" spans="5:8" x14ac:dyDescent="0.25">
      <c r="E2657" t="str">
        <f>"C53202001224779"</f>
        <v>C53202001224779</v>
      </c>
      <c r="F2657" t="str">
        <f>"0012453366"</f>
        <v>0012453366</v>
      </c>
      <c r="G2657" s="2">
        <v>138.46</v>
      </c>
      <c r="H2657" t="str">
        <f>"0012453366"</f>
        <v>0012453366</v>
      </c>
    </row>
    <row r="2658" spans="5:8" x14ac:dyDescent="0.25">
      <c r="E2658" t="str">
        <f>"C60202001224779"</f>
        <v>C60202001224779</v>
      </c>
      <c r="F2658" t="str">
        <f>"00130730762012V300"</f>
        <v>00130730762012V300</v>
      </c>
      <c r="G2658" s="2">
        <v>399.32</v>
      </c>
      <c r="H2658" t="str">
        <f>"00130730762012V300"</f>
        <v>00130730762012V300</v>
      </c>
    </row>
    <row r="2659" spans="5:8" x14ac:dyDescent="0.25">
      <c r="E2659" t="str">
        <f>"C62202001224779"</f>
        <v>C62202001224779</v>
      </c>
      <c r="F2659" t="str">
        <f>"# 0012128865"</f>
        <v># 0012128865</v>
      </c>
      <c r="G2659" s="2">
        <v>243.23</v>
      </c>
      <c r="H2659" t="str">
        <f>"# 0012128865"</f>
        <v># 0012128865</v>
      </c>
    </row>
    <row r="2660" spans="5:8" x14ac:dyDescent="0.25">
      <c r="E2660" t="str">
        <f>"C66202001224779"</f>
        <v>C66202001224779</v>
      </c>
      <c r="F2660" t="str">
        <f>"# 0012871801"</f>
        <v># 0012871801</v>
      </c>
      <c r="G2660" s="2">
        <v>90</v>
      </c>
      <c r="H2660" t="str">
        <f>"# 0012871801"</f>
        <v># 0012871801</v>
      </c>
    </row>
    <row r="2661" spans="5:8" x14ac:dyDescent="0.25">
      <c r="E2661" t="str">
        <f>"C67202001224779"</f>
        <v>C67202001224779</v>
      </c>
      <c r="F2661" t="str">
        <f>"13154657"</f>
        <v>13154657</v>
      </c>
      <c r="G2661" s="2">
        <v>101.99</v>
      </c>
      <c r="H2661" t="str">
        <f>"13154657"</f>
        <v>13154657</v>
      </c>
    </row>
    <row r="2662" spans="5:8" x14ac:dyDescent="0.25">
      <c r="E2662" t="str">
        <f>"C69202001224779"</f>
        <v>C69202001224779</v>
      </c>
      <c r="F2662" t="str">
        <f>"0012046911423672"</f>
        <v>0012046911423672</v>
      </c>
      <c r="G2662" s="2">
        <v>187.38</v>
      </c>
      <c r="H2662" t="str">
        <f>"0012046911423672"</f>
        <v>0012046911423672</v>
      </c>
    </row>
    <row r="2663" spans="5:8" x14ac:dyDescent="0.25">
      <c r="E2663" t="str">
        <f>"C70202001224779"</f>
        <v>C70202001224779</v>
      </c>
      <c r="F2663" t="str">
        <f>"00136881334235026"</f>
        <v>00136881334235026</v>
      </c>
      <c r="G2663" s="2">
        <v>195.15</v>
      </c>
      <c r="H2663" t="str">
        <f>"00136881334235026"</f>
        <v>00136881334235026</v>
      </c>
    </row>
    <row r="2664" spans="5:8" x14ac:dyDescent="0.25">
      <c r="E2664" t="str">
        <f>"C71202001224779"</f>
        <v>C71202001224779</v>
      </c>
      <c r="F2664" t="str">
        <f>"00137390532018V215"</f>
        <v>00137390532018V215</v>
      </c>
      <c r="G2664" s="2">
        <v>264</v>
      </c>
      <c r="H2664" t="str">
        <f>"00137390532018V215"</f>
        <v>00137390532018V215</v>
      </c>
    </row>
    <row r="2665" spans="5:8" x14ac:dyDescent="0.25">
      <c r="E2665" t="str">
        <f>"C72202001224779"</f>
        <v>C72202001224779</v>
      </c>
      <c r="F2665" t="str">
        <f>"0012797601C20130529B"</f>
        <v>0012797601C20130529B</v>
      </c>
      <c r="G2665" s="2">
        <v>241.85</v>
      </c>
      <c r="H2665" t="str">
        <f>"0012797601C20130529B"</f>
        <v>0012797601C20130529B</v>
      </c>
    </row>
    <row r="2666" spans="5:8" x14ac:dyDescent="0.25">
      <c r="E2666" t="str">
        <f>"C78202001224779"</f>
        <v>C78202001224779</v>
      </c>
      <c r="F2666" t="str">
        <f>"00105115972005106221"</f>
        <v>00105115972005106221</v>
      </c>
      <c r="G2666" s="2">
        <v>144.68</v>
      </c>
      <c r="H2666" t="str">
        <f>"00105115972005106221"</f>
        <v>00105115972005106221</v>
      </c>
    </row>
    <row r="2667" spans="5:8" x14ac:dyDescent="0.25">
      <c r="E2667" t="str">
        <f>"C79202001224779"</f>
        <v>C79202001224779</v>
      </c>
      <c r="F2667" t="str">
        <f>"0013045733S146091FLB"</f>
        <v>0013045733S146091FLB</v>
      </c>
      <c r="G2667" s="2">
        <v>197.08</v>
      </c>
      <c r="H2667" t="str">
        <f>"0013045733S146091FLB"</f>
        <v>0013045733S146091FLB</v>
      </c>
    </row>
    <row r="2668" spans="5:8" x14ac:dyDescent="0.25">
      <c r="E2668" t="str">
        <f>"C81202001224779"</f>
        <v>C81202001224779</v>
      </c>
      <c r="F2668" t="str">
        <f>"00123916889200232472"</f>
        <v>00123916889200232472</v>
      </c>
      <c r="G2668" s="2">
        <v>109.85</v>
      </c>
      <c r="H2668" t="str">
        <f>"00123916889200232472"</f>
        <v>00123916889200232472</v>
      </c>
    </row>
    <row r="2669" spans="5:8" x14ac:dyDescent="0.25">
      <c r="E2669" t="str">
        <f>"C82202001224779"</f>
        <v>C82202001224779</v>
      </c>
      <c r="F2669" t="str">
        <f>"0009476377203172B"</f>
        <v>0009476377203172B</v>
      </c>
      <c r="G2669" s="2">
        <v>46.15</v>
      </c>
      <c r="H2669" t="str">
        <f>"0009476377203172B"</f>
        <v>0009476377203172B</v>
      </c>
    </row>
    <row r="2670" spans="5:8" x14ac:dyDescent="0.25">
      <c r="E2670" t="str">
        <f>"C83202001224779"</f>
        <v>C83202001224779</v>
      </c>
      <c r="F2670" t="str">
        <f>"0013096953150533"</f>
        <v>0013096953150533</v>
      </c>
      <c r="G2670" s="2">
        <v>346.15</v>
      </c>
      <c r="H2670" t="str">
        <f>"0013096953150533"</f>
        <v>0013096953150533</v>
      </c>
    </row>
    <row r="2671" spans="5:8" x14ac:dyDescent="0.25">
      <c r="E2671" t="str">
        <f>"C84202001224779"</f>
        <v>C84202001224779</v>
      </c>
      <c r="F2671" t="str">
        <f>"00128499834232566"</f>
        <v>00128499834232566</v>
      </c>
      <c r="G2671" s="2">
        <v>439.94</v>
      </c>
      <c r="H2671" t="str">
        <f>"00128499834232566"</f>
        <v>00128499834232566</v>
      </c>
    </row>
    <row r="2672" spans="5:8" x14ac:dyDescent="0.25">
      <c r="E2672" t="str">
        <f>"C85202001224779"</f>
        <v>C85202001224779</v>
      </c>
      <c r="F2672" t="str">
        <f>"0012469425201770874"</f>
        <v>0012469425201770874</v>
      </c>
      <c r="G2672" s="2">
        <v>138.46</v>
      </c>
      <c r="H2672" t="str">
        <f>"0012469425201770874"</f>
        <v>0012469425201770874</v>
      </c>
    </row>
    <row r="2673" spans="1:8" x14ac:dyDescent="0.25">
      <c r="E2673" t="str">
        <f>"C86202001224779"</f>
        <v>C86202001224779</v>
      </c>
      <c r="F2673" t="str">
        <f>"0013854015101285F"</f>
        <v>0013854015101285F</v>
      </c>
      <c r="G2673" s="2">
        <v>241.85</v>
      </c>
      <c r="H2673" t="str">
        <f>"0013854015101285F"</f>
        <v>0013854015101285F</v>
      </c>
    </row>
    <row r="2674" spans="1:8" x14ac:dyDescent="0.25">
      <c r="A2674" t="s">
        <v>462</v>
      </c>
      <c r="B2674">
        <v>373</v>
      </c>
      <c r="C2674" s="2">
        <v>377692.98</v>
      </c>
      <c r="D2674" s="1">
        <v>43854</v>
      </c>
      <c r="E2674" t="str">
        <f>"RET202001084581"</f>
        <v>RET202001084581</v>
      </c>
      <c r="F2674" t="str">
        <f>"TEXAS COUNTY &amp; DISTRICT RET"</f>
        <v>TEXAS COUNTY &amp; DISTRICT RET</v>
      </c>
      <c r="G2674" s="2">
        <v>170899.59</v>
      </c>
      <c r="H2674" t="str">
        <f t="shared" ref="H2674:H2705" si="57">"TEXAS COUNTY &amp; DISTRICT RET"</f>
        <v>TEXAS COUNTY &amp; DISTRICT RET</v>
      </c>
    </row>
    <row r="2675" spans="1:8" x14ac:dyDescent="0.25">
      <c r="E2675" t="str">
        <f>""</f>
        <v/>
      </c>
      <c r="F2675" t="str">
        <f>""</f>
        <v/>
      </c>
      <c r="H2675" t="str">
        <f t="shared" si="57"/>
        <v>TEXAS COUNTY &amp; DISTRICT RET</v>
      </c>
    </row>
    <row r="2676" spans="1:8" x14ac:dyDescent="0.25">
      <c r="E2676" t="str">
        <f>""</f>
        <v/>
      </c>
      <c r="F2676" t="str">
        <f>""</f>
        <v/>
      </c>
      <c r="H2676" t="str">
        <f t="shared" si="57"/>
        <v>TEXAS COUNTY &amp; DISTRICT RET</v>
      </c>
    </row>
    <row r="2677" spans="1:8" x14ac:dyDescent="0.25">
      <c r="E2677" t="str">
        <f>""</f>
        <v/>
      </c>
      <c r="F2677" t="str">
        <f>""</f>
        <v/>
      </c>
      <c r="H2677" t="str">
        <f t="shared" si="57"/>
        <v>TEXAS COUNTY &amp; DISTRICT RET</v>
      </c>
    </row>
    <row r="2678" spans="1:8" x14ac:dyDescent="0.25">
      <c r="E2678" t="str">
        <f>""</f>
        <v/>
      </c>
      <c r="F2678" t="str">
        <f>""</f>
        <v/>
      </c>
      <c r="H2678" t="str">
        <f t="shared" si="57"/>
        <v>TEXAS COUNTY &amp; DISTRICT RET</v>
      </c>
    </row>
    <row r="2679" spans="1:8" x14ac:dyDescent="0.25">
      <c r="E2679" t="str">
        <f>""</f>
        <v/>
      </c>
      <c r="F2679" t="str">
        <f>""</f>
        <v/>
      </c>
      <c r="H2679" t="str">
        <f t="shared" si="57"/>
        <v>TEXAS COUNTY &amp; DISTRICT RET</v>
      </c>
    </row>
    <row r="2680" spans="1:8" x14ac:dyDescent="0.25">
      <c r="E2680" t="str">
        <f>""</f>
        <v/>
      </c>
      <c r="F2680" t="str">
        <f>""</f>
        <v/>
      </c>
      <c r="H2680" t="str">
        <f t="shared" si="57"/>
        <v>TEXAS COUNTY &amp; DISTRICT RET</v>
      </c>
    </row>
    <row r="2681" spans="1:8" x14ac:dyDescent="0.25">
      <c r="E2681" t="str">
        <f>""</f>
        <v/>
      </c>
      <c r="F2681" t="str">
        <f>""</f>
        <v/>
      </c>
      <c r="H2681" t="str">
        <f t="shared" si="57"/>
        <v>TEXAS COUNTY &amp; DISTRICT RET</v>
      </c>
    </row>
    <row r="2682" spans="1:8" x14ac:dyDescent="0.25">
      <c r="E2682" t="str">
        <f>""</f>
        <v/>
      </c>
      <c r="F2682" t="str">
        <f>""</f>
        <v/>
      </c>
      <c r="H2682" t="str">
        <f t="shared" si="57"/>
        <v>TEXAS COUNTY &amp; DISTRICT RET</v>
      </c>
    </row>
    <row r="2683" spans="1:8" x14ac:dyDescent="0.25">
      <c r="E2683" t="str">
        <f>""</f>
        <v/>
      </c>
      <c r="F2683" t="str">
        <f>""</f>
        <v/>
      </c>
      <c r="H2683" t="str">
        <f t="shared" si="57"/>
        <v>TEXAS COUNTY &amp; DISTRICT RET</v>
      </c>
    </row>
    <row r="2684" spans="1:8" x14ac:dyDescent="0.25">
      <c r="E2684" t="str">
        <f>""</f>
        <v/>
      </c>
      <c r="F2684" t="str">
        <f>""</f>
        <v/>
      </c>
      <c r="H2684" t="str">
        <f t="shared" si="57"/>
        <v>TEXAS COUNTY &amp; DISTRICT RET</v>
      </c>
    </row>
    <row r="2685" spans="1:8" x14ac:dyDescent="0.25">
      <c r="E2685" t="str">
        <f>""</f>
        <v/>
      </c>
      <c r="F2685" t="str">
        <f>""</f>
        <v/>
      </c>
      <c r="H2685" t="str">
        <f t="shared" si="57"/>
        <v>TEXAS COUNTY &amp; DISTRICT RET</v>
      </c>
    </row>
    <row r="2686" spans="1:8" x14ac:dyDescent="0.25">
      <c r="E2686" t="str">
        <f>""</f>
        <v/>
      </c>
      <c r="F2686" t="str">
        <f>""</f>
        <v/>
      </c>
      <c r="H2686" t="str">
        <f t="shared" si="57"/>
        <v>TEXAS COUNTY &amp; DISTRICT RET</v>
      </c>
    </row>
    <row r="2687" spans="1:8" x14ac:dyDescent="0.25">
      <c r="E2687" t="str">
        <f>""</f>
        <v/>
      </c>
      <c r="F2687" t="str">
        <f>""</f>
        <v/>
      </c>
      <c r="H2687" t="str">
        <f t="shared" si="57"/>
        <v>TEXAS COUNTY &amp; DISTRICT RET</v>
      </c>
    </row>
    <row r="2688" spans="1:8" x14ac:dyDescent="0.25">
      <c r="E2688" t="str">
        <f>""</f>
        <v/>
      </c>
      <c r="F2688" t="str">
        <f>""</f>
        <v/>
      </c>
      <c r="H2688" t="str">
        <f t="shared" si="57"/>
        <v>TEXAS COUNTY &amp; DISTRICT RET</v>
      </c>
    </row>
    <row r="2689" spans="5:8" x14ac:dyDescent="0.25">
      <c r="E2689" t="str">
        <f>""</f>
        <v/>
      </c>
      <c r="F2689" t="str">
        <f>""</f>
        <v/>
      </c>
      <c r="H2689" t="str">
        <f t="shared" si="57"/>
        <v>TEXAS COUNTY &amp; DISTRICT RET</v>
      </c>
    </row>
    <row r="2690" spans="5:8" x14ac:dyDescent="0.25">
      <c r="E2690" t="str">
        <f>""</f>
        <v/>
      </c>
      <c r="F2690" t="str">
        <f>""</f>
        <v/>
      </c>
      <c r="H2690" t="str">
        <f t="shared" si="57"/>
        <v>TEXAS COUNTY &amp; DISTRICT RET</v>
      </c>
    </row>
    <row r="2691" spans="5:8" x14ac:dyDescent="0.25">
      <c r="E2691" t="str">
        <f>""</f>
        <v/>
      </c>
      <c r="F2691" t="str">
        <f>""</f>
        <v/>
      </c>
      <c r="H2691" t="str">
        <f t="shared" si="57"/>
        <v>TEXAS COUNTY &amp; DISTRICT RET</v>
      </c>
    </row>
    <row r="2692" spans="5:8" x14ac:dyDescent="0.25">
      <c r="E2692" t="str">
        <f>""</f>
        <v/>
      </c>
      <c r="F2692" t="str">
        <f>""</f>
        <v/>
      </c>
      <c r="H2692" t="str">
        <f t="shared" si="57"/>
        <v>TEXAS COUNTY &amp; DISTRICT RET</v>
      </c>
    </row>
    <row r="2693" spans="5:8" x14ac:dyDescent="0.25">
      <c r="E2693" t="str">
        <f>""</f>
        <v/>
      </c>
      <c r="F2693" t="str">
        <f>""</f>
        <v/>
      </c>
      <c r="H2693" t="str">
        <f t="shared" si="57"/>
        <v>TEXAS COUNTY &amp; DISTRICT RET</v>
      </c>
    </row>
    <row r="2694" spans="5:8" x14ac:dyDescent="0.25">
      <c r="E2694" t="str">
        <f>""</f>
        <v/>
      </c>
      <c r="F2694" t="str">
        <f>""</f>
        <v/>
      </c>
      <c r="H2694" t="str">
        <f t="shared" si="57"/>
        <v>TEXAS COUNTY &amp; DISTRICT RET</v>
      </c>
    </row>
    <row r="2695" spans="5:8" x14ac:dyDescent="0.25">
      <c r="E2695" t="str">
        <f>""</f>
        <v/>
      </c>
      <c r="F2695" t="str">
        <f>""</f>
        <v/>
      </c>
      <c r="H2695" t="str">
        <f t="shared" si="57"/>
        <v>TEXAS COUNTY &amp; DISTRICT RET</v>
      </c>
    </row>
    <row r="2696" spans="5:8" x14ac:dyDescent="0.25">
      <c r="E2696" t="str">
        <f>""</f>
        <v/>
      </c>
      <c r="F2696" t="str">
        <f>""</f>
        <v/>
      </c>
      <c r="H2696" t="str">
        <f t="shared" si="57"/>
        <v>TEXAS COUNTY &amp; DISTRICT RET</v>
      </c>
    </row>
    <row r="2697" spans="5:8" x14ac:dyDescent="0.25">
      <c r="E2697" t="str">
        <f>""</f>
        <v/>
      </c>
      <c r="F2697" t="str">
        <f>""</f>
        <v/>
      </c>
      <c r="H2697" t="str">
        <f t="shared" si="57"/>
        <v>TEXAS COUNTY &amp; DISTRICT RET</v>
      </c>
    </row>
    <row r="2698" spans="5:8" x14ac:dyDescent="0.25">
      <c r="E2698" t="str">
        <f>""</f>
        <v/>
      </c>
      <c r="F2698" t="str">
        <f>""</f>
        <v/>
      </c>
      <c r="H2698" t="str">
        <f t="shared" si="57"/>
        <v>TEXAS COUNTY &amp; DISTRICT RET</v>
      </c>
    </row>
    <row r="2699" spans="5:8" x14ac:dyDescent="0.25">
      <c r="E2699" t="str">
        <f>""</f>
        <v/>
      </c>
      <c r="F2699" t="str">
        <f>""</f>
        <v/>
      </c>
      <c r="H2699" t="str">
        <f t="shared" si="57"/>
        <v>TEXAS COUNTY &amp; DISTRICT RET</v>
      </c>
    </row>
    <row r="2700" spans="5:8" x14ac:dyDescent="0.25">
      <c r="E2700" t="str">
        <f>""</f>
        <v/>
      </c>
      <c r="F2700" t="str">
        <f>""</f>
        <v/>
      </c>
      <c r="H2700" t="str">
        <f t="shared" si="57"/>
        <v>TEXAS COUNTY &amp; DISTRICT RET</v>
      </c>
    </row>
    <row r="2701" spans="5:8" x14ac:dyDescent="0.25">
      <c r="E2701" t="str">
        <f>""</f>
        <v/>
      </c>
      <c r="F2701" t="str">
        <f>""</f>
        <v/>
      </c>
      <c r="H2701" t="str">
        <f t="shared" si="57"/>
        <v>TEXAS COUNTY &amp; DISTRICT RET</v>
      </c>
    </row>
    <row r="2702" spans="5:8" x14ac:dyDescent="0.25">
      <c r="E2702" t="str">
        <f>""</f>
        <v/>
      </c>
      <c r="F2702" t="str">
        <f>""</f>
        <v/>
      </c>
      <c r="H2702" t="str">
        <f t="shared" si="57"/>
        <v>TEXAS COUNTY &amp; DISTRICT RET</v>
      </c>
    </row>
    <row r="2703" spans="5:8" x14ac:dyDescent="0.25">
      <c r="E2703" t="str">
        <f>""</f>
        <v/>
      </c>
      <c r="F2703" t="str">
        <f>""</f>
        <v/>
      </c>
      <c r="H2703" t="str">
        <f t="shared" si="57"/>
        <v>TEXAS COUNTY &amp; DISTRICT RET</v>
      </c>
    </row>
    <row r="2704" spans="5:8" x14ac:dyDescent="0.25">
      <c r="E2704" t="str">
        <f>""</f>
        <v/>
      </c>
      <c r="F2704" t="str">
        <f>""</f>
        <v/>
      </c>
      <c r="H2704" t="str">
        <f t="shared" si="57"/>
        <v>TEXAS COUNTY &amp; DISTRICT RET</v>
      </c>
    </row>
    <row r="2705" spans="5:8" x14ac:dyDescent="0.25">
      <c r="E2705" t="str">
        <f>""</f>
        <v/>
      </c>
      <c r="F2705" t="str">
        <f>""</f>
        <v/>
      </c>
      <c r="H2705" t="str">
        <f t="shared" si="57"/>
        <v>TEXAS COUNTY &amp; DISTRICT RET</v>
      </c>
    </row>
    <row r="2706" spans="5:8" x14ac:dyDescent="0.25">
      <c r="E2706" t="str">
        <f>""</f>
        <v/>
      </c>
      <c r="F2706" t="str">
        <f>""</f>
        <v/>
      </c>
      <c r="H2706" t="str">
        <f t="shared" ref="H2706:H2725" si="58">"TEXAS COUNTY &amp; DISTRICT RET"</f>
        <v>TEXAS COUNTY &amp; DISTRICT RET</v>
      </c>
    </row>
    <row r="2707" spans="5:8" x14ac:dyDescent="0.25">
      <c r="E2707" t="str">
        <f>""</f>
        <v/>
      </c>
      <c r="F2707" t="str">
        <f>""</f>
        <v/>
      </c>
      <c r="H2707" t="str">
        <f t="shared" si="58"/>
        <v>TEXAS COUNTY &amp; DISTRICT RET</v>
      </c>
    </row>
    <row r="2708" spans="5:8" x14ac:dyDescent="0.25">
      <c r="E2708" t="str">
        <f>""</f>
        <v/>
      </c>
      <c r="F2708" t="str">
        <f>""</f>
        <v/>
      </c>
      <c r="H2708" t="str">
        <f t="shared" si="58"/>
        <v>TEXAS COUNTY &amp; DISTRICT RET</v>
      </c>
    </row>
    <row r="2709" spans="5:8" x14ac:dyDescent="0.25">
      <c r="E2709" t="str">
        <f>""</f>
        <v/>
      </c>
      <c r="F2709" t="str">
        <f>""</f>
        <v/>
      </c>
      <c r="H2709" t="str">
        <f t="shared" si="58"/>
        <v>TEXAS COUNTY &amp; DISTRICT RET</v>
      </c>
    </row>
    <row r="2710" spans="5:8" x14ac:dyDescent="0.25">
      <c r="E2710" t="str">
        <f>""</f>
        <v/>
      </c>
      <c r="F2710" t="str">
        <f>""</f>
        <v/>
      </c>
      <c r="H2710" t="str">
        <f t="shared" si="58"/>
        <v>TEXAS COUNTY &amp; DISTRICT RET</v>
      </c>
    </row>
    <row r="2711" spans="5:8" x14ac:dyDescent="0.25">
      <c r="E2711" t="str">
        <f>""</f>
        <v/>
      </c>
      <c r="F2711" t="str">
        <f>""</f>
        <v/>
      </c>
      <c r="H2711" t="str">
        <f t="shared" si="58"/>
        <v>TEXAS COUNTY &amp; DISTRICT RET</v>
      </c>
    </row>
    <row r="2712" spans="5:8" x14ac:dyDescent="0.25">
      <c r="E2712" t="str">
        <f>""</f>
        <v/>
      </c>
      <c r="F2712" t="str">
        <f>""</f>
        <v/>
      </c>
      <c r="H2712" t="str">
        <f t="shared" si="58"/>
        <v>TEXAS COUNTY &amp; DISTRICT RET</v>
      </c>
    </row>
    <row r="2713" spans="5:8" x14ac:dyDescent="0.25">
      <c r="E2713" t="str">
        <f>""</f>
        <v/>
      </c>
      <c r="F2713" t="str">
        <f>""</f>
        <v/>
      </c>
      <c r="H2713" t="str">
        <f t="shared" si="58"/>
        <v>TEXAS COUNTY &amp; DISTRICT RET</v>
      </c>
    </row>
    <row r="2714" spans="5:8" x14ac:dyDescent="0.25">
      <c r="E2714" t="str">
        <f>""</f>
        <v/>
      </c>
      <c r="F2714" t="str">
        <f>""</f>
        <v/>
      </c>
      <c r="H2714" t="str">
        <f t="shared" si="58"/>
        <v>TEXAS COUNTY &amp; DISTRICT RET</v>
      </c>
    </row>
    <row r="2715" spans="5:8" x14ac:dyDescent="0.25">
      <c r="E2715" t="str">
        <f>""</f>
        <v/>
      </c>
      <c r="F2715" t="str">
        <f>""</f>
        <v/>
      </c>
      <c r="H2715" t="str">
        <f t="shared" si="58"/>
        <v>TEXAS COUNTY &amp; DISTRICT RET</v>
      </c>
    </row>
    <row r="2716" spans="5:8" x14ac:dyDescent="0.25">
      <c r="E2716" t="str">
        <f>""</f>
        <v/>
      </c>
      <c r="F2716" t="str">
        <f>""</f>
        <v/>
      </c>
      <c r="H2716" t="str">
        <f t="shared" si="58"/>
        <v>TEXAS COUNTY &amp; DISTRICT RET</v>
      </c>
    </row>
    <row r="2717" spans="5:8" x14ac:dyDescent="0.25">
      <c r="E2717" t="str">
        <f>""</f>
        <v/>
      </c>
      <c r="F2717" t="str">
        <f>""</f>
        <v/>
      </c>
      <c r="H2717" t="str">
        <f t="shared" si="58"/>
        <v>TEXAS COUNTY &amp; DISTRICT RET</v>
      </c>
    </row>
    <row r="2718" spans="5:8" x14ac:dyDescent="0.25">
      <c r="E2718" t="str">
        <f>""</f>
        <v/>
      </c>
      <c r="F2718" t="str">
        <f>""</f>
        <v/>
      </c>
      <c r="H2718" t="str">
        <f t="shared" si="58"/>
        <v>TEXAS COUNTY &amp; DISTRICT RET</v>
      </c>
    </row>
    <row r="2719" spans="5:8" x14ac:dyDescent="0.25">
      <c r="E2719" t="str">
        <f>""</f>
        <v/>
      </c>
      <c r="F2719" t="str">
        <f>""</f>
        <v/>
      </c>
      <c r="H2719" t="str">
        <f t="shared" si="58"/>
        <v>TEXAS COUNTY &amp; DISTRICT RET</v>
      </c>
    </row>
    <row r="2720" spans="5:8" x14ac:dyDescent="0.25">
      <c r="E2720" t="str">
        <f>""</f>
        <v/>
      </c>
      <c r="F2720" t="str">
        <f>""</f>
        <v/>
      </c>
      <c r="H2720" t="str">
        <f t="shared" si="58"/>
        <v>TEXAS COUNTY &amp; DISTRICT RET</v>
      </c>
    </row>
    <row r="2721" spans="5:8" x14ac:dyDescent="0.25">
      <c r="E2721" t="str">
        <f>""</f>
        <v/>
      </c>
      <c r="F2721" t="str">
        <f>""</f>
        <v/>
      </c>
      <c r="H2721" t="str">
        <f t="shared" si="58"/>
        <v>TEXAS COUNTY &amp; DISTRICT RET</v>
      </c>
    </row>
    <row r="2722" spans="5:8" x14ac:dyDescent="0.25">
      <c r="E2722" t="str">
        <f>""</f>
        <v/>
      </c>
      <c r="F2722" t="str">
        <f>""</f>
        <v/>
      </c>
      <c r="H2722" t="str">
        <f t="shared" si="58"/>
        <v>TEXAS COUNTY &amp; DISTRICT RET</v>
      </c>
    </row>
    <row r="2723" spans="5:8" x14ac:dyDescent="0.25">
      <c r="E2723" t="str">
        <f>""</f>
        <v/>
      </c>
      <c r="F2723" t="str">
        <f>""</f>
        <v/>
      </c>
      <c r="H2723" t="str">
        <f t="shared" si="58"/>
        <v>TEXAS COUNTY &amp; DISTRICT RET</v>
      </c>
    </row>
    <row r="2724" spans="5:8" x14ac:dyDescent="0.25">
      <c r="E2724" t="str">
        <f>""</f>
        <v/>
      </c>
      <c r="F2724" t="str">
        <f>""</f>
        <v/>
      </c>
      <c r="H2724" t="str">
        <f t="shared" si="58"/>
        <v>TEXAS COUNTY &amp; DISTRICT RET</v>
      </c>
    </row>
    <row r="2725" spans="5:8" x14ac:dyDescent="0.25">
      <c r="E2725" t="str">
        <f>""</f>
        <v/>
      </c>
      <c r="F2725" t="str">
        <f>""</f>
        <v/>
      </c>
      <c r="H2725" t="str">
        <f t="shared" si="58"/>
        <v>TEXAS COUNTY &amp; DISTRICT RET</v>
      </c>
    </row>
    <row r="2726" spans="5:8" x14ac:dyDescent="0.25">
      <c r="E2726" t="str">
        <f>"RET202001084582"</f>
        <v>RET202001084582</v>
      </c>
      <c r="F2726" t="str">
        <f>"TEXAS COUNTY  DISTRICT RET"</f>
        <v>TEXAS COUNTY  DISTRICT RET</v>
      </c>
      <c r="G2726" s="2">
        <v>6403.79</v>
      </c>
      <c r="H2726" t="str">
        <f>"TEXAS COUNTY  DISTRICT RET"</f>
        <v>TEXAS COUNTY  DISTRICT RET</v>
      </c>
    </row>
    <row r="2727" spans="5:8" x14ac:dyDescent="0.25">
      <c r="E2727" t="str">
        <f>""</f>
        <v/>
      </c>
      <c r="F2727" t="str">
        <f>""</f>
        <v/>
      </c>
      <c r="H2727" t="str">
        <f>"TEXAS COUNTY  DISTRICT RET"</f>
        <v>TEXAS COUNTY  DISTRICT RET</v>
      </c>
    </row>
    <row r="2728" spans="5:8" x14ac:dyDescent="0.25">
      <c r="E2728" t="str">
        <f>"RET202001084583"</f>
        <v>RET202001084583</v>
      </c>
      <c r="F2728" t="str">
        <f>"TEXAS COUNTY &amp; DISTRICT RET"</f>
        <v>TEXAS COUNTY &amp; DISTRICT RET</v>
      </c>
      <c r="G2728" s="2">
        <v>8681.51</v>
      </c>
      <c r="H2728" t="str">
        <f t="shared" ref="H2728:H2759" si="59">"TEXAS COUNTY &amp; DISTRICT RET"</f>
        <v>TEXAS COUNTY &amp; DISTRICT RET</v>
      </c>
    </row>
    <row r="2729" spans="5:8" x14ac:dyDescent="0.25">
      <c r="E2729" t="str">
        <f>""</f>
        <v/>
      </c>
      <c r="F2729" t="str">
        <f>""</f>
        <v/>
      </c>
      <c r="H2729" t="str">
        <f t="shared" si="59"/>
        <v>TEXAS COUNTY &amp; DISTRICT RET</v>
      </c>
    </row>
    <row r="2730" spans="5:8" x14ac:dyDescent="0.25">
      <c r="E2730" t="str">
        <f>"RET202001224779"</f>
        <v>RET202001224779</v>
      </c>
      <c r="F2730" t="str">
        <f>"TEXAS COUNTY &amp; DISTRICT RET"</f>
        <v>TEXAS COUNTY &amp; DISTRICT RET</v>
      </c>
      <c r="G2730" s="2">
        <v>177937.75</v>
      </c>
      <c r="H2730" t="str">
        <f t="shared" si="59"/>
        <v>TEXAS COUNTY &amp; DISTRICT RET</v>
      </c>
    </row>
    <row r="2731" spans="5:8" x14ac:dyDescent="0.25">
      <c r="E2731" t="str">
        <f>""</f>
        <v/>
      </c>
      <c r="F2731" t="str">
        <f>""</f>
        <v/>
      </c>
      <c r="H2731" t="str">
        <f t="shared" si="59"/>
        <v>TEXAS COUNTY &amp; DISTRICT RET</v>
      </c>
    </row>
    <row r="2732" spans="5:8" x14ac:dyDescent="0.25">
      <c r="E2732" t="str">
        <f>""</f>
        <v/>
      </c>
      <c r="F2732" t="str">
        <f>""</f>
        <v/>
      </c>
      <c r="H2732" t="str">
        <f t="shared" si="59"/>
        <v>TEXAS COUNTY &amp; DISTRICT RET</v>
      </c>
    </row>
    <row r="2733" spans="5:8" x14ac:dyDescent="0.25">
      <c r="E2733" t="str">
        <f>""</f>
        <v/>
      </c>
      <c r="F2733" t="str">
        <f>""</f>
        <v/>
      </c>
      <c r="H2733" t="str">
        <f t="shared" si="59"/>
        <v>TEXAS COUNTY &amp; DISTRICT RET</v>
      </c>
    </row>
    <row r="2734" spans="5:8" x14ac:dyDescent="0.25">
      <c r="E2734" t="str">
        <f>""</f>
        <v/>
      </c>
      <c r="F2734" t="str">
        <f>""</f>
        <v/>
      </c>
      <c r="H2734" t="str">
        <f t="shared" si="59"/>
        <v>TEXAS COUNTY &amp; DISTRICT RET</v>
      </c>
    </row>
    <row r="2735" spans="5:8" x14ac:dyDescent="0.25">
      <c r="E2735" t="str">
        <f>""</f>
        <v/>
      </c>
      <c r="F2735" t="str">
        <f>""</f>
        <v/>
      </c>
      <c r="H2735" t="str">
        <f t="shared" si="59"/>
        <v>TEXAS COUNTY &amp; DISTRICT RET</v>
      </c>
    </row>
    <row r="2736" spans="5:8" x14ac:dyDescent="0.25">
      <c r="E2736" t="str">
        <f>""</f>
        <v/>
      </c>
      <c r="F2736" t="str">
        <f>""</f>
        <v/>
      </c>
      <c r="H2736" t="str">
        <f t="shared" si="59"/>
        <v>TEXAS COUNTY &amp; DISTRICT RET</v>
      </c>
    </row>
    <row r="2737" spans="5:8" x14ac:dyDescent="0.25">
      <c r="E2737" t="str">
        <f>""</f>
        <v/>
      </c>
      <c r="F2737" t="str">
        <f>""</f>
        <v/>
      </c>
      <c r="H2737" t="str">
        <f t="shared" si="59"/>
        <v>TEXAS COUNTY &amp; DISTRICT RET</v>
      </c>
    </row>
    <row r="2738" spans="5:8" x14ac:dyDescent="0.25">
      <c r="E2738" t="str">
        <f>""</f>
        <v/>
      </c>
      <c r="F2738" t="str">
        <f>""</f>
        <v/>
      </c>
      <c r="H2738" t="str">
        <f t="shared" si="59"/>
        <v>TEXAS COUNTY &amp; DISTRICT RET</v>
      </c>
    </row>
    <row r="2739" spans="5:8" x14ac:dyDescent="0.25">
      <c r="E2739" t="str">
        <f>""</f>
        <v/>
      </c>
      <c r="F2739" t="str">
        <f>""</f>
        <v/>
      </c>
      <c r="H2739" t="str">
        <f t="shared" si="59"/>
        <v>TEXAS COUNTY &amp; DISTRICT RET</v>
      </c>
    </row>
    <row r="2740" spans="5:8" x14ac:dyDescent="0.25">
      <c r="E2740" t="str">
        <f>""</f>
        <v/>
      </c>
      <c r="F2740" t="str">
        <f>""</f>
        <v/>
      </c>
      <c r="H2740" t="str">
        <f t="shared" si="59"/>
        <v>TEXAS COUNTY &amp; DISTRICT RET</v>
      </c>
    </row>
    <row r="2741" spans="5:8" x14ac:dyDescent="0.25">
      <c r="E2741" t="str">
        <f>""</f>
        <v/>
      </c>
      <c r="F2741" t="str">
        <f>""</f>
        <v/>
      </c>
      <c r="H2741" t="str">
        <f t="shared" si="59"/>
        <v>TEXAS COUNTY &amp; DISTRICT RET</v>
      </c>
    </row>
    <row r="2742" spans="5:8" x14ac:dyDescent="0.25">
      <c r="E2742" t="str">
        <f>""</f>
        <v/>
      </c>
      <c r="F2742" t="str">
        <f>""</f>
        <v/>
      </c>
      <c r="H2742" t="str">
        <f t="shared" si="59"/>
        <v>TEXAS COUNTY &amp; DISTRICT RET</v>
      </c>
    </row>
    <row r="2743" spans="5:8" x14ac:dyDescent="0.25">
      <c r="E2743" t="str">
        <f>""</f>
        <v/>
      </c>
      <c r="F2743" t="str">
        <f>""</f>
        <v/>
      </c>
      <c r="H2743" t="str">
        <f t="shared" si="59"/>
        <v>TEXAS COUNTY &amp; DISTRICT RET</v>
      </c>
    </row>
    <row r="2744" spans="5:8" x14ac:dyDescent="0.25">
      <c r="E2744" t="str">
        <f>""</f>
        <v/>
      </c>
      <c r="F2744" t="str">
        <f>""</f>
        <v/>
      </c>
      <c r="H2744" t="str">
        <f t="shared" si="59"/>
        <v>TEXAS COUNTY &amp; DISTRICT RET</v>
      </c>
    </row>
    <row r="2745" spans="5:8" x14ac:dyDescent="0.25">
      <c r="E2745" t="str">
        <f>""</f>
        <v/>
      </c>
      <c r="F2745" t="str">
        <f>""</f>
        <v/>
      </c>
      <c r="H2745" t="str">
        <f t="shared" si="59"/>
        <v>TEXAS COUNTY &amp; DISTRICT RET</v>
      </c>
    </row>
    <row r="2746" spans="5:8" x14ac:dyDescent="0.25">
      <c r="E2746" t="str">
        <f>""</f>
        <v/>
      </c>
      <c r="F2746" t="str">
        <f>""</f>
        <v/>
      </c>
      <c r="H2746" t="str">
        <f t="shared" si="59"/>
        <v>TEXAS COUNTY &amp; DISTRICT RET</v>
      </c>
    </row>
    <row r="2747" spans="5:8" x14ac:dyDescent="0.25">
      <c r="E2747" t="str">
        <f>""</f>
        <v/>
      </c>
      <c r="F2747" t="str">
        <f>""</f>
        <v/>
      </c>
      <c r="H2747" t="str">
        <f t="shared" si="59"/>
        <v>TEXAS COUNTY &amp; DISTRICT RET</v>
      </c>
    </row>
    <row r="2748" spans="5:8" x14ac:dyDescent="0.25">
      <c r="E2748" t="str">
        <f>""</f>
        <v/>
      </c>
      <c r="F2748" t="str">
        <f>""</f>
        <v/>
      </c>
      <c r="H2748" t="str">
        <f t="shared" si="59"/>
        <v>TEXAS COUNTY &amp; DISTRICT RET</v>
      </c>
    </row>
    <row r="2749" spans="5:8" x14ac:dyDescent="0.25">
      <c r="E2749" t="str">
        <f>""</f>
        <v/>
      </c>
      <c r="F2749" t="str">
        <f>""</f>
        <v/>
      </c>
      <c r="H2749" t="str">
        <f t="shared" si="59"/>
        <v>TEXAS COUNTY &amp; DISTRICT RET</v>
      </c>
    </row>
    <row r="2750" spans="5:8" x14ac:dyDescent="0.25">
      <c r="E2750" t="str">
        <f>""</f>
        <v/>
      </c>
      <c r="F2750" t="str">
        <f>""</f>
        <v/>
      </c>
      <c r="H2750" t="str">
        <f t="shared" si="59"/>
        <v>TEXAS COUNTY &amp; DISTRICT RET</v>
      </c>
    </row>
    <row r="2751" spans="5:8" x14ac:dyDescent="0.25">
      <c r="E2751" t="str">
        <f>""</f>
        <v/>
      </c>
      <c r="F2751" t="str">
        <f>""</f>
        <v/>
      </c>
      <c r="H2751" t="str">
        <f t="shared" si="59"/>
        <v>TEXAS COUNTY &amp; DISTRICT RET</v>
      </c>
    </row>
    <row r="2752" spans="5:8" x14ac:dyDescent="0.25">
      <c r="E2752" t="str">
        <f>""</f>
        <v/>
      </c>
      <c r="F2752" t="str">
        <f>""</f>
        <v/>
      </c>
      <c r="H2752" t="str">
        <f t="shared" si="59"/>
        <v>TEXAS COUNTY &amp; DISTRICT RET</v>
      </c>
    </row>
    <row r="2753" spans="5:8" x14ac:dyDescent="0.25">
      <c r="E2753" t="str">
        <f>""</f>
        <v/>
      </c>
      <c r="F2753" t="str">
        <f>""</f>
        <v/>
      </c>
      <c r="H2753" t="str">
        <f t="shared" si="59"/>
        <v>TEXAS COUNTY &amp; DISTRICT RET</v>
      </c>
    </row>
    <row r="2754" spans="5:8" x14ac:dyDescent="0.25">
      <c r="E2754" t="str">
        <f>""</f>
        <v/>
      </c>
      <c r="F2754" t="str">
        <f>""</f>
        <v/>
      </c>
      <c r="H2754" t="str">
        <f t="shared" si="59"/>
        <v>TEXAS COUNTY &amp; DISTRICT RET</v>
      </c>
    </row>
    <row r="2755" spans="5:8" x14ac:dyDescent="0.25">
      <c r="E2755" t="str">
        <f>""</f>
        <v/>
      </c>
      <c r="F2755" t="str">
        <f>""</f>
        <v/>
      </c>
      <c r="H2755" t="str">
        <f t="shared" si="59"/>
        <v>TEXAS COUNTY &amp; DISTRICT RET</v>
      </c>
    </row>
    <row r="2756" spans="5:8" x14ac:dyDescent="0.25">
      <c r="E2756" t="str">
        <f>""</f>
        <v/>
      </c>
      <c r="F2756" t="str">
        <f>""</f>
        <v/>
      </c>
      <c r="H2756" t="str">
        <f t="shared" si="59"/>
        <v>TEXAS COUNTY &amp; DISTRICT RET</v>
      </c>
    </row>
    <row r="2757" spans="5:8" x14ac:dyDescent="0.25">
      <c r="E2757" t="str">
        <f>""</f>
        <v/>
      </c>
      <c r="F2757" t="str">
        <f>""</f>
        <v/>
      </c>
      <c r="H2757" t="str">
        <f t="shared" si="59"/>
        <v>TEXAS COUNTY &amp; DISTRICT RET</v>
      </c>
    </row>
    <row r="2758" spans="5:8" x14ac:dyDescent="0.25">
      <c r="E2758" t="str">
        <f>""</f>
        <v/>
      </c>
      <c r="F2758" t="str">
        <f>""</f>
        <v/>
      </c>
      <c r="H2758" t="str">
        <f t="shared" si="59"/>
        <v>TEXAS COUNTY &amp; DISTRICT RET</v>
      </c>
    </row>
    <row r="2759" spans="5:8" x14ac:dyDescent="0.25">
      <c r="E2759" t="str">
        <f>""</f>
        <v/>
      </c>
      <c r="F2759" t="str">
        <f>""</f>
        <v/>
      </c>
      <c r="H2759" t="str">
        <f t="shared" si="59"/>
        <v>TEXAS COUNTY &amp; DISTRICT RET</v>
      </c>
    </row>
    <row r="2760" spans="5:8" x14ac:dyDescent="0.25">
      <c r="E2760" t="str">
        <f>""</f>
        <v/>
      </c>
      <c r="F2760" t="str">
        <f>""</f>
        <v/>
      </c>
      <c r="H2760" t="str">
        <f t="shared" ref="H2760:H2781" si="60">"TEXAS COUNTY &amp; DISTRICT RET"</f>
        <v>TEXAS COUNTY &amp; DISTRICT RET</v>
      </c>
    </row>
    <row r="2761" spans="5:8" x14ac:dyDescent="0.25">
      <c r="E2761" t="str">
        <f>""</f>
        <v/>
      </c>
      <c r="F2761" t="str">
        <f>""</f>
        <v/>
      </c>
      <c r="H2761" t="str">
        <f t="shared" si="60"/>
        <v>TEXAS COUNTY &amp; DISTRICT RET</v>
      </c>
    </row>
    <row r="2762" spans="5:8" x14ac:dyDescent="0.25">
      <c r="E2762" t="str">
        <f>""</f>
        <v/>
      </c>
      <c r="F2762" t="str">
        <f>""</f>
        <v/>
      </c>
      <c r="H2762" t="str">
        <f t="shared" si="60"/>
        <v>TEXAS COUNTY &amp; DISTRICT RET</v>
      </c>
    </row>
    <row r="2763" spans="5:8" x14ac:dyDescent="0.25">
      <c r="E2763" t="str">
        <f>""</f>
        <v/>
      </c>
      <c r="F2763" t="str">
        <f>""</f>
        <v/>
      </c>
      <c r="H2763" t="str">
        <f t="shared" si="60"/>
        <v>TEXAS COUNTY &amp; DISTRICT RET</v>
      </c>
    </row>
    <row r="2764" spans="5:8" x14ac:dyDescent="0.25">
      <c r="E2764" t="str">
        <f>""</f>
        <v/>
      </c>
      <c r="F2764" t="str">
        <f>""</f>
        <v/>
      </c>
      <c r="H2764" t="str">
        <f t="shared" si="60"/>
        <v>TEXAS COUNTY &amp; DISTRICT RET</v>
      </c>
    </row>
    <row r="2765" spans="5:8" x14ac:dyDescent="0.25">
      <c r="E2765" t="str">
        <f>""</f>
        <v/>
      </c>
      <c r="F2765" t="str">
        <f>""</f>
        <v/>
      </c>
      <c r="H2765" t="str">
        <f t="shared" si="60"/>
        <v>TEXAS COUNTY &amp; DISTRICT RET</v>
      </c>
    </row>
    <row r="2766" spans="5:8" x14ac:dyDescent="0.25">
      <c r="E2766" t="str">
        <f>""</f>
        <v/>
      </c>
      <c r="F2766" t="str">
        <f>""</f>
        <v/>
      </c>
      <c r="H2766" t="str">
        <f t="shared" si="60"/>
        <v>TEXAS COUNTY &amp; DISTRICT RET</v>
      </c>
    </row>
    <row r="2767" spans="5:8" x14ac:dyDescent="0.25">
      <c r="E2767" t="str">
        <f>""</f>
        <v/>
      </c>
      <c r="F2767" t="str">
        <f>""</f>
        <v/>
      </c>
      <c r="H2767" t="str">
        <f t="shared" si="60"/>
        <v>TEXAS COUNTY &amp; DISTRICT RET</v>
      </c>
    </row>
    <row r="2768" spans="5:8" x14ac:dyDescent="0.25">
      <c r="E2768" t="str">
        <f>""</f>
        <v/>
      </c>
      <c r="F2768" t="str">
        <f>""</f>
        <v/>
      </c>
      <c r="H2768" t="str">
        <f t="shared" si="60"/>
        <v>TEXAS COUNTY &amp; DISTRICT RET</v>
      </c>
    </row>
    <row r="2769" spans="5:8" x14ac:dyDescent="0.25">
      <c r="E2769" t="str">
        <f>""</f>
        <v/>
      </c>
      <c r="F2769" t="str">
        <f>""</f>
        <v/>
      </c>
      <c r="H2769" t="str">
        <f t="shared" si="60"/>
        <v>TEXAS COUNTY &amp; DISTRICT RET</v>
      </c>
    </row>
    <row r="2770" spans="5:8" x14ac:dyDescent="0.25">
      <c r="E2770" t="str">
        <f>""</f>
        <v/>
      </c>
      <c r="F2770" t="str">
        <f>""</f>
        <v/>
      </c>
      <c r="H2770" t="str">
        <f t="shared" si="60"/>
        <v>TEXAS COUNTY &amp; DISTRICT RET</v>
      </c>
    </row>
    <row r="2771" spans="5:8" x14ac:dyDescent="0.25">
      <c r="E2771" t="str">
        <f>""</f>
        <v/>
      </c>
      <c r="F2771" t="str">
        <f>""</f>
        <v/>
      </c>
      <c r="H2771" t="str">
        <f t="shared" si="60"/>
        <v>TEXAS COUNTY &amp; DISTRICT RET</v>
      </c>
    </row>
    <row r="2772" spans="5:8" x14ac:dyDescent="0.25">
      <c r="E2772" t="str">
        <f>""</f>
        <v/>
      </c>
      <c r="F2772" t="str">
        <f>""</f>
        <v/>
      </c>
      <c r="H2772" t="str">
        <f t="shared" si="60"/>
        <v>TEXAS COUNTY &amp; DISTRICT RET</v>
      </c>
    </row>
    <row r="2773" spans="5:8" x14ac:dyDescent="0.25">
      <c r="E2773" t="str">
        <f>""</f>
        <v/>
      </c>
      <c r="F2773" t="str">
        <f>""</f>
        <v/>
      </c>
      <c r="H2773" t="str">
        <f t="shared" si="60"/>
        <v>TEXAS COUNTY &amp; DISTRICT RET</v>
      </c>
    </row>
    <row r="2774" spans="5:8" x14ac:dyDescent="0.25">
      <c r="E2774" t="str">
        <f>""</f>
        <v/>
      </c>
      <c r="F2774" t="str">
        <f>""</f>
        <v/>
      </c>
      <c r="H2774" t="str">
        <f t="shared" si="60"/>
        <v>TEXAS COUNTY &amp; DISTRICT RET</v>
      </c>
    </row>
    <row r="2775" spans="5:8" x14ac:dyDescent="0.25">
      <c r="E2775" t="str">
        <f>""</f>
        <v/>
      </c>
      <c r="F2775" t="str">
        <f>""</f>
        <v/>
      </c>
      <c r="H2775" t="str">
        <f t="shared" si="60"/>
        <v>TEXAS COUNTY &amp; DISTRICT RET</v>
      </c>
    </row>
    <row r="2776" spans="5:8" x14ac:dyDescent="0.25">
      <c r="E2776" t="str">
        <f>""</f>
        <v/>
      </c>
      <c r="F2776" t="str">
        <f>""</f>
        <v/>
      </c>
      <c r="H2776" t="str">
        <f t="shared" si="60"/>
        <v>TEXAS COUNTY &amp; DISTRICT RET</v>
      </c>
    </row>
    <row r="2777" spans="5:8" x14ac:dyDescent="0.25">
      <c r="E2777" t="str">
        <f>""</f>
        <v/>
      </c>
      <c r="F2777" t="str">
        <f>""</f>
        <v/>
      </c>
      <c r="H2777" t="str">
        <f t="shared" si="60"/>
        <v>TEXAS COUNTY &amp; DISTRICT RET</v>
      </c>
    </row>
    <row r="2778" spans="5:8" x14ac:dyDescent="0.25">
      <c r="E2778" t="str">
        <f>""</f>
        <v/>
      </c>
      <c r="F2778" t="str">
        <f>""</f>
        <v/>
      </c>
      <c r="H2778" t="str">
        <f t="shared" si="60"/>
        <v>TEXAS COUNTY &amp; DISTRICT RET</v>
      </c>
    </row>
    <row r="2779" spans="5:8" x14ac:dyDescent="0.25">
      <c r="E2779" t="str">
        <f>""</f>
        <v/>
      </c>
      <c r="F2779" t="str">
        <f>""</f>
        <v/>
      </c>
      <c r="H2779" t="str">
        <f t="shared" si="60"/>
        <v>TEXAS COUNTY &amp; DISTRICT RET</v>
      </c>
    </row>
    <row r="2780" spans="5:8" x14ac:dyDescent="0.25">
      <c r="E2780" t="str">
        <f>""</f>
        <v/>
      </c>
      <c r="F2780" t="str">
        <f>""</f>
        <v/>
      </c>
      <c r="H2780" t="str">
        <f t="shared" si="60"/>
        <v>TEXAS COUNTY &amp; DISTRICT RET</v>
      </c>
    </row>
    <row r="2781" spans="5:8" x14ac:dyDescent="0.25">
      <c r="E2781" t="str">
        <f>""</f>
        <v/>
      </c>
      <c r="F2781" t="str">
        <f>""</f>
        <v/>
      </c>
      <c r="H2781" t="str">
        <f t="shared" si="60"/>
        <v>TEXAS COUNTY &amp; DISTRICT RET</v>
      </c>
    </row>
    <row r="2782" spans="5:8" x14ac:dyDescent="0.25">
      <c r="E2782" t="str">
        <f>"RET202001224787"</f>
        <v>RET202001224787</v>
      </c>
      <c r="F2782" t="str">
        <f>"TEXAS COUNTY  DISTRICT RET"</f>
        <v>TEXAS COUNTY  DISTRICT RET</v>
      </c>
      <c r="G2782" s="2">
        <v>6664.61</v>
      </c>
      <c r="H2782" t="str">
        <f>"TEXAS COUNTY  DISTRICT RET"</f>
        <v>TEXAS COUNTY  DISTRICT RET</v>
      </c>
    </row>
    <row r="2783" spans="5:8" x14ac:dyDescent="0.25">
      <c r="E2783" t="str">
        <f>""</f>
        <v/>
      </c>
      <c r="F2783" t="str">
        <f>""</f>
        <v/>
      </c>
      <c r="H2783" t="str">
        <f>"TEXAS COUNTY  DISTRICT RET"</f>
        <v>TEXAS COUNTY  DISTRICT RET</v>
      </c>
    </row>
    <row r="2784" spans="5:8" x14ac:dyDescent="0.25">
      <c r="E2784" t="str">
        <f>"RET202001224791"</f>
        <v>RET202001224791</v>
      </c>
      <c r="F2784" t="str">
        <f>"TEXAS COUNTY &amp; DISTRICT RET"</f>
        <v>TEXAS COUNTY &amp; DISTRICT RET</v>
      </c>
      <c r="G2784" s="2">
        <v>7105.73</v>
      </c>
      <c r="H2784" t="str">
        <f>"TEXAS COUNTY &amp; DISTRICT RET"</f>
        <v>TEXAS COUNTY &amp; DISTRICT RET</v>
      </c>
    </row>
    <row r="2785" spans="1:8" x14ac:dyDescent="0.25">
      <c r="E2785" t="str">
        <f>""</f>
        <v/>
      </c>
      <c r="F2785" t="str">
        <f>""</f>
        <v/>
      </c>
      <c r="H2785" t="str">
        <f>"TEXAS COUNTY &amp; DISTRICT RET"</f>
        <v>TEXAS COUNTY &amp; DISTRICT RET</v>
      </c>
    </row>
    <row r="2786" spans="1:8" x14ac:dyDescent="0.25">
      <c r="A2786" t="s">
        <v>463</v>
      </c>
      <c r="B2786">
        <v>47784</v>
      </c>
      <c r="C2786" s="2">
        <v>1472</v>
      </c>
      <c r="D2786" s="1">
        <v>43858</v>
      </c>
      <c r="E2786" t="str">
        <f>"LEG202001084581"</f>
        <v>LEG202001084581</v>
      </c>
      <c r="F2786" t="str">
        <f>"TEXAS LEGAL PROTECTION PLAN"</f>
        <v>TEXAS LEGAL PROTECTION PLAN</v>
      </c>
      <c r="G2786" s="2">
        <v>264</v>
      </c>
      <c r="H2786" t="str">
        <f>"TEXAS LEGAL PROTECTION PLAN"</f>
        <v>TEXAS LEGAL PROTECTION PLAN</v>
      </c>
    </row>
    <row r="2787" spans="1:8" x14ac:dyDescent="0.25">
      <c r="E2787" t="str">
        <f>"LEG202001224779"</f>
        <v>LEG202001224779</v>
      </c>
      <c r="F2787" t="str">
        <f>"TEXAS LEGAL PROTECTION PLAN"</f>
        <v>TEXAS LEGAL PROTECTION PLAN</v>
      </c>
      <c r="G2787" s="2">
        <v>264</v>
      </c>
      <c r="H2787" t="str">
        <f>"TEXAS LEGAL PROTECTION PLAN"</f>
        <v>TEXAS LEGAL PROTECTION PLAN</v>
      </c>
    </row>
    <row r="2788" spans="1:8" x14ac:dyDescent="0.25">
      <c r="E2788" t="str">
        <f>"LGF202001084581"</f>
        <v>LGF202001084581</v>
      </c>
      <c r="F2788" t="str">
        <f>"TEXAS LEGAL PROTECTION PLAN"</f>
        <v>TEXAS LEGAL PROTECTION PLAN</v>
      </c>
      <c r="G2788" s="2">
        <v>480</v>
      </c>
      <c r="H2788" t="str">
        <f>"TEXAS LEGAL PROTECTION PLAN"</f>
        <v>TEXAS LEGAL PROTECTION PLAN</v>
      </c>
    </row>
    <row r="2789" spans="1:8" x14ac:dyDescent="0.25">
      <c r="E2789" t="str">
        <f>"LGF202001224779"</f>
        <v>LGF202001224779</v>
      </c>
      <c r="F2789" t="str">
        <f>"TEXAS LEGAL PROTECTION PLAN"</f>
        <v>TEXAS LEGAL PROTECTION PLAN</v>
      </c>
      <c r="G2789" s="2">
        <v>464</v>
      </c>
      <c r="H2789" t="str">
        <f>"TEXAS LEGAL PROTECTION PLAN"</f>
        <v>TEXAS LEGAL PROTECTION PLAN</v>
      </c>
    </row>
    <row r="2790" spans="1:8" x14ac:dyDescent="0.25">
      <c r="A2790" t="s">
        <v>464</v>
      </c>
      <c r="B2790">
        <v>47765</v>
      </c>
      <c r="C2790" s="2">
        <v>219.67</v>
      </c>
      <c r="D2790" s="1">
        <v>43840</v>
      </c>
      <c r="E2790" t="str">
        <f>"S12202001084581"</f>
        <v>S12202001084581</v>
      </c>
      <c r="F2790" t="str">
        <f>"STUDENT LOAN"</f>
        <v>STUDENT LOAN</v>
      </c>
      <c r="G2790" s="2">
        <v>219.67</v>
      </c>
      <c r="H2790" t="str">
        <f>"STUDENT LOAN"</f>
        <v>STUDENT LOAN</v>
      </c>
    </row>
    <row r="2791" spans="1:8" x14ac:dyDescent="0.25">
      <c r="A2791" t="s">
        <v>465</v>
      </c>
      <c r="B2791">
        <v>47767</v>
      </c>
      <c r="C2791" s="2">
        <v>212.65</v>
      </c>
      <c r="D2791" s="1">
        <v>43840</v>
      </c>
      <c r="E2791" t="str">
        <f>"SL9202001084581"</f>
        <v>SL9202001084581</v>
      </c>
      <c r="F2791" t="str">
        <f>"STUDENT LOAN"</f>
        <v>STUDENT LOAN</v>
      </c>
      <c r="G2791" s="2">
        <v>212.65</v>
      </c>
      <c r="H2791" t="str">
        <f>"STUDENT LOAN"</f>
        <v>STUDENT LOAN</v>
      </c>
    </row>
    <row r="2792" spans="1:8" x14ac:dyDescent="0.25">
      <c r="A2792" t="s">
        <v>464</v>
      </c>
      <c r="B2792">
        <v>47781</v>
      </c>
      <c r="C2792" s="2">
        <v>219.67</v>
      </c>
      <c r="D2792" s="1">
        <v>43854</v>
      </c>
      <c r="E2792" t="str">
        <f>"S12202001224779"</f>
        <v>S12202001224779</v>
      </c>
      <c r="F2792" t="str">
        <f>"STUDENT LOAN"</f>
        <v>STUDENT LOAN</v>
      </c>
      <c r="G2792" s="2">
        <v>219.67</v>
      </c>
      <c r="H2792" t="str">
        <f>"STUDENT LOAN"</f>
        <v>STUDENT LOAN</v>
      </c>
    </row>
    <row r="2793" spans="1:8" x14ac:dyDescent="0.25">
      <c r="A2793" t="s">
        <v>465</v>
      </c>
      <c r="B2793">
        <v>47783</v>
      </c>
      <c r="C2793" s="2">
        <v>212.65</v>
      </c>
      <c r="D2793" s="1">
        <v>43854</v>
      </c>
      <c r="E2793" t="str">
        <f>"SL9202001224779"</f>
        <v>SL9202001224779</v>
      </c>
      <c r="F2793" t="str">
        <f>"STUDENT LOAN"</f>
        <v>STUDENT LOAN</v>
      </c>
      <c r="G2793" s="2">
        <v>212.65</v>
      </c>
      <c r="H2793" t="str">
        <f>"STUDENT LOAN"</f>
        <v>STUDENT LOAN</v>
      </c>
    </row>
    <row r="2794" spans="1:8" x14ac:dyDescent="0.25">
      <c r="A2794" t="s">
        <v>466</v>
      </c>
      <c r="B2794">
        <v>344</v>
      </c>
      <c r="C2794" s="2">
        <v>16.25</v>
      </c>
      <c r="D2794" s="1">
        <v>43843</v>
      </c>
      <c r="E2794" t="str">
        <f>"202001104612"</f>
        <v>202001104612</v>
      </c>
      <c r="F2794" t="str">
        <f t="shared" ref="F2794:F2804" si="61">"ACCT# 72-5613 / 01032020"</f>
        <v>ACCT# 72-5613 / 01032020</v>
      </c>
      <c r="G2794" s="2">
        <v>16.25</v>
      </c>
      <c r="H2794" t="str">
        <f t="shared" ref="H2794:H2827" si="62">"ACCT# 72-5613 / 01032020"</f>
        <v>ACCT# 72-5613 / 01032020</v>
      </c>
    </row>
    <row r="2795" spans="1:8" x14ac:dyDescent="0.25">
      <c r="A2795" t="s">
        <v>467</v>
      </c>
      <c r="B2795">
        <v>345</v>
      </c>
      <c r="C2795" s="2">
        <v>62.98</v>
      </c>
      <c r="D2795" s="1">
        <v>43843</v>
      </c>
      <c r="E2795" t="str">
        <f>"202001104610"</f>
        <v>202001104610</v>
      </c>
      <c r="F2795" t="str">
        <f t="shared" si="61"/>
        <v>ACCT# 72-5613 / 01032020</v>
      </c>
      <c r="G2795" s="2">
        <v>62.98</v>
      </c>
      <c r="H2795" t="str">
        <f t="shared" si="62"/>
        <v>ACCT# 72-5613 / 01032020</v>
      </c>
    </row>
    <row r="2796" spans="1:8" x14ac:dyDescent="0.25">
      <c r="A2796" t="s">
        <v>468</v>
      </c>
      <c r="B2796">
        <v>346</v>
      </c>
      <c r="C2796" s="2">
        <v>3.74</v>
      </c>
      <c r="D2796" s="1">
        <v>43843</v>
      </c>
      <c r="E2796" t="str">
        <f>"202001104603"</f>
        <v>202001104603</v>
      </c>
      <c r="F2796" t="str">
        <f t="shared" si="61"/>
        <v>ACCT# 72-5613 / 01032020</v>
      </c>
      <c r="G2796" s="2">
        <v>3.74</v>
      </c>
      <c r="H2796" t="str">
        <f t="shared" si="62"/>
        <v>ACCT# 72-5613 / 01032020</v>
      </c>
    </row>
    <row r="2797" spans="1:8" x14ac:dyDescent="0.25">
      <c r="A2797" t="s">
        <v>127</v>
      </c>
      <c r="B2797">
        <v>347</v>
      </c>
      <c r="C2797" s="2">
        <v>463.9</v>
      </c>
      <c r="D2797" s="1">
        <v>43843</v>
      </c>
      <c r="E2797" t="str">
        <f>"202001104616"</f>
        <v>202001104616</v>
      </c>
      <c r="F2797" t="str">
        <f t="shared" si="61"/>
        <v>ACCT# 72-5613 / 01032020</v>
      </c>
      <c r="G2797" s="2">
        <v>463.9</v>
      </c>
      <c r="H2797" t="str">
        <f t="shared" si="62"/>
        <v>ACCT# 72-5613 / 01032020</v>
      </c>
    </row>
    <row r="2798" spans="1:8" x14ac:dyDescent="0.25">
      <c r="A2798" t="s">
        <v>469</v>
      </c>
      <c r="B2798">
        <v>348</v>
      </c>
      <c r="C2798" s="2">
        <v>2844.56</v>
      </c>
      <c r="D2798" s="1">
        <v>43843</v>
      </c>
      <c r="E2798" t="str">
        <f>"202001104601"</f>
        <v>202001104601</v>
      </c>
      <c r="F2798" t="str">
        <f t="shared" si="61"/>
        <v>ACCT# 72-5613 / 01032020</v>
      </c>
      <c r="G2798" s="2">
        <v>2844.56</v>
      </c>
      <c r="H2798" t="str">
        <f t="shared" si="62"/>
        <v>ACCT# 72-5613 / 01032020</v>
      </c>
    </row>
    <row r="2799" spans="1:8" x14ac:dyDescent="0.25">
      <c r="A2799" t="s">
        <v>470</v>
      </c>
      <c r="B2799">
        <v>349</v>
      </c>
      <c r="C2799" s="2">
        <v>375</v>
      </c>
      <c r="D2799" s="1">
        <v>43843</v>
      </c>
      <c r="E2799" t="str">
        <f>"202001104615"</f>
        <v>202001104615</v>
      </c>
      <c r="F2799" t="str">
        <f t="shared" si="61"/>
        <v>ACCT# 72-5613 / 01032020</v>
      </c>
      <c r="G2799" s="2">
        <v>375</v>
      </c>
      <c r="H2799" t="str">
        <f t="shared" si="62"/>
        <v>ACCT# 72-5613 / 01032020</v>
      </c>
    </row>
    <row r="2800" spans="1:8" x14ac:dyDescent="0.25">
      <c r="A2800" t="s">
        <v>471</v>
      </c>
      <c r="B2800">
        <v>350</v>
      </c>
      <c r="C2800" s="2">
        <v>539.95000000000005</v>
      </c>
      <c r="D2800" s="1">
        <v>43843</v>
      </c>
      <c r="E2800" t="str">
        <f>"202001104608"</f>
        <v>202001104608</v>
      </c>
      <c r="F2800" t="str">
        <f t="shared" si="61"/>
        <v>ACCT# 72-5613 / 01032020</v>
      </c>
      <c r="G2800" s="2">
        <v>539.95000000000005</v>
      </c>
      <c r="H2800" t="str">
        <f t="shared" si="62"/>
        <v>ACCT# 72-5613 / 01032020</v>
      </c>
    </row>
    <row r="2801" spans="1:8" x14ac:dyDescent="0.25">
      <c r="A2801" t="s">
        <v>472</v>
      </c>
      <c r="B2801">
        <v>351</v>
      </c>
      <c r="C2801" s="2">
        <v>70.680000000000007</v>
      </c>
      <c r="D2801" s="1">
        <v>43843</v>
      </c>
      <c r="E2801" t="str">
        <f>"202001104621"</f>
        <v>202001104621</v>
      </c>
      <c r="F2801" t="str">
        <f t="shared" si="61"/>
        <v>ACCT# 72-5613 / 01032020</v>
      </c>
      <c r="G2801" s="2">
        <v>70.680000000000007</v>
      </c>
      <c r="H2801" t="str">
        <f t="shared" si="62"/>
        <v>ACCT# 72-5613 / 01032020</v>
      </c>
    </row>
    <row r="2802" spans="1:8" x14ac:dyDescent="0.25">
      <c r="A2802" t="s">
        <v>473</v>
      </c>
      <c r="B2802">
        <v>352</v>
      </c>
      <c r="C2802" s="2">
        <v>408.57</v>
      </c>
      <c r="D2802" s="1">
        <v>43843</v>
      </c>
      <c r="E2802" t="str">
        <f>"202001104604"</f>
        <v>202001104604</v>
      </c>
      <c r="F2802" t="str">
        <f t="shared" si="61"/>
        <v>ACCT# 72-5613 / 01032020</v>
      </c>
      <c r="G2802" s="2">
        <v>408.57</v>
      </c>
      <c r="H2802" t="str">
        <f t="shared" si="62"/>
        <v>ACCT# 72-5613 / 01032020</v>
      </c>
    </row>
    <row r="2803" spans="1:8" x14ac:dyDescent="0.25">
      <c r="A2803" t="s">
        <v>474</v>
      </c>
      <c r="B2803">
        <v>353</v>
      </c>
      <c r="C2803" s="2">
        <v>12.98</v>
      </c>
      <c r="D2803" s="1">
        <v>43843</v>
      </c>
      <c r="E2803" t="str">
        <f>"202001104617"</f>
        <v>202001104617</v>
      </c>
      <c r="F2803" t="str">
        <f t="shared" si="61"/>
        <v>ACCT# 72-5613 / 01032020</v>
      </c>
      <c r="G2803" s="2">
        <v>12.98</v>
      </c>
      <c r="H2803" t="str">
        <f t="shared" si="62"/>
        <v>ACCT# 72-5613 / 01032020</v>
      </c>
    </row>
    <row r="2804" spans="1:8" x14ac:dyDescent="0.25">
      <c r="A2804" t="s">
        <v>186</v>
      </c>
      <c r="B2804">
        <v>354</v>
      </c>
      <c r="C2804" s="2">
        <v>4507.8999999999996</v>
      </c>
      <c r="D2804" s="1">
        <v>43843</v>
      </c>
      <c r="E2804" t="str">
        <f>"202001104602"</f>
        <v>202001104602</v>
      </c>
      <c r="F2804" t="str">
        <f t="shared" si="61"/>
        <v>ACCT# 72-5613 / 01032020</v>
      </c>
      <c r="G2804" s="2">
        <v>4507.8999999999996</v>
      </c>
      <c r="H2804" t="str">
        <f t="shared" si="62"/>
        <v>ACCT# 72-5613 / 01032020</v>
      </c>
    </row>
    <row r="2805" spans="1:8" x14ac:dyDescent="0.25">
      <c r="E2805" t="str">
        <f>""</f>
        <v/>
      </c>
      <c r="F2805" t="str">
        <f>""</f>
        <v/>
      </c>
      <c r="H2805" t="str">
        <f t="shared" si="62"/>
        <v>ACCT# 72-5613 / 01032020</v>
      </c>
    </row>
    <row r="2806" spans="1:8" x14ac:dyDescent="0.25">
      <c r="E2806" t="str">
        <f>""</f>
        <v/>
      </c>
      <c r="F2806" t="str">
        <f>""</f>
        <v/>
      </c>
      <c r="H2806" t="str">
        <f t="shared" si="62"/>
        <v>ACCT# 72-5613 / 01032020</v>
      </c>
    </row>
    <row r="2807" spans="1:8" x14ac:dyDescent="0.25">
      <c r="E2807" t="str">
        <f>""</f>
        <v/>
      </c>
      <c r="F2807" t="str">
        <f>""</f>
        <v/>
      </c>
      <c r="H2807" t="str">
        <f t="shared" si="62"/>
        <v>ACCT# 72-5613 / 01032020</v>
      </c>
    </row>
    <row r="2808" spans="1:8" x14ac:dyDescent="0.25">
      <c r="A2808" t="s">
        <v>475</v>
      </c>
      <c r="B2808">
        <v>355</v>
      </c>
      <c r="C2808" s="2">
        <v>622.22</v>
      </c>
      <c r="D2808" s="1">
        <v>43843</v>
      </c>
      <c r="E2808" t="str">
        <f>"202001104622"</f>
        <v>202001104622</v>
      </c>
      <c r="F2808" t="str">
        <f t="shared" ref="F2808:F2815" si="63">"ACCT# 72-5613 / 01032020"</f>
        <v>ACCT# 72-5613 / 01032020</v>
      </c>
      <c r="G2808" s="2">
        <v>622.22</v>
      </c>
      <c r="H2808" t="str">
        <f t="shared" si="62"/>
        <v>ACCT# 72-5613 / 01032020</v>
      </c>
    </row>
    <row r="2809" spans="1:8" x14ac:dyDescent="0.25">
      <c r="A2809" t="s">
        <v>476</v>
      </c>
      <c r="B2809">
        <v>356</v>
      </c>
      <c r="C2809" s="2">
        <v>74.23</v>
      </c>
      <c r="D2809" s="1">
        <v>43843</v>
      </c>
      <c r="E2809" t="str">
        <f>"202001104613"</f>
        <v>202001104613</v>
      </c>
      <c r="F2809" t="str">
        <f t="shared" si="63"/>
        <v>ACCT# 72-5613 / 01032020</v>
      </c>
      <c r="G2809" s="2">
        <v>74.23</v>
      </c>
      <c r="H2809" t="str">
        <f t="shared" si="62"/>
        <v>ACCT# 72-5613 / 01032020</v>
      </c>
    </row>
    <row r="2810" spans="1:8" x14ac:dyDescent="0.25">
      <c r="A2810" t="s">
        <v>231</v>
      </c>
      <c r="B2810">
        <v>357</v>
      </c>
      <c r="C2810" s="2">
        <v>1847.98</v>
      </c>
      <c r="D2810" s="1">
        <v>43843</v>
      </c>
      <c r="E2810" t="str">
        <f>"202001104599"</f>
        <v>202001104599</v>
      </c>
      <c r="F2810" t="str">
        <f t="shared" si="63"/>
        <v>ACCT# 72-5613 / 01032020</v>
      </c>
      <c r="G2810" s="2">
        <v>1847.98</v>
      </c>
      <c r="H2810" t="str">
        <f t="shared" si="62"/>
        <v>ACCT# 72-5613 / 01032020</v>
      </c>
    </row>
    <row r="2811" spans="1:8" x14ac:dyDescent="0.25">
      <c r="A2811" t="s">
        <v>477</v>
      </c>
      <c r="B2811">
        <v>358</v>
      </c>
      <c r="C2811" s="2">
        <v>77.900000000000006</v>
      </c>
      <c r="D2811" s="1">
        <v>43843</v>
      </c>
      <c r="E2811" t="str">
        <f>"202001104609"</f>
        <v>202001104609</v>
      </c>
      <c r="F2811" t="str">
        <f t="shared" si="63"/>
        <v>ACCT# 72-5613 / 01032020</v>
      </c>
      <c r="G2811" s="2">
        <v>77.900000000000006</v>
      </c>
      <c r="H2811" t="str">
        <f t="shared" si="62"/>
        <v>ACCT# 72-5613 / 01032020</v>
      </c>
    </row>
    <row r="2812" spans="1:8" x14ac:dyDescent="0.25">
      <c r="A2812" t="s">
        <v>478</v>
      </c>
      <c r="B2812">
        <v>359</v>
      </c>
      <c r="C2812" s="2">
        <v>257.98</v>
      </c>
      <c r="D2812" s="1">
        <v>43843</v>
      </c>
      <c r="E2812" t="str">
        <f>"202001104598"</f>
        <v>202001104598</v>
      </c>
      <c r="F2812" t="str">
        <f t="shared" si="63"/>
        <v>ACCT# 72-5613 / 01032020</v>
      </c>
      <c r="G2812" s="2">
        <v>257.98</v>
      </c>
      <c r="H2812" t="str">
        <f t="shared" si="62"/>
        <v>ACCT# 72-5613 / 01032020</v>
      </c>
    </row>
    <row r="2813" spans="1:8" x14ac:dyDescent="0.25">
      <c r="A2813" t="s">
        <v>479</v>
      </c>
      <c r="B2813">
        <v>360</v>
      </c>
      <c r="C2813" s="2">
        <v>56.42</v>
      </c>
      <c r="D2813" s="1">
        <v>43843</v>
      </c>
      <c r="E2813" t="str">
        <f>"202001104605"</f>
        <v>202001104605</v>
      </c>
      <c r="F2813" t="str">
        <f t="shared" si="63"/>
        <v>ACCT# 72-5613 / 01032020</v>
      </c>
      <c r="G2813" s="2">
        <v>56.42</v>
      </c>
      <c r="H2813" t="str">
        <f t="shared" si="62"/>
        <v>ACCT# 72-5613 / 01032020</v>
      </c>
    </row>
    <row r="2814" spans="1:8" x14ac:dyDescent="0.25">
      <c r="A2814" t="s">
        <v>480</v>
      </c>
      <c r="B2814">
        <v>361</v>
      </c>
      <c r="C2814" s="2">
        <v>701.04</v>
      </c>
      <c r="D2814" s="1">
        <v>43843</v>
      </c>
      <c r="E2814" t="str">
        <f>"202001104614"</f>
        <v>202001104614</v>
      </c>
      <c r="F2814" t="str">
        <f t="shared" si="63"/>
        <v>ACCT# 72-5613 / 01032020</v>
      </c>
      <c r="G2814" s="2">
        <v>701.04</v>
      </c>
      <c r="H2814" t="str">
        <f t="shared" si="62"/>
        <v>ACCT# 72-5613 / 01032020</v>
      </c>
    </row>
    <row r="2815" spans="1:8" x14ac:dyDescent="0.25">
      <c r="A2815" t="s">
        <v>481</v>
      </c>
      <c r="B2815">
        <v>362</v>
      </c>
      <c r="C2815" s="2">
        <v>104.01</v>
      </c>
      <c r="D2815" s="1">
        <v>43843</v>
      </c>
      <c r="E2815" t="str">
        <f>"202001104623"</f>
        <v>202001104623</v>
      </c>
      <c r="F2815" t="str">
        <f t="shared" si="63"/>
        <v>ACCT# 72-5613 / 01032020</v>
      </c>
      <c r="G2815" s="2">
        <v>104.01</v>
      </c>
      <c r="H2815" t="str">
        <f t="shared" si="62"/>
        <v>ACCT# 72-5613 / 01032020</v>
      </c>
    </row>
    <row r="2816" spans="1:8" x14ac:dyDescent="0.25">
      <c r="E2816" t="str">
        <f>""</f>
        <v/>
      </c>
      <c r="F2816" t="str">
        <f>""</f>
        <v/>
      </c>
      <c r="H2816" t="str">
        <f t="shared" si="62"/>
        <v>ACCT# 72-5613 / 01032020</v>
      </c>
    </row>
    <row r="2817" spans="1:8" x14ac:dyDescent="0.25">
      <c r="E2817" t="str">
        <f>""</f>
        <v/>
      </c>
      <c r="F2817" t="str">
        <f>""</f>
        <v/>
      </c>
      <c r="H2817" t="str">
        <f t="shared" si="62"/>
        <v>ACCT# 72-5613 / 01032020</v>
      </c>
    </row>
    <row r="2818" spans="1:8" x14ac:dyDescent="0.25">
      <c r="E2818" t="str">
        <f>""</f>
        <v/>
      </c>
      <c r="F2818" t="str">
        <f>""</f>
        <v/>
      </c>
      <c r="H2818" t="str">
        <f t="shared" si="62"/>
        <v>ACCT# 72-5613 / 01032020</v>
      </c>
    </row>
    <row r="2819" spans="1:8" x14ac:dyDescent="0.25">
      <c r="E2819" t="str">
        <f>""</f>
        <v/>
      </c>
      <c r="F2819" t="str">
        <f>""</f>
        <v/>
      </c>
      <c r="H2819" t="str">
        <f t="shared" si="62"/>
        <v>ACCT# 72-5613 / 01032020</v>
      </c>
    </row>
    <row r="2820" spans="1:8" x14ac:dyDescent="0.25">
      <c r="A2820" t="s">
        <v>482</v>
      </c>
      <c r="B2820">
        <v>363</v>
      </c>
      <c r="C2820" s="2">
        <v>0</v>
      </c>
      <c r="D2820" s="1">
        <v>43843</v>
      </c>
      <c r="E2820" t="str">
        <f>"202001104611"</f>
        <v>202001104611</v>
      </c>
      <c r="F2820" t="str">
        <f>"ACCT# 72-5613 / 01032020"</f>
        <v>ACCT# 72-5613 / 01032020</v>
      </c>
      <c r="G2820" s="2">
        <v>-9.8000000000000007</v>
      </c>
      <c r="H2820" t="str">
        <f t="shared" si="62"/>
        <v>ACCT# 72-5613 / 01032020</v>
      </c>
    </row>
    <row r="2821" spans="1:8" x14ac:dyDescent="0.25">
      <c r="E2821" t="str">
        <f>"202001144630"</f>
        <v>202001144630</v>
      </c>
      <c r="F2821" t="str">
        <f>"ACCT# 72-5613 / 01032020"</f>
        <v>ACCT# 72-5613 / 01032020</v>
      </c>
      <c r="G2821" s="2">
        <v>9.8000000000000007</v>
      </c>
      <c r="H2821" t="str">
        <f t="shared" si="62"/>
        <v>ACCT# 72-5613 / 01032020</v>
      </c>
    </row>
    <row r="2822" spans="1:8" x14ac:dyDescent="0.25">
      <c r="A2822" t="s">
        <v>483</v>
      </c>
      <c r="B2822">
        <v>364</v>
      </c>
      <c r="C2822" s="2">
        <v>0</v>
      </c>
      <c r="D2822" s="1">
        <v>43843</v>
      </c>
      <c r="E2822" t="str">
        <f>"202001104606"</f>
        <v>202001104606</v>
      </c>
      <c r="F2822" t="str">
        <f>"ACCT# 72-5613 / 01032020"</f>
        <v>ACCT# 72-5613 / 01032020</v>
      </c>
      <c r="G2822" s="2">
        <v>-270</v>
      </c>
      <c r="H2822" t="str">
        <f t="shared" si="62"/>
        <v>ACCT# 72-5613 / 01032020</v>
      </c>
    </row>
    <row r="2823" spans="1:8" x14ac:dyDescent="0.25">
      <c r="E2823" t="str">
        <f>"202001144628"</f>
        <v>202001144628</v>
      </c>
      <c r="F2823" t="str">
        <f>"ACCT# 72-5613 / 01032020"</f>
        <v>ACCT# 72-5613 / 01032020</v>
      </c>
      <c r="G2823" s="2">
        <v>270</v>
      </c>
      <c r="H2823" t="str">
        <f t="shared" si="62"/>
        <v>ACCT# 72-5613 / 01032020</v>
      </c>
    </row>
    <row r="2824" spans="1:8" x14ac:dyDescent="0.25">
      <c r="A2824" t="s">
        <v>484</v>
      </c>
      <c r="B2824">
        <v>365</v>
      </c>
      <c r="C2824" s="2">
        <v>358.98</v>
      </c>
      <c r="D2824" s="1">
        <v>43843</v>
      </c>
      <c r="E2824" t="str">
        <f>"202001104624"</f>
        <v>202001104624</v>
      </c>
      <c r="F2824" t="str">
        <f>"ACCT# 72-5613 / 01032020"</f>
        <v>ACCT# 72-5613 / 01032020</v>
      </c>
      <c r="G2824" s="2">
        <v>358.98</v>
      </c>
      <c r="H2824" t="str">
        <f t="shared" si="62"/>
        <v>ACCT# 72-5613 / 01032020</v>
      </c>
    </row>
    <row r="2825" spans="1:8" x14ac:dyDescent="0.25">
      <c r="E2825" t="str">
        <f>""</f>
        <v/>
      </c>
      <c r="F2825" t="str">
        <f>""</f>
        <v/>
      </c>
      <c r="H2825" t="str">
        <f t="shared" si="62"/>
        <v>ACCT# 72-5613 / 01032020</v>
      </c>
    </row>
    <row r="2826" spans="1:8" x14ac:dyDescent="0.25">
      <c r="A2826" t="s">
        <v>485</v>
      </c>
      <c r="B2826">
        <v>366</v>
      </c>
      <c r="C2826" s="2">
        <v>18.2</v>
      </c>
      <c r="D2826" s="1">
        <v>43843</v>
      </c>
      <c r="E2826" t="str">
        <f>"202001104607"</f>
        <v>202001104607</v>
      </c>
      <c r="F2826" t="str">
        <f>"ACCT# 72-5613 / 01032020"</f>
        <v>ACCT# 72-5613 / 01032020</v>
      </c>
      <c r="G2826" s="2">
        <v>18.2</v>
      </c>
      <c r="H2826" t="str">
        <f t="shared" si="62"/>
        <v>ACCT# 72-5613 / 01032020</v>
      </c>
    </row>
    <row r="2827" spans="1:8" x14ac:dyDescent="0.25">
      <c r="A2827" t="s">
        <v>486</v>
      </c>
      <c r="B2827">
        <v>367</v>
      </c>
      <c r="C2827" s="2">
        <v>42.5</v>
      </c>
      <c r="D2827" s="1">
        <v>43843</v>
      </c>
      <c r="E2827" t="str">
        <f>"202001104600"</f>
        <v>202001104600</v>
      </c>
      <c r="F2827" t="str">
        <f>"ACCT# 72-5613 / 01032020"</f>
        <v>ACCT# 72-5613 / 01032020</v>
      </c>
      <c r="G2827" s="2">
        <v>42.5</v>
      </c>
      <c r="H2827" t="str">
        <f t="shared" si="62"/>
        <v>ACCT# 72-5613 / 01032020</v>
      </c>
    </row>
    <row r="2828" spans="1:8" x14ac:dyDescent="0.25">
      <c r="B2828" s="3" t="s">
        <v>487</v>
      </c>
      <c r="C2828" s="2">
        <f>SUM(C2:C2827)</f>
        <v>4327055.9300000044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AP-CHK-RPT-20200508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Laurie Ingram</cp:lastModifiedBy>
  <dcterms:created xsi:type="dcterms:W3CDTF">2020-05-08T15:07:41Z</dcterms:created>
  <dcterms:modified xsi:type="dcterms:W3CDTF">2020-05-08T15:07:50Z</dcterms:modified>
</cp:coreProperties>
</file>