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Documents from drive C\Laurie Files\"/>
    </mc:Choice>
  </mc:AlternateContent>
  <bookViews>
    <workbookView xWindow="0" yWindow="0" windowWidth="28800" windowHeight="12435"/>
  </bookViews>
  <sheets>
    <sheet name="AP-CHK-RPT-20200508" sheetId="1" r:id="rId1"/>
  </sheets>
  <calcPr calcId="0"/>
</workbook>
</file>

<file path=xl/calcChain.xml><?xml version="1.0" encoding="utf-8"?>
<calcChain xmlns="http://schemas.openxmlformats.org/spreadsheetml/2006/main">
  <c r="C2758" i="1" l="1"/>
  <c r="E2" i="1"/>
  <c r="F2" i="1"/>
  <c r="H2" i="1"/>
  <c r="E3" i="1"/>
  <c r="F3" i="1"/>
  <c r="H3" i="1"/>
  <c r="E4" i="1"/>
  <c r="F4" i="1"/>
  <c r="H4" i="1"/>
  <c r="E5" i="1"/>
  <c r="F5" i="1"/>
  <c r="H5" i="1"/>
  <c r="E6" i="1"/>
  <c r="F6" i="1"/>
  <c r="H6" i="1"/>
  <c r="E7" i="1"/>
  <c r="F7" i="1"/>
  <c r="H7" i="1"/>
  <c r="E8" i="1"/>
  <c r="F8" i="1"/>
  <c r="H8" i="1"/>
  <c r="E9" i="1"/>
  <c r="F9" i="1"/>
  <c r="H9" i="1"/>
  <c r="E10" i="1"/>
  <c r="F10" i="1"/>
  <c r="H10" i="1"/>
  <c r="E11" i="1"/>
  <c r="F11" i="1"/>
  <c r="H11" i="1"/>
  <c r="E12" i="1"/>
  <c r="F12" i="1"/>
  <c r="H12" i="1"/>
  <c r="E13" i="1"/>
  <c r="F13" i="1"/>
  <c r="H13" i="1"/>
  <c r="E14" i="1"/>
  <c r="F14" i="1"/>
  <c r="H14" i="1"/>
  <c r="E15" i="1"/>
  <c r="F15" i="1"/>
  <c r="H15" i="1"/>
  <c r="E16" i="1"/>
  <c r="F16" i="1"/>
  <c r="H16" i="1"/>
  <c r="E17" i="1"/>
  <c r="F17" i="1"/>
  <c r="H17" i="1"/>
  <c r="E18" i="1"/>
  <c r="F18" i="1"/>
  <c r="H18" i="1"/>
  <c r="E19" i="1"/>
  <c r="F19" i="1"/>
  <c r="H19" i="1"/>
  <c r="E20" i="1"/>
  <c r="F20" i="1"/>
  <c r="H20" i="1"/>
  <c r="E21" i="1"/>
  <c r="F21" i="1"/>
  <c r="H21" i="1"/>
  <c r="E22" i="1"/>
  <c r="F22" i="1"/>
  <c r="H22" i="1"/>
  <c r="E23" i="1"/>
  <c r="F23" i="1"/>
  <c r="H23" i="1"/>
  <c r="E24" i="1"/>
  <c r="F24" i="1"/>
  <c r="H24" i="1"/>
  <c r="E25" i="1"/>
  <c r="F25" i="1"/>
  <c r="H25" i="1"/>
  <c r="E26" i="1"/>
  <c r="F26" i="1"/>
  <c r="H26" i="1"/>
  <c r="E27" i="1"/>
  <c r="F27" i="1"/>
  <c r="H27" i="1"/>
  <c r="E28" i="1"/>
  <c r="F28" i="1"/>
  <c r="H28" i="1"/>
  <c r="E29" i="1"/>
  <c r="F29" i="1"/>
  <c r="H29" i="1"/>
  <c r="E30" i="1"/>
  <c r="F30" i="1"/>
  <c r="H30" i="1"/>
  <c r="E31" i="1"/>
  <c r="F31" i="1"/>
  <c r="H31" i="1"/>
  <c r="E32" i="1"/>
  <c r="F32" i="1"/>
  <c r="H32" i="1"/>
  <c r="E33" i="1"/>
  <c r="F33" i="1"/>
  <c r="H33" i="1"/>
  <c r="E34" i="1"/>
  <c r="F34" i="1"/>
  <c r="H34" i="1"/>
  <c r="E35" i="1"/>
  <c r="F35" i="1"/>
  <c r="H35" i="1"/>
  <c r="E36" i="1"/>
  <c r="F36" i="1"/>
  <c r="H36" i="1"/>
  <c r="E37" i="1"/>
  <c r="F37" i="1"/>
  <c r="H37" i="1"/>
  <c r="E38" i="1"/>
  <c r="F38" i="1"/>
  <c r="H38" i="1"/>
  <c r="E39" i="1"/>
  <c r="F39" i="1"/>
  <c r="H39" i="1"/>
  <c r="E40" i="1"/>
  <c r="F40" i="1"/>
  <c r="H40" i="1"/>
  <c r="E41" i="1"/>
  <c r="F41" i="1"/>
  <c r="H41" i="1"/>
  <c r="E42" i="1"/>
  <c r="F42" i="1"/>
  <c r="H42" i="1"/>
  <c r="E43" i="1"/>
  <c r="F43" i="1"/>
  <c r="H43" i="1"/>
  <c r="E44" i="1"/>
  <c r="F44" i="1"/>
  <c r="H44" i="1"/>
  <c r="E45" i="1"/>
  <c r="F45" i="1"/>
  <c r="H45" i="1"/>
  <c r="E46" i="1"/>
  <c r="F46" i="1"/>
  <c r="H46" i="1"/>
  <c r="E47" i="1"/>
  <c r="F47" i="1"/>
  <c r="H47" i="1"/>
  <c r="E48" i="1"/>
  <c r="F48" i="1"/>
  <c r="H48" i="1"/>
  <c r="E49" i="1"/>
  <c r="F49" i="1"/>
  <c r="H49" i="1"/>
  <c r="E50" i="1"/>
  <c r="F50" i="1"/>
  <c r="H50" i="1"/>
  <c r="E51" i="1"/>
  <c r="F51" i="1"/>
  <c r="H51" i="1"/>
  <c r="E52" i="1"/>
  <c r="F52" i="1"/>
  <c r="H52" i="1"/>
  <c r="E53" i="1"/>
  <c r="F53" i="1"/>
  <c r="H53" i="1"/>
  <c r="E54" i="1"/>
  <c r="F54" i="1"/>
  <c r="H54" i="1"/>
  <c r="E55" i="1"/>
  <c r="F55" i="1"/>
  <c r="H55" i="1"/>
  <c r="E56" i="1"/>
  <c r="F56" i="1"/>
  <c r="H56" i="1"/>
  <c r="E57" i="1"/>
  <c r="F57" i="1"/>
  <c r="H57" i="1"/>
  <c r="E58" i="1"/>
  <c r="F58" i="1"/>
  <c r="H58" i="1"/>
  <c r="E59" i="1"/>
  <c r="F59" i="1"/>
  <c r="H59" i="1"/>
  <c r="E60" i="1"/>
  <c r="F60" i="1"/>
  <c r="H60" i="1"/>
  <c r="E61" i="1"/>
  <c r="F61" i="1"/>
  <c r="H61" i="1"/>
  <c r="E62" i="1"/>
  <c r="F62" i="1"/>
  <c r="H62" i="1"/>
  <c r="E63" i="1"/>
  <c r="F63" i="1"/>
  <c r="H63" i="1"/>
  <c r="E64" i="1"/>
  <c r="F64" i="1"/>
  <c r="H64" i="1"/>
  <c r="E65" i="1"/>
  <c r="F65" i="1"/>
  <c r="H65" i="1"/>
  <c r="E66" i="1"/>
  <c r="F66" i="1"/>
  <c r="H66" i="1"/>
  <c r="E67" i="1"/>
  <c r="F67" i="1"/>
  <c r="H67" i="1"/>
  <c r="E68" i="1"/>
  <c r="F68" i="1"/>
  <c r="H68" i="1"/>
  <c r="E69" i="1"/>
  <c r="F69" i="1"/>
  <c r="H69" i="1"/>
  <c r="E70" i="1"/>
  <c r="F70" i="1"/>
  <c r="H70" i="1"/>
  <c r="E71" i="1"/>
  <c r="F71" i="1"/>
  <c r="H71" i="1"/>
  <c r="E72" i="1"/>
  <c r="F72" i="1"/>
  <c r="H72" i="1"/>
  <c r="E73" i="1"/>
  <c r="F73" i="1"/>
  <c r="H73" i="1"/>
  <c r="E74" i="1"/>
  <c r="F74" i="1"/>
  <c r="H74" i="1"/>
  <c r="E75" i="1"/>
  <c r="F75" i="1"/>
  <c r="H75" i="1"/>
  <c r="E76" i="1"/>
  <c r="F76" i="1"/>
  <c r="H76" i="1"/>
  <c r="E77" i="1"/>
  <c r="F77" i="1"/>
  <c r="H77" i="1"/>
  <c r="E78" i="1"/>
  <c r="F78" i="1"/>
  <c r="H78" i="1"/>
  <c r="E79" i="1"/>
  <c r="F79" i="1"/>
  <c r="H79" i="1"/>
  <c r="E80" i="1"/>
  <c r="F80" i="1"/>
  <c r="H80" i="1"/>
  <c r="E81" i="1"/>
  <c r="F81" i="1"/>
  <c r="H81" i="1"/>
  <c r="E82" i="1"/>
  <c r="F82" i="1"/>
  <c r="H82" i="1"/>
  <c r="E83" i="1"/>
  <c r="F83" i="1"/>
  <c r="H83" i="1"/>
  <c r="E84" i="1"/>
  <c r="F84" i="1"/>
  <c r="H84" i="1"/>
  <c r="E85" i="1"/>
  <c r="F85" i="1"/>
  <c r="H85" i="1"/>
  <c r="E86" i="1"/>
  <c r="F86" i="1"/>
  <c r="H86" i="1"/>
  <c r="E87" i="1"/>
  <c r="F87" i="1"/>
  <c r="H87" i="1"/>
  <c r="E88" i="1"/>
  <c r="F88" i="1"/>
  <c r="H88" i="1"/>
  <c r="E89" i="1"/>
  <c r="F89" i="1"/>
  <c r="H89" i="1"/>
  <c r="E90" i="1"/>
  <c r="F90" i="1"/>
  <c r="H90" i="1"/>
  <c r="E91" i="1"/>
  <c r="F91" i="1"/>
  <c r="H91" i="1"/>
  <c r="E92" i="1"/>
  <c r="F92" i="1"/>
  <c r="H92" i="1"/>
  <c r="E93" i="1"/>
  <c r="F93" i="1"/>
  <c r="H93" i="1"/>
  <c r="E94" i="1"/>
  <c r="F94" i="1"/>
  <c r="H94" i="1"/>
  <c r="E95" i="1"/>
  <c r="F95" i="1"/>
  <c r="H95" i="1"/>
  <c r="E96" i="1"/>
  <c r="F96" i="1"/>
  <c r="H96" i="1"/>
  <c r="E97" i="1"/>
  <c r="F97" i="1"/>
  <c r="H97" i="1"/>
  <c r="E98" i="1"/>
  <c r="F98" i="1"/>
  <c r="H98" i="1"/>
  <c r="E99" i="1"/>
  <c r="F99" i="1"/>
  <c r="H99" i="1"/>
  <c r="E100" i="1"/>
  <c r="F100" i="1"/>
  <c r="H100" i="1"/>
  <c r="E101" i="1"/>
  <c r="F101" i="1"/>
  <c r="H101" i="1"/>
  <c r="E102" i="1"/>
  <c r="F102" i="1"/>
  <c r="H102" i="1"/>
  <c r="E103" i="1"/>
  <c r="F103" i="1"/>
  <c r="H103" i="1"/>
  <c r="E104" i="1"/>
  <c r="F104" i="1"/>
  <c r="H104" i="1"/>
  <c r="E105" i="1"/>
  <c r="F105" i="1"/>
  <c r="H105" i="1"/>
  <c r="E106" i="1"/>
  <c r="F106" i="1"/>
  <c r="H106" i="1"/>
  <c r="E107" i="1"/>
  <c r="F107" i="1"/>
  <c r="H107" i="1"/>
  <c r="E108" i="1"/>
  <c r="F108" i="1"/>
  <c r="H108" i="1"/>
  <c r="E109" i="1"/>
  <c r="F109" i="1"/>
  <c r="H109" i="1"/>
  <c r="E110" i="1"/>
  <c r="F110" i="1"/>
  <c r="H110" i="1"/>
  <c r="E111" i="1"/>
  <c r="F111" i="1"/>
  <c r="H111" i="1"/>
  <c r="E112" i="1"/>
  <c r="F112" i="1"/>
  <c r="H112" i="1"/>
  <c r="E113" i="1"/>
  <c r="F113" i="1"/>
  <c r="H113" i="1"/>
  <c r="E114" i="1"/>
  <c r="F114" i="1"/>
  <c r="H114" i="1"/>
  <c r="E115" i="1"/>
  <c r="F115" i="1"/>
  <c r="H115" i="1"/>
  <c r="E116" i="1"/>
  <c r="F116" i="1"/>
  <c r="H116" i="1"/>
  <c r="E117" i="1"/>
  <c r="F117" i="1"/>
  <c r="H117" i="1"/>
  <c r="E118" i="1"/>
  <c r="F118" i="1"/>
  <c r="H118" i="1"/>
  <c r="E119" i="1"/>
  <c r="F119" i="1"/>
  <c r="H119" i="1"/>
  <c r="E120" i="1"/>
  <c r="F120" i="1"/>
  <c r="H120" i="1"/>
  <c r="E121" i="1"/>
  <c r="F121" i="1"/>
  <c r="H121" i="1"/>
  <c r="E122" i="1"/>
  <c r="F122" i="1"/>
  <c r="H122" i="1"/>
  <c r="E123" i="1"/>
  <c r="F123" i="1"/>
  <c r="H123" i="1"/>
  <c r="E124" i="1"/>
  <c r="F124" i="1"/>
  <c r="H124" i="1"/>
  <c r="E125" i="1"/>
  <c r="F125" i="1"/>
  <c r="H125" i="1"/>
  <c r="E126" i="1"/>
  <c r="F126" i="1"/>
  <c r="H126" i="1"/>
  <c r="E127" i="1"/>
  <c r="F127" i="1"/>
  <c r="H127" i="1"/>
  <c r="E128" i="1"/>
  <c r="F128" i="1"/>
  <c r="H128" i="1"/>
  <c r="E129" i="1"/>
  <c r="F129" i="1"/>
  <c r="H129" i="1"/>
  <c r="E130" i="1"/>
  <c r="F130" i="1"/>
  <c r="H130" i="1"/>
  <c r="E131" i="1"/>
  <c r="F131" i="1"/>
  <c r="H131" i="1"/>
  <c r="E132" i="1"/>
  <c r="F132" i="1"/>
  <c r="H132" i="1"/>
  <c r="E133" i="1"/>
  <c r="F133" i="1"/>
  <c r="H133" i="1"/>
  <c r="E134" i="1"/>
  <c r="F134" i="1"/>
  <c r="H134" i="1"/>
  <c r="E135" i="1"/>
  <c r="F135" i="1"/>
  <c r="H135" i="1"/>
  <c r="E136" i="1"/>
  <c r="F136" i="1"/>
  <c r="H136" i="1"/>
  <c r="E137" i="1"/>
  <c r="F137" i="1"/>
  <c r="H137" i="1"/>
  <c r="E138" i="1"/>
  <c r="F138" i="1"/>
  <c r="H138" i="1"/>
  <c r="E139" i="1"/>
  <c r="F139" i="1"/>
  <c r="H139" i="1"/>
  <c r="E140" i="1"/>
  <c r="F140" i="1"/>
  <c r="H140" i="1"/>
  <c r="E141" i="1"/>
  <c r="F141" i="1"/>
  <c r="H141" i="1"/>
  <c r="E142" i="1"/>
  <c r="F142" i="1"/>
  <c r="H142" i="1"/>
  <c r="E143" i="1"/>
  <c r="F143" i="1"/>
  <c r="H143" i="1"/>
  <c r="E144" i="1"/>
  <c r="F144" i="1"/>
  <c r="H144" i="1"/>
  <c r="E145" i="1"/>
  <c r="F145" i="1"/>
  <c r="H145" i="1"/>
  <c r="E146" i="1"/>
  <c r="F146" i="1"/>
  <c r="H146" i="1"/>
  <c r="E147" i="1"/>
  <c r="F147" i="1"/>
  <c r="H147" i="1"/>
  <c r="E148" i="1"/>
  <c r="F148" i="1"/>
  <c r="H148" i="1"/>
  <c r="E149" i="1"/>
  <c r="F149" i="1"/>
  <c r="H149" i="1"/>
  <c r="E150" i="1"/>
  <c r="F150" i="1"/>
  <c r="H150" i="1"/>
  <c r="E151" i="1"/>
  <c r="F151" i="1"/>
  <c r="H151" i="1"/>
  <c r="E152" i="1"/>
  <c r="F152" i="1"/>
  <c r="H152" i="1"/>
  <c r="E153" i="1"/>
  <c r="F153" i="1"/>
  <c r="H153" i="1"/>
  <c r="E154" i="1"/>
  <c r="F154" i="1"/>
  <c r="H154" i="1"/>
  <c r="E155" i="1"/>
  <c r="F155" i="1"/>
  <c r="H155" i="1"/>
  <c r="E156" i="1"/>
  <c r="F156" i="1"/>
  <c r="H156" i="1"/>
  <c r="E157" i="1"/>
  <c r="F157" i="1"/>
  <c r="H157" i="1"/>
  <c r="E158" i="1"/>
  <c r="F158" i="1"/>
  <c r="H158" i="1"/>
  <c r="E159" i="1"/>
  <c r="F159" i="1"/>
  <c r="H159" i="1"/>
  <c r="E160" i="1"/>
  <c r="F160" i="1"/>
  <c r="H160" i="1"/>
  <c r="E161" i="1"/>
  <c r="F161" i="1"/>
  <c r="H161" i="1"/>
  <c r="E162" i="1"/>
  <c r="F162" i="1"/>
  <c r="H162" i="1"/>
  <c r="E163" i="1"/>
  <c r="F163" i="1"/>
  <c r="H163" i="1"/>
  <c r="E164" i="1"/>
  <c r="F164" i="1"/>
  <c r="H164" i="1"/>
  <c r="E165" i="1"/>
  <c r="F165" i="1"/>
  <c r="H165" i="1"/>
  <c r="E166" i="1"/>
  <c r="F166" i="1"/>
  <c r="H166" i="1"/>
  <c r="E167" i="1"/>
  <c r="F167" i="1"/>
  <c r="H167" i="1"/>
  <c r="E168" i="1"/>
  <c r="F168" i="1"/>
  <c r="H168" i="1"/>
  <c r="E169" i="1"/>
  <c r="F169" i="1"/>
  <c r="H169" i="1"/>
  <c r="E170" i="1"/>
  <c r="F170" i="1"/>
  <c r="H170" i="1"/>
  <c r="E171" i="1"/>
  <c r="F171" i="1"/>
  <c r="H171" i="1"/>
  <c r="E172" i="1"/>
  <c r="F172" i="1"/>
  <c r="H172" i="1"/>
  <c r="E173" i="1"/>
  <c r="F173" i="1"/>
  <c r="H173" i="1"/>
  <c r="E174" i="1"/>
  <c r="F174" i="1"/>
  <c r="H174" i="1"/>
  <c r="E175" i="1"/>
  <c r="F175" i="1"/>
  <c r="H175" i="1"/>
  <c r="E176" i="1"/>
  <c r="F176" i="1"/>
  <c r="H176" i="1"/>
  <c r="E177" i="1"/>
  <c r="F177" i="1"/>
  <c r="H177" i="1"/>
  <c r="E178" i="1"/>
  <c r="F178" i="1"/>
  <c r="H178" i="1"/>
  <c r="E179" i="1"/>
  <c r="F179" i="1"/>
  <c r="H179" i="1"/>
  <c r="E180" i="1"/>
  <c r="F180" i="1"/>
  <c r="H180" i="1"/>
  <c r="E181" i="1"/>
  <c r="F181" i="1"/>
  <c r="H181" i="1"/>
  <c r="E182" i="1"/>
  <c r="F182" i="1"/>
  <c r="H182" i="1"/>
  <c r="E183" i="1"/>
  <c r="F183" i="1"/>
  <c r="H183" i="1"/>
  <c r="E184" i="1"/>
  <c r="F184" i="1"/>
  <c r="H184" i="1"/>
  <c r="E185" i="1"/>
  <c r="F185" i="1"/>
  <c r="H185" i="1"/>
  <c r="E186" i="1"/>
  <c r="F186" i="1"/>
  <c r="H186" i="1"/>
  <c r="E187" i="1"/>
  <c r="F187" i="1"/>
  <c r="H187" i="1"/>
  <c r="E188" i="1"/>
  <c r="F188" i="1"/>
  <c r="H188" i="1"/>
  <c r="E189" i="1"/>
  <c r="F189" i="1"/>
  <c r="H189" i="1"/>
  <c r="E190" i="1"/>
  <c r="F190" i="1"/>
  <c r="H190" i="1"/>
  <c r="E191" i="1"/>
  <c r="F191" i="1"/>
  <c r="H191" i="1"/>
  <c r="E192" i="1"/>
  <c r="F192" i="1"/>
  <c r="H192" i="1"/>
  <c r="E193" i="1"/>
  <c r="F193" i="1"/>
  <c r="H193" i="1"/>
  <c r="E194" i="1"/>
  <c r="F194" i="1"/>
  <c r="H194" i="1"/>
  <c r="E195" i="1"/>
  <c r="F195" i="1"/>
  <c r="H195" i="1"/>
  <c r="E196" i="1"/>
  <c r="F196" i="1"/>
  <c r="H196" i="1"/>
  <c r="E197" i="1"/>
  <c r="F197" i="1"/>
  <c r="H197" i="1"/>
  <c r="E198" i="1"/>
  <c r="F198" i="1"/>
  <c r="H198" i="1"/>
  <c r="E199" i="1"/>
  <c r="F199" i="1"/>
  <c r="H199" i="1"/>
  <c r="E200" i="1"/>
  <c r="F200" i="1"/>
  <c r="H200" i="1"/>
  <c r="E201" i="1"/>
  <c r="F201" i="1"/>
  <c r="H201" i="1"/>
  <c r="E202" i="1"/>
  <c r="F202" i="1"/>
  <c r="H202" i="1"/>
  <c r="E203" i="1"/>
  <c r="F203" i="1"/>
  <c r="H203" i="1"/>
  <c r="E204" i="1"/>
  <c r="F204" i="1"/>
  <c r="H204" i="1"/>
  <c r="E205" i="1"/>
  <c r="F205" i="1"/>
  <c r="H205" i="1"/>
  <c r="E206" i="1"/>
  <c r="F206" i="1"/>
  <c r="H206" i="1"/>
  <c r="E207" i="1"/>
  <c r="F207" i="1"/>
  <c r="H207" i="1"/>
  <c r="E208" i="1"/>
  <c r="F208" i="1"/>
  <c r="H208" i="1"/>
  <c r="E209" i="1"/>
  <c r="F209" i="1"/>
  <c r="H209" i="1"/>
  <c r="E210" i="1"/>
  <c r="F210" i="1"/>
  <c r="H210" i="1"/>
  <c r="E211" i="1"/>
  <c r="F211" i="1"/>
  <c r="H211" i="1"/>
  <c r="E212" i="1"/>
  <c r="F212" i="1"/>
  <c r="H212" i="1"/>
  <c r="E213" i="1"/>
  <c r="F213" i="1"/>
  <c r="H213" i="1"/>
  <c r="E214" i="1"/>
  <c r="F214" i="1"/>
  <c r="H214" i="1"/>
  <c r="E215" i="1"/>
  <c r="F215" i="1"/>
  <c r="H215" i="1"/>
  <c r="E216" i="1"/>
  <c r="F216" i="1"/>
  <c r="H216" i="1"/>
  <c r="E217" i="1"/>
  <c r="F217" i="1"/>
  <c r="H217" i="1"/>
  <c r="E218" i="1"/>
  <c r="F218" i="1"/>
  <c r="H218" i="1"/>
  <c r="E219" i="1"/>
  <c r="F219" i="1"/>
  <c r="H219" i="1"/>
  <c r="E220" i="1"/>
  <c r="F220" i="1"/>
  <c r="H220" i="1"/>
  <c r="E221" i="1"/>
  <c r="F221" i="1"/>
  <c r="H221" i="1"/>
  <c r="E222" i="1"/>
  <c r="F222" i="1"/>
  <c r="H222" i="1"/>
  <c r="E223" i="1"/>
  <c r="F223" i="1"/>
  <c r="H223" i="1"/>
  <c r="E224" i="1"/>
  <c r="F224" i="1"/>
  <c r="H224" i="1"/>
  <c r="E225" i="1"/>
  <c r="F225" i="1"/>
  <c r="H225" i="1"/>
  <c r="E226" i="1"/>
  <c r="F226" i="1"/>
  <c r="H226" i="1"/>
  <c r="E227" i="1"/>
  <c r="F227" i="1"/>
  <c r="H227" i="1"/>
  <c r="E228" i="1"/>
  <c r="F228" i="1"/>
  <c r="H228" i="1"/>
  <c r="E229" i="1"/>
  <c r="F229" i="1"/>
  <c r="H229" i="1"/>
  <c r="E230" i="1"/>
  <c r="F230" i="1"/>
  <c r="H230" i="1"/>
  <c r="E231" i="1"/>
  <c r="F231" i="1"/>
  <c r="H231" i="1"/>
  <c r="E232" i="1"/>
  <c r="F232" i="1"/>
  <c r="H232" i="1"/>
  <c r="E233" i="1"/>
  <c r="F233" i="1"/>
  <c r="H233" i="1"/>
  <c r="E234" i="1"/>
  <c r="F234" i="1"/>
  <c r="H234" i="1"/>
  <c r="E235" i="1"/>
  <c r="F235" i="1"/>
  <c r="H235" i="1"/>
  <c r="E236" i="1"/>
  <c r="F236" i="1"/>
  <c r="H236" i="1"/>
  <c r="E237" i="1"/>
  <c r="F237" i="1"/>
  <c r="H237" i="1"/>
  <c r="E238" i="1"/>
  <c r="F238" i="1"/>
  <c r="H238" i="1"/>
  <c r="E239" i="1"/>
  <c r="F239" i="1"/>
  <c r="H239" i="1"/>
  <c r="E240" i="1"/>
  <c r="F240" i="1"/>
  <c r="H240" i="1"/>
  <c r="E241" i="1"/>
  <c r="F241" i="1"/>
  <c r="H241" i="1"/>
  <c r="E242" i="1"/>
  <c r="F242" i="1"/>
  <c r="H242" i="1"/>
  <c r="E243" i="1"/>
  <c r="F243" i="1"/>
  <c r="H243" i="1"/>
  <c r="E244" i="1"/>
  <c r="F244" i="1"/>
  <c r="H244" i="1"/>
  <c r="E245" i="1"/>
  <c r="F245" i="1"/>
  <c r="H245" i="1"/>
  <c r="E246" i="1"/>
  <c r="F246" i="1"/>
  <c r="H246" i="1"/>
  <c r="E247" i="1"/>
  <c r="F247" i="1"/>
  <c r="H247" i="1"/>
  <c r="E248" i="1"/>
  <c r="F248" i="1"/>
  <c r="H248" i="1"/>
  <c r="E249" i="1"/>
  <c r="F249" i="1"/>
  <c r="H249" i="1"/>
  <c r="E250" i="1"/>
  <c r="F250" i="1"/>
  <c r="H250" i="1"/>
  <c r="E251" i="1"/>
  <c r="F251" i="1"/>
  <c r="H251" i="1"/>
  <c r="E252" i="1"/>
  <c r="F252" i="1"/>
  <c r="H252" i="1"/>
  <c r="E253" i="1"/>
  <c r="F253" i="1"/>
  <c r="H253" i="1"/>
  <c r="E254" i="1"/>
  <c r="F254" i="1"/>
  <c r="H254" i="1"/>
  <c r="E255" i="1"/>
  <c r="F255" i="1"/>
  <c r="H255" i="1"/>
  <c r="E256" i="1"/>
  <c r="F256" i="1"/>
  <c r="H256" i="1"/>
  <c r="E257" i="1"/>
  <c r="F257" i="1"/>
  <c r="H257" i="1"/>
  <c r="E258" i="1"/>
  <c r="F258" i="1"/>
  <c r="H258" i="1"/>
  <c r="E259" i="1"/>
  <c r="F259" i="1"/>
  <c r="H259" i="1"/>
  <c r="E260" i="1"/>
  <c r="F260" i="1"/>
  <c r="H260" i="1"/>
  <c r="E261" i="1"/>
  <c r="F261" i="1"/>
  <c r="H261" i="1"/>
  <c r="E262" i="1"/>
  <c r="F262" i="1"/>
  <c r="H262" i="1"/>
  <c r="E263" i="1"/>
  <c r="F263" i="1"/>
  <c r="H263" i="1"/>
  <c r="E264" i="1"/>
  <c r="F264" i="1"/>
  <c r="H264" i="1"/>
  <c r="E265" i="1"/>
  <c r="F265" i="1"/>
  <c r="H265" i="1"/>
  <c r="E266" i="1"/>
  <c r="F266" i="1"/>
  <c r="H266" i="1"/>
  <c r="E267" i="1"/>
  <c r="F267" i="1"/>
  <c r="H267" i="1"/>
  <c r="E268" i="1"/>
  <c r="F268" i="1"/>
  <c r="H268" i="1"/>
  <c r="E269" i="1"/>
  <c r="F269" i="1"/>
  <c r="H269" i="1"/>
  <c r="E270" i="1"/>
  <c r="F270" i="1"/>
  <c r="H270" i="1"/>
  <c r="E271" i="1"/>
  <c r="F271" i="1"/>
  <c r="H271" i="1"/>
  <c r="E272" i="1"/>
  <c r="F272" i="1"/>
  <c r="H272" i="1"/>
  <c r="E273" i="1"/>
  <c r="F273" i="1"/>
  <c r="H273" i="1"/>
  <c r="E274" i="1"/>
  <c r="F274" i="1"/>
  <c r="H274" i="1"/>
  <c r="E275" i="1"/>
  <c r="F275" i="1"/>
  <c r="H275" i="1"/>
  <c r="E276" i="1"/>
  <c r="F276" i="1"/>
  <c r="H276" i="1"/>
  <c r="E277" i="1"/>
  <c r="F277" i="1"/>
  <c r="H277" i="1"/>
  <c r="E278" i="1"/>
  <c r="F278" i="1"/>
  <c r="H278" i="1"/>
  <c r="E279" i="1"/>
  <c r="F279" i="1"/>
  <c r="H279" i="1"/>
  <c r="E280" i="1"/>
  <c r="F280" i="1"/>
  <c r="H280" i="1"/>
  <c r="E281" i="1"/>
  <c r="F281" i="1"/>
  <c r="H281" i="1"/>
  <c r="E282" i="1"/>
  <c r="F282" i="1"/>
  <c r="H282" i="1"/>
  <c r="E283" i="1"/>
  <c r="F283" i="1"/>
  <c r="H283" i="1"/>
  <c r="E284" i="1"/>
  <c r="F284" i="1"/>
  <c r="H284" i="1"/>
  <c r="E285" i="1"/>
  <c r="F285" i="1"/>
  <c r="H285" i="1"/>
  <c r="E286" i="1"/>
  <c r="F286" i="1"/>
  <c r="H286" i="1"/>
  <c r="E287" i="1"/>
  <c r="F287" i="1"/>
  <c r="H287" i="1"/>
  <c r="E288" i="1"/>
  <c r="F288" i="1"/>
  <c r="H288" i="1"/>
  <c r="E289" i="1"/>
  <c r="F289" i="1"/>
  <c r="H289" i="1"/>
  <c r="E290" i="1"/>
  <c r="F290" i="1"/>
  <c r="H290" i="1"/>
  <c r="E291" i="1"/>
  <c r="F291" i="1"/>
  <c r="H291" i="1"/>
  <c r="E292" i="1"/>
  <c r="F292" i="1"/>
  <c r="H292" i="1"/>
  <c r="E293" i="1"/>
  <c r="F293" i="1"/>
  <c r="H293" i="1"/>
  <c r="E294" i="1"/>
  <c r="F294" i="1"/>
  <c r="H294" i="1"/>
  <c r="E295" i="1"/>
  <c r="F295" i="1"/>
  <c r="H295" i="1"/>
  <c r="E296" i="1"/>
  <c r="F296" i="1"/>
  <c r="H296" i="1"/>
  <c r="E297" i="1"/>
  <c r="F297" i="1"/>
  <c r="H297" i="1"/>
  <c r="E298" i="1"/>
  <c r="F298" i="1"/>
  <c r="H298" i="1"/>
  <c r="E299" i="1"/>
  <c r="F299" i="1"/>
  <c r="H299" i="1"/>
  <c r="E300" i="1"/>
  <c r="F300" i="1"/>
  <c r="H300" i="1"/>
  <c r="E301" i="1"/>
  <c r="F301" i="1"/>
  <c r="H301" i="1"/>
  <c r="E302" i="1"/>
  <c r="F302" i="1"/>
  <c r="H302" i="1"/>
  <c r="E303" i="1"/>
  <c r="F303" i="1"/>
  <c r="H303" i="1"/>
  <c r="E304" i="1"/>
  <c r="F304" i="1"/>
  <c r="H304" i="1"/>
  <c r="E305" i="1"/>
  <c r="F305" i="1"/>
  <c r="H305" i="1"/>
  <c r="E306" i="1"/>
  <c r="F306" i="1"/>
  <c r="H306" i="1"/>
  <c r="E307" i="1"/>
  <c r="F307" i="1"/>
  <c r="H307" i="1"/>
  <c r="E308" i="1"/>
  <c r="F308" i="1"/>
  <c r="H308" i="1"/>
  <c r="E309" i="1"/>
  <c r="F309" i="1"/>
  <c r="H309" i="1"/>
  <c r="E310" i="1"/>
  <c r="F310" i="1"/>
  <c r="H310" i="1"/>
  <c r="E311" i="1"/>
  <c r="F311" i="1"/>
  <c r="H311" i="1"/>
  <c r="E312" i="1"/>
  <c r="F312" i="1"/>
  <c r="H312" i="1"/>
  <c r="E313" i="1"/>
  <c r="F313" i="1"/>
  <c r="H313" i="1"/>
  <c r="E314" i="1"/>
  <c r="F314" i="1"/>
  <c r="H314" i="1"/>
  <c r="E315" i="1"/>
  <c r="F315" i="1"/>
  <c r="H315" i="1"/>
  <c r="E316" i="1"/>
  <c r="F316" i="1"/>
  <c r="H316" i="1"/>
  <c r="E317" i="1"/>
  <c r="F317" i="1"/>
  <c r="H317" i="1"/>
  <c r="E318" i="1"/>
  <c r="F318" i="1"/>
  <c r="H318" i="1"/>
  <c r="E319" i="1"/>
  <c r="F319" i="1"/>
  <c r="H319" i="1"/>
  <c r="E320" i="1"/>
  <c r="F320" i="1"/>
  <c r="H320" i="1"/>
  <c r="E321" i="1"/>
  <c r="F321" i="1"/>
  <c r="H321" i="1"/>
  <c r="E322" i="1"/>
  <c r="F322" i="1"/>
  <c r="H322" i="1"/>
  <c r="E323" i="1"/>
  <c r="F323" i="1"/>
  <c r="H323" i="1"/>
  <c r="E324" i="1"/>
  <c r="F324" i="1"/>
  <c r="H324" i="1"/>
  <c r="E325" i="1"/>
  <c r="F325" i="1"/>
  <c r="H325" i="1"/>
  <c r="E326" i="1"/>
  <c r="F326" i="1"/>
  <c r="H326" i="1"/>
  <c r="E327" i="1"/>
  <c r="F327" i="1"/>
  <c r="H327" i="1"/>
  <c r="E328" i="1"/>
  <c r="F328" i="1"/>
  <c r="H328" i="1"/>
  <c r="E329" i="1"/>
  <c r="F329" i="1"/>
  <c r="H329" i="1"/>
  <c r="E330" i="1"/>
  <c r="F330" i="1"/>
  <c r="H330" i="1"/>
  <c r="E331" i="1"/>
  <c r="F331" i="1"/>
  <c r="H331" i="1"/>
  <c r="E332" i="1"/>
  <c r="F332" i="1"/>
  <c r="H332" i="1"/>
  <c r="E333" i="1"/>
  <c r="F333" i="1"/>
  <c r="H333" i="1"/>
  <c r="E334" i="1"/>
  <c r="F334" i="1"/>
  <c r="H334" i="1"/>
  <c r="E335" i="1"/>
  <c r="F335" i="1"/>
  <c r="H335" i="1"/>
  <c r="E336" i="1"/>
  <c r="F336" i="1"/>
  <c r="H336" i="1"/>
  <c r="E337" i="1"/>
  <c r="F337" i="1"/>
  <c r="H337" i="1"/>
  <c r="E338" i="1"/>
  <c r="F338" i="1"/>
  <c r="H338" i="1"/>
  <c r="E339" i="1"/>
  <c r="F339" i="1"/>
  <c r="H339" i="1"/>
  <c r="E340" i="1"/>
  <c r="F340" i="1"/>
  <c r="H340" i="1"/>
  <c r="E341" i="1"/>
  <c r="F341" i="1"/>
  <c r="H341" i="1"/>
  <c r="E342" i="1"/>
  <c r="F342" i="1"/>
  <c r="H342" i="1"/>
  <c r="E343" i="1"/>
  <c r="F343" i="1"/>
  <c r="H343" i="1"/>
  <c r="E344" i="1"/>
  <c r="F344" i="1"/>
  <c r="H344" i="1"/>
  <c r="E345" i="1"/>
  <c r="F345" i="1"/>
  <c r="H345" i="1"/>
  <c r="E346" i="1"/>
  <c r="F346" i="1"/>
  <c r="H346" i="1"/>
  <c r="E347" i="1"/>
  <c r="F347" i="1"/>
  <c r="H347" i="1"/>
  <c r="E348" i="1"/>
  <c r="F348" i="1"/>
  <c r="H348" i="1"/>
  <c r="E349" i="1"/>
  <c r="F349" i="1"/>
  <c r="H349" i="1"/>
  <c r="E350" i="1"/>
  <c r="F350" i="1"/>
  <c r="H350" i="1"/>
  <c r="E351" i="1"/>
  <c r="F351" i="1"/>
  <c r="H351" i="1"/>
  <c r="E352" i="1"/>
  <c r="F352" i="1"/>
  <c r="H352" i="1"/>
  <c r="E353" i="1"/>
  <c r="F353" i="1"/>
  <c r="H353" i="1"/>
  <c r="E354" i="1"/>
  <c r="F354" i="1"/>
  <c r="H354" i="1"/>
  <c r="E355" i="1"/>
  <c r="F355" i="1"/>
  <c r="H355" i="1"/>
  <c r="E356" i="1"/>
  <c r="F356" i="1"/>
  <c r="H356" i="1"/>
  <c r="E357" i="1"/>
  <c r="F357" i="1"/>
  <c r="H357" i="1"/>
  <c r="E358" i="1"/>
  <c r="F358" i="1"/>
  <c r="H358" i="1"/>
  <c r="E359" i="1"/>
  <c r="F359" i="1"/>
  <c r="H359" i="1"/>
  <c r="E360" i="1"/>
  <c r="F360" i="1"/>
  <c r="H360" i="1"/>
  <c r="E361" i="1"/>
  <c r="F361" i="1"/>
  <c r="H361" i="1"/>
  <c r="E362" i="1"/>
  <c r="F362" i="1"/>
  <c r="H362" i="1"/>
  <c r="E363" i="1"/>
  <c r="F363" i="1"/>
  <c r="H363" i="1"/>
  <c r="E364" i="1"/>
  <c r="F364" i="1"/>
  <c r="H364" i="1"/>
  <c r="E365" i="1"/>
  <c r="F365" i="1"/>
  <c r="H365" i="1"/>
  <c r="E366" i="1"/>
  <c r="F366" i="1"/>
  <c r="H366" i="1"/>
  <c r="E367" i="1"/>
  <c r="F367" i="1"/>
  <c r="H367" i="1"/>
  <c r="E368" i="1"/>
  <c r="F368" i="1"/>
  <c r="H368" i="1"/>
  <c r="E369" i="1"/>
  <c r="F369" i="1"/>
  <c r="H369" i="1"/>
  <c r="E370" i="1"/>
  <c r="F370" i="1"/>
  <c r="H370" i="1"/>
  <c r="E371" i="1"/>
  <c r="F371" i="1"/>
  <c r="H371" i="1"/>
  <c r="E372" i="1"/>
  <c r="F372" i="1"/>
  <c r="H372" i="1"/>
  <c r="E373" i="1"/>
  <c r="F373" i="1"/>
  <c r="H373" i="1"/>
  <c r="E374" i="1"/>
  <c r="F374" i="1"/>
  <c r="H374" i="1"/>
  <c r="E375" i="1"/>
  <c r="F375" i="1"/>
  <c r="H375" i="1"/>
  <c r="E376" i="1"/>
  <c r="F376" i="1"/>
  <c r="H376" i="1"/>
  <c r="E377" i="1"/>
  <c r="F377" i="1"/>
  <c r="H377" i="1"/>
  <c r="E378" i="1"/>
  <c r="F378" i="1"/>
  <c r="H378" i="1"/>
  <c r="E379" i="1"/>
  <c r="F379" i="1"/>
  <c r="H379" i="1"/>
  <c r="E380" i="1"/>
  <c r="F380" i="1"/>
  <c r="H380" i="1"/>
  <c r="E381" i="1"/>
  <c r="F381" i="1"/>
  <c r="H381" i="1"/>
  <c r="E382" i="1"/>
  <c r="F382" i="1"/>
  <c r="H382" i="1"/>
  <c r="E383" i="1"/>
  <c r="F383" i="1"/>
  <c r="H383" i="1"/>
  <c r="E384" i="1"/>
  <c r="F384" i="1"/>
  <c r="H384" i="1"/>
  <c r="E385" i="1"/>
  <c r="F385" i="1"/>
  <c r="H385" i="1"/>
  <c r="E386" i="1"/>
  <c r="F386" i="1"/>
  <c r="H386" i="1"/>
  <c r="E387" i="1"/>
  <c r="F387" i="1"/>
  <c r="H387" i="1"/>
  <c r="E388" i="1"/>
  <c r="F388" i="1"/>
  <c r="H388" i="1"/>
  <c r="E389" i="1"/>
  <c r="F389" i="1"/>
  <c r="H389" i="1"/>
  <c r="E390" i="1"/>
  <c r="F390" i="1"/>
  <c r="H390" i="1"/>
  <c r="E391" i="1"/>
  <c r="F391" i="1"/>
  <c r="H391" i="1"/>
  <c r="E392" i="1"/>
  <c r="F392" i="1"/>
  <c r="H392" i="1"/>
  <c r="E393" i="1"/>
  <c r="F393" i="1"/>
  <c r="H393" i="1"/>
  <c r="E394" i="1"/>
  <c r="F394" i="1"/>
  <c r="H394" i="1"/>
  <c r="E395" i="1"/>
  <c r="F395" i="1"/>
  <c r="H395" i="1"/>
  <c r="E396" i="1"/>
  <c r="F396" i="1"/>
  <c r="H396" i="1"/>
  <c r="E397" i="1"/>
  <c r="F397" i="1"/>
  <c r="H397" i="1"/>
  <c r="E398" i="1"/>
  <c r="F398" i="1"/>
  <c r="H398" i="1"/>
  <c r="E399" i="1"/>
  <c r="F399" i="1"/>
  <c r="H399" i="1"/>
  <c r="E400" i="1"/>
  <c r="F400" i="1"/>
  <c r="H400" i="1"/>
  <c r="E401" i="1"/>
  <c r="F401" i="1"/>
  <c r="H401" i="1"/>
  <c r="E402" i="1"/>
  <c r="F402" i="1"/>
  <c r="H402" i="1"/>
  <c r="E403" i="1"/>
  <c r="F403" i="1"/>
  <c r="H403" i="1"/>
  <c r="E404" i="1"/>
  <c r="F404" i="1"/>
  <c r="H404" i="1"/>
  <c r="E405" i="1"/>
  <c r="F405" i="1"/>
  <c r="H405" i="1"/>
  <c r="E406" i="1"/>
  <c r="F406" i="1"/>
  <c r="H406" i="1"/>
  <c r="E407" i="1"/>
  <c r="F407" i="1"/>
  <c r="H407" i="1"/>
  <c r="E408" i="1"/>
  <c r="F408" i="1"/>
  <c r="H408" i="1"/>
  <c r="E409" i="1"/>
  <c r="F409" i="1"/>
  <c r="H409" i="1"/>
  <c r="E410" i="1"/>
  <c r="F410" i="1"/>
  <c r="H410" i="1"/>
  <c r="E411" i="1"/>
  <c r="F411" i="1"/>
  <c r="H411" i="1"/>
  <c r="E412" i="1"/>
  <c r="F412" i="1"/>
  <c r="H412" i="1"/>
  <c r="E413" i="1"/>
  <c r="F413" i="1"/>
  <c r="H413" i="1"/>
  <c r="E414" i="1"/>
  <c r="F414" i="1"/>
  <c r="H414" i="1"/>
  <c r="E415" i="1"/>
  <c r="F415" i="1"/>
  <c r="H415" i="1"/>
  <c r="E416" i="1"/>
  <c r="F416" i="1"/>
  <c r="H416" i="1"/>
  <c r="E417" i="1"/>
  <c r="F417" i="1"/>
  <c r="H417" i="1"/>
  <c r="E418" i="1"/>
  <c r="F418" i="1"/>
  <c r="H418" i="1"/>
  <c r="E419" i="1"/>
  <c r="F419" i="1"/>
  <c r="H419" i="1"/>
  <c r="E420" i="1"/>
  <c r="F420" i="1"/>
  <c r="H420" i="1"/>
  <c r="E421" i="1"/>
  <c r="F421" i="1"/>
  <c r="H421" i="1"/>
  <c r="E422" i="1"/>
  <c r="F422" i="1"/>
  <c r="H422" i="1"/>
  <c r="E423" i="1"/>
  <c r="F423" i="1"/>
  <c r="H423" i="1"/>
  <c r="E424" i="1"/>
  <c r="F424" i="1"/>
  <c r="H424" i="1"/>
  <c r="E425" i="1"/>
  <c r="F425" i="1"/>
  <c r="H425" i="1"/>
  <c r="E426" i="1"/>
  <c r="F426" i="1"/>
  <c r="H426" i="1"/>
  <c r="E427" i="1"/>
  <c r="F427" i="1"/>
  <c r="H427" i="1"/>
  <c r="E428" i="1"/>
  <c r="F428" i="1"/>
  <c r="H428" i="1"/>
  <c r="E429" i="1"/>
  <c r="F429" i="1"/>
  <c r="H429" i="1"/>
  <c r="E430" i="1"/>
  <c r="F430" i="1"/>
  <c r="H430" i="1"/>
  <c r="E431" i="1"/>
  <c r="F431" i="1"/>
  <c r="H431" i="1"/>
  <c r="E432" i="1"/>
  <c r="F432" i="1"/>
  <c r="H432" i="1"/>
  <c r="E433" i="1"/>
  <c r="F433" i="1"/>
  <c r="H433" i="1"/>
  <c r="E434" i="1"/>
  <c r="F434" i="1"/>
  <c r="H434" i="1"/>
  <c r="E435" i="1"/>
  <c r="F435" i="1"/>
  <c r="H435" i="1"/>
  <c r="E436" i="1"/>
  <c r="F436" i="1"/>
  <c r="H436" i="1"/>
  <c r="E437" i="1"/>
  <c r="F437" i="1"/>
  <c r="H437" i="1"/>
  <c r="E438" i="1"/>
  <c r="F438" i="1"/>
  <c r="H438" i="1"/>
  <c r="E439" i="1"/>
  <c r="F439" i="1"/>
  <c r="H439" i="1"/>
  <c r="E440" i="1"/>
  <c r="F440" i="1"/>
  <c r="H440" i="1"/>
  <c r="E441" i="1"/>
  <c r="F441" i="1"/>
  <c r="H441" i="1"/>
  <c r="E442" i="1"/>
  <c r="F442" i="1"/>
  <c r="H442" i="1"/>
  <c r="E443" i="1"/>
  <c r="F443" i="1"/>
  <c r="H443" i="1"/>
  <c r="E444" i="1"/>
  <c r="F444" i="1"/>
  <c r="H444" i="1"/>
  <c r="E445" i="1"/>
  <c r="F445" i="1"/>
  <c r="H445" i="1"/>
  <c r="E446" i="1"/>
  <c r="F446" i="1"/>
  <c r="H446" i="1"/>
  <c r="E447" i="1"/>
  <c r="F447" i="1"/>
  <c r="H447" i="1"/>
  <c r="E448" i="1"/>
  <c r="F448" i="1"/>
  <c r="H448" i="1"/>
  <c r="E449" i="1"/>
  <c r="F449" i="1"/>
  <c r="H449" i="1"/>
  <c r="E450" i="1"/>
  <c r="F450" i="1"/>
  <c r="H450" i="1"/>
  <c r="E451" i="1"/>
  <c r="F451" i="1"/>
  <c r="H451" i="1"/>
  <c r="E452" i="1"/>
  <c r="F452" i="1"/>
  <c r="H452" i="1"/>
  <c r="E453" i="1"/>
  <c r="F453" i="1"/>
  <c r="H453" i="1"/>
  <c r="E454" i="1"/>
  <c r="F454" i="1"/>
  <c r="H454" i="1"/>
  <c r="E455" i="1"/>
  <c r="F455" i="1"/>
  <c r="H455" i="1"/>
  <c r="E456" i="1"/>
  <c r="F456" i="1"/>
  <c r="H456" i="1"/>
  <c r="E457" i="1"/>
  <c r="F457" i="1"/>
  <c r="H457" i="1"/>
  <c r="E458" i="1"/>
  <c r="F458" i="1"/>
  <c r="H458" i="1"/>
  <c r="E459" i="1"/>
  <c r="F459" i="1"/>
  <c r="H459" i="1"/>
  <c r="E460" i="1"/>
  <c r="F460" i="1"/>
  <c r="H460" i="1"/>
  <c r="E461" i="1"/>
  <c r="F461" i="1"/>
  <c r="H461" i="1"/>
  <c r="E462" i="1"/>
  <c r="F462" i="1"/>
  <c r="H462" i="1"/>
  <c r="E463" i="1"/>
  <c r="F463" i="1"/>
  <c r="H463" i="1"/>
  <c r="E464" i="1"/>
  <c r="F464" i="1"/>
  <c r="H464" i="1"/>
  <c r="E465" i="1"/>
  <c r="F465" i="1"/>
  <c r="H465" i="1"/>
  <c r="E466" i="1"/>
  <c r="F466" i="1"/>
  <c r="H466" i="1"/>
  <c r="E467" i="1"/>
  <c r="F467" i="1"/>
  <c r="H467" i="1"/>
  <c r="E468" i="1"/>
  <c r="F468" i="1"/>
  <c r="H468" i="1"/>
  <c r="E469" i="1"/>
  <c r="F469" i="1"/>
  <c r="H469" i="1"/>
  <c r="E470" i="1"/>
  <c r="F470" i="1"/>
  <c r="H470" i="1"/>
  <c r="E471" i="1"/>
  <c r="F471" i="1"/>
  <c r="H471" i="1"/>
  <c r="E472" i="1"/>
  <c r="F472" i="1"/>
  <c r="H472" i="1"/>
  <c r="E473" i="1"/>
  <c r="F473" i="1"/>
  <c r="H473" i="1"/>
  <c r="E474" i="1"/>
  <c r="F474" i="1"/>
  <c r="H474" i="1"/>
  <c r="E475" i="1"/>
  <c r="F475" i="1"/>
  <c r="H475" i="1"/>
  <c r="E476" i="1"/>
  <c r="F476" i="1"/>
  <c r="H476" i="1"/>
  <c r="E477" i="1"/>
  <c r="F477" i="1"/>
  <c r="H477" i="1"/>
  <c r="E478" i="1"/>
  <c r="F478" i="1"/>
  <c r="H478" i="1"/>
  <c r="E479" i="1"/>
  <c r="F479" i="1"/>
  <c r="H479" i="1"/>
  <c r="E480" i="1"/>
  <c r="F480" i="1"/>
  <c r="H480" i="1"/>
  <c r="E481" i="1"/>
  <c r="F481" i="1"/>
  <c r="H481" i="1"/>
  <c r="E482" i="1"/>
  <c r="F482" i="1"/>
  <c r="H482" i="1"/>
  <c r="E483" i="1"/>
  <c r="F483" i="1"/>
  <c r="H483" i="1"/>
  <c r="E484" i="1"/>
  <c r="F484" i="1"/>
  <c r="H484" i="1"/>
  <c r="E485" i="1"/>
  <c r="F485" i="1"/>
  <c r="H485" i="1"/>
  <c r="E486" i="1"/>
  <c r="F486" i="1"/>
  <c r="H486" i="1"/>
  <c r="E487" i="1"/>
  <c r="F487" i="1"/>
  <c r="H487" i="1"/>
  <c r="E488" i="1"/>
  <c r="F488" i="1"/>
  <c r="H488" i="1"/>
  <c r="E489" i="1"/>
  <c r="F489" i="1"/>
  <c r="H489" i="1"/>
  <c r="E490" i="1"/>
  <c r="F490" i="1"/>
  <c r="H490" i="1"/>
  <c r="E491" i="1"/>
  <c r="F491" i="1"/>
  <c r="H491" i="1"/>
  <c r="E492" i="1"/>
  <c r="F492" i="1"/>
  <c r="H492" i="1"/>
  <c r="E493" i="1"/>
  <c r="F493" i="1"/>
  <c r="H493" i="1"/>
  <c r="E494" i="1"/>
  <c r="F494" i="1"/>
  <c r="H494" i="1"/>
  <c r="E495" i="1"/>
  <c r="F495" i="1"/>
  <c r="H495" i="1"/>
  <c r="E496" i="1"/>
  <c r="F496" i="1"/>
  <c r="H496" i="1"/>
  <c r="E497" i="1"/>
  <c r="F497" i="1"/>
  <c r="H497" i="1"/>
  <c r="E498" i="1"/>
  <c r="F498" i="1"/>
  <c r="H498" i="1"/>
  <c r="E499" i="1"/>
  <c r="F499" i="1"/>
  <c r="H499" i="1"/>
  <c r="E500" i="1"/>
  <c r="F500" i="1"/>
  <c r="H500" i="1"/>
  <c r="E501" i="1"/>
  <c r="F501" i="1"/>
  <c r="H501" i="1"/>
  <c r="E502" i="1"/>
  <c r="F502" i="1"/>
  <c r="H502" i="1"/>
  <c r="E503" i="1"/>
  <c r="F503" i="1"/>
  <c r="H503" i="1"/>
  <c r="E504" i="1"/>
  <c r="F504" i="1"/>
  <c r="H504" i="1"/>
  <c r="E505" i="1"/>
  <c r="F505" i="1"/>
  <c r="H505" i="1"/>
  <c r="E506" i="1"/>
  <c r="F506" i="1"/>
  <c r="H506" i="1"/>
  <c r="E507" i="1"/>
  <c r="F507" i="1"/>
  <c r="H507" i="1"/>
  <c r="E508" i="1"/>
  <c r="F508" i="1"/>
  <c r="H508" i="1"/>
  <c r="E509" i="1"/>
  <c r="F509" i="1"/>
  <c r="H509" i="1"/>
  <c r="E510" i="1"/>
  <c r="F510" i="1"/>
  <c r="H510" i="1"/>
  <c r="E511" i="1"/>
  <c r="F511" i="1"/>
  <c r="H511" i="1"/>
  <c r="E512" i="1"/>
  <c r="F512" i="1"/>
  <c r="H512" i="1"/>
  <c r="E513" i="1"/>
  <c r="F513" i="1"/>
  <c r="H513" i="1"/>
  <c r="E514" i="1"/>
  <c r="F514" i="1"/>
  <c r="H514" i="1"/>
  <c r="E515" i="1"/>
  <c r="F515" i="1"/>
  <c r="H515" i="1"/>
  <c r="E516" i="1"/>
  <c r="F516" i="1"/>
  <c r="H516" i="1"/>
  <c r="E517" i="1"/>
  <c r="F517" i="1"/>
  <c r="H517" i="1"/>
  <c r="E518" i="1"/>
  <c r="F518" i="1"/>
  <c r="H518" i="1"/>
  <c r="E519" i="1"/>
  <c r="F519" i="1"/>
  <c r="H519" i="1"/>
  <c r="E520" i="1"/>
  <c r="F520" i="1"/>
  <c r="H520" i="1"/>
  <c r="E521" i="1"/>
  <c r="F521" i="1"/>
  <c r="H521" i="1"/>
  <c r="E522" i="1"/>
  <c r="F522" i="1"/>
  <c r="H522" i="1"/>
  <c r="E523" i="1"/>
  <c r="F523" i="1"/>
  <c r="H523" i="1"/>
  <c r="E524" i="1"/>
  <c r="F524" i="1"/>
  <c r="H524" i="1"/>
  <c r="E525" i="1"/>
  <c r="F525" i="1"/>
  <c r="H525" i="1"/>
  <c r="E526" i="1"/>
  <c r="F526" i="1"/>
  <c r="H526" i="1"/>
  <c r="E527" i="1"/>
  <c r="F527" i="1"/>
  <c r="H527" i="1"/>
  <c r="E528" i="1"/>
  <c r="F528" i="1"/>
  <c r="H528" i="1"/>
  <c r="E529" i="1"/>
  <c r="F529" i="1"/>
  <c r="H529" i="1"/>
  <c r="E530" i="1"/>
  <c r="F530" i="1"/>
  <c r="H530" i="1"/>
  <c r="E531" i="1"/>
  <c r="F531" i="1"/>
  <c r="H531" i="1"/>
  <c r="E532" i="1"/>
  <c r="F532" i="1"/>
  <c r="H532" i="1"/>
  <c r="E533" i="1"/>
  <c r="F533" i="1"/>
  <c r="H533" i="1"/>
  <c r="E534" i="1"/>
  <c r="F534" i="1"/>
  <c r="H534" i="1"/>
  <c r="E535" i="1"/>
  <c r="F535" i="1"/>
  <c r="H535" i="1"/>
  <c r="E536" i="1"/>
  <c r="F536" i="1"/>
  <c r="H536" i="1"/>
  <c r="E537" i="1"/>
  <c r="F537" i="1"/>
  <c r="H537" i="1"/>
  <c r="E538" i="1"/>
  <c r="F538" i="1"/>
  <c r="H538" i="1"/>
  <c r="E539" i="1"/>
  <c r="F539" i="1"/>
  <c r="H539" i="1"/>
  <c r="E540" i="1"/>
  <c r="F540" i="1"/>
  <c r="H540" i="1"/>
  <c r="E541" i="1"/>
  <c r="F541" i="1"/>
  <c r="H541" i="1"/>
  <c r="E542" i="1"/>
  <c r="F542" i="1"/>
  <c r="H542" i="1"/>
  <c r="E543" i="1"/>
  <c r="F543" i="1"/>
  <c r="H543" i="1"/>
  <c r="E544" i="1"/>
  <c r="F544" i="1"/>
  <c r="H544" i="1"/>
  <c r="E545" i="1"/>
  <c r="F545" i="1"/>
  <c r="H545" i="1"/>
  <c r="E546" i="1"/>
  <c r="F546" i="1"/>
  <c r="H546" i="1"/>
  <c r="E547" i="1"/>
  <c r="F547" i="1"/>
  <c r="H547" i="1"/>
  <c r="E548" i="1"/>
  <c r="F548" i="1"/>
  <c r="H548" i="1"/>
  <c r="E549" i="1"/>
  <c r="F549" i="1"/>
  <c r="H549" i="1"/>
  <c r="E550" i="1"/>
  <c r="F550" i="1"/>
  <c r="H550" i="1"/>
  <c r="E551" i="1"/>
  <c r="F551" i="1"/>
  <c r="H551" i="1"/>
  <c r="E552" i="1"/>
  <c r="F552" i="1"/>
  <c r="H552" i="1"/>
  <c r="E553" i="1"/>
  <c r="F553" i="1"/>
  <c r="H553" i="1"/>
  <c r="E554" i="1"/>
  <c r="F554" i="1"/>
  <c r="H554" i="1"/>
  <c r="E555" i="1"/>
  <c r="F555" i="1"/>
  <c r="H555" i="1"/>
  <c r="E556" i="1"/>
  <c r="F556" i="1"/>
  <c r="H556" i="1"/>
  <c r="E557" i="1"/>
  <c r="F557" i="1"/>
  <c r="H557" i="1"/>
  <c r="E558" i="1"/>
  <c r="F558" i="1"/>
  <c r="H558" i="1"/>
  <c r="E559" i="1"/>
  <c r="F559" i="1"/>
  <c r="H559" i="1"/>
  <c r="E560" i="1"/>
  <c r="F560" i="1"/>
  <c r="H560" i="1"/>
  <c r="E561" i="1"/>
  <c r="F561" i="1"/>
  <c r="H561" i="1"/>
  <c r="E562" i="1"/>
  <c r="F562" i="1"/>
  <c r="H562" i="1"/>
  <c r="E563" i="1"/>
  <c r="F563" i="1"/>
  <c r="H563" i="1"/>
  <c r="E564" i="1"/>
  <c r="F564" i="1"/>
  <c r="H564" i="1"/>
  <c r="E565" i="1"/>
  <c r="F565" i="1"/>
  <c r="H565" i="1"/>
  <c r="E566" i="1"/>
  <c r="F566" i="1"/>
  <c r="H566" i="1"/>
  <c r="E567" i="1"/>
  <c r="F567" i="1"/>
  <c r="H567" i="1"/>
  <c r="E568" i="1"/>
  <c r="F568" i="1"/>
  <c r="H568" i="1"/>
  <c r="E569" i="1"/>
  <c r="F569" i="1"/>
  <c r="H569" i="1"/>
  <c r="E570" i="1"/>
  <c r="F570" i="1"/>
  <c r="H570" i="1"/>
  <c r="E571" i="1"/>
  <c r="F571" i="1"/>
  <c r="H571" i="1"/>
  <c r="E572" i="1"/>
  <c r="F572" i="1"/>
  <c r="H572" i="1"/>
  <c r="E573" i="1"/>
  <c r="F573" i="1"/>
  <c r="H573" i="1"/>
  <c r="E574" i="1"/>
  <c r="F574" i="1"/>
  <c r="H574" i="1"/>
  <c r="E575" i="1"/>
  <c r="F575" i="1"/>
  <c r="H575" i="1"/>
  <c r="E576" i="1"/>
  <c r="F576" i="1"/>
  <c r="H576" i="1"/>
  <c r="E577" i="1"/>
  <c r="F577" i="1"/>
  <c r="H577" i="1"/>
  <c r="E578" i="1"/>
  <c r="F578" i="1"/>
  <c r="H578" i="1"/>
  <c r="E579" i="1"/>
  <c r="F579" i="1"/>
  <c r="H579" i="1"/>
  <c r="E580" i="1"/>
  <c r="F580" i="1"/>
  <c r="H580" i="1"/>
  <c r="E581" i="1"/>
  <c r="F581" i="1"/>
  <c r="H581" i="1"/>
  <c r="E582" i="1"/>
  <c r="F582" i="1"/>
  <c r="H582" i="1"/>
  <c r="E583" i="1"/>
  <c r="F583" i="1"/>
  <c r="H583" i="1"/>
  <c r="E584" i="1"/>
  <c r="F584" i="1"/>
  <c r="H584" i="1"/>
  <c r="E585" i="1"/>
  <c r="F585" i="1"/>
  <c r="H585" i="1"/>
  <c r="E586" i="1"/>
  <c r="F586" i="1"/>
  <c r="H586" i="1"/>
  <c r="E587" i="1"/>
  <c r="F587" i="1"/>
  <c r="H587" i="1"/>
  <c r="E588" i="1"/>
  <c r="F588" i="1"/>
  <c r="H588" i="1"/>
  <c r="E589" i="1"/>
  <c r="F589" i="1"/>
  <c r="H589" i="1"/>
  <c r="E590" i="1"/>
  <c r="F590" i="1"/>
  <c r="H590" i="1"/>
  <c r="E591" i="1"/>
  <c r="F591" i="1"/>
  <c r="H591" i="1"/>
  <c r="E592" i="1"/>
  <c r="F592" i="1"/>
  <c r="H592" i="1"/>
  <c r="E593" i="1"/>
  <c r="F593" i="1"/>
  <c r="H593" i="1"/>
  <c r="E594" i="1"/>
  <c r="F594" i="1"/>
  <c r="H594" i="1"/>
  <c r="E595" i="1"/>
  <c r="F595" i="1"/>
  <c r="H595" i="1"/>
  <c r="E596" i="1"/>
  <c r="F596" i="1"/>
  <c r="H596" i="1"/>
  <c r="E597" i="1"/>
  <c r="F597" i="1"/>
  <c r="H597" i="1"/>
  <c r="E598" i="1"/>
  <c r="F598" i="1"/>
  <c r="H598" i="1"/>
  <c r="E599" i="1"/>
  <c r="F599" i="1"/>
  <c r="H599" i="1"/>
  <c r="E600" i="1"/>
  <c r="F600" i="1"/>
  <c r="H600" i="1"/>
  <c r="E601" i="1"/>
  <c r="F601" i="1"/>
  <c r="H601" i="1"/>
  <c r="E602" i="1"/>
  <c r="F602" i="1"/>
  <c r="H602" i="1"/>
  <c r="E603" i="1"/>
  <c r="F603" i="1"/>
  <c r="H603" i="1"/>
  <c r="E604" i="1"/>
  <c r="F604" i="1"/>
  <c r="H604" i="1"/>
  <c r="E605" i="1"/>
  <c r="F605" i="1"/>
  <c r="H605" i="1"/>
  <c r="E606" i="1"/>
  <c r="F606" i="1"/>
  <c r="H606" i="1"/>
  <c r="E607" i="1"/>
  <c r="F607" i="1"/>
  <c r="H607" i="1"/>
  <c r="E608" i="1"/>
  <c r="F608" i="1"/>
  <c r="H608" i="1"/>
  <c r="E609" i="1"/>
  <c r="F609" i="1"/>
  <c r="H609" i="1"/>
  <c r="E610" i="1"/>
  <c r="F610" i="1"/>
  <c r="H610" i="1"/>
  <c r="E611" i="1"/>
  <c r="F611" i="1"/>
  <c r="H611" i="1"/>
  <c r="E612" i="1"/>
  <c r="F612" i="1"/>
  <c r="H612" i="1"/>
  <c r="E613" i="1"/>
  <c r="F613" i="1"/>
  <c r="H613" i="1"/>
  <c r="E614" i="1"/>
  <c r="F614" i="1"/>
  <c r="H614" i="1"/>
  <c r="E615" i="1"/>
  <c r="F615" i="1"/>
  <c r="H615" i="1"/>
  <c r="E616" i="1"/>
  <c r="F616" i="1"/>
  <c r="H616" i="1"/>
  <c r="E617" i="1"/>
  <c r="F617" i="1"/>
  <c r="E618" i="1"/>
  <c r="F618" i="1"/>
  <c r="H618" i="1"/>
  <c r="E619" i="1"/>
  <c r="F619" i="1"/>
  <c r="H619" i="1"/>
  <c r="E620" i="1"/>
  <c r="F620" i="1"/>
  <c r="H620" i="1"/>
  <c r="E621" i="1"/>
  <c r="F621" i="1"/>
  <c r="H621" i="1"/>
  <c r="E622" i="1"/>
  <c r="F622" i="1"/>
  <c r="H622" i="1"/>
  <c r="E623" i="1"/>
  <c r="F623" i="1"/>
  <c r="H623" i="1"/>
  <c r="E624" i="1"/>
  <c r="F624" i="1"/>
  <c r="H624" i="1"/>
  <c r="E625" i="1"/>
  <c r="F625" i="1"/>
  <c r="H625" i="1"/>
  <c r="E626" i="1"/>
  <c r="F626" i="1"/>
  <c r="H626" i="1"/>
  <c r="E627" i="1"/>
  <c r="F627" i="1"/>
  <c r="H627" i="1"/>
  <c r="E628" i="1"/>
  <c r="F628" i="1"/>
  <c r="H628" i="1"/>
  <c r="E629" i="1"/>
  <c r="F629" i="1"/>
  <c r="H629" i="1"/>
  <c r="E630" i="1"/>
  <c r="F630" i="1"/>
  <c r="H630" i="1"/>
  <c r="E631" i="1"/>
  <c r="F631" i="1"/>
  <c r="H631" i="1"/>
  <c r="E632" i="1"/>
  <c r="F632" i="1"/>
  <c r="H632" i="1"/>
  <c r="E633" i="1"/>
  <c r="F633" i="1"/>
  <c r="H633" i="1"/>
  <c r="E634" i="1"/>
  <c r="F634" i="1"/>
  <c r="H634" i="1"/>
  <c r="E635" i="1"/>
  <c r="F635" i="1"/>
  <c r="H635" i="1"/>
  <c r="E636" i="1"/>
  <c r="F636" i="1"/>
  <c r="H636" i="1"/>
  <c r="E637" i="1"/>
  <c r="F637" i="1"/>
  <c r="H637" i="1"/>
  <c r="E638" i="1"/>
  <c r="F638" i="1"/>
  <c r="H638" i="1"/>
  <c r="E639" i="1"/>
  <c r="F639" i="1"/>
  <c r="H639" i="1"/>
  <c r="E640" i="1"/>
  <c r="F640" i="1"/>
  <c r="H640" i="1"/>
  <c r="E641" i="1"/>
  <c r="F641" i="1"/>
  <c r="H641" i="1"/>
  <c r="E642" i="1"/>
  <c r="F642" i="1"/>
  <c r="H642" i="1"/>
  <c r="E643" i="1"/>
  <c r="F643" i="1"/>
  <c r="H643" i="1"/>
  <c r="E644" i="1"/>
  <c r="F644" i="1"/>
  <c r="H644" i="1"/>
  <c r="E645" i="1"/>
  <c r="F645" i="1"/>
  <c r="H645" i="1"/>
  <c r="E646" i="1"/>
  <c r="F646" i="1"/>
  <c r="H646" i="1"/>
  <c r="E647" i="1"/>
  <c r="F647" i="1"/>
  <c r="H647" i="1"/>
  <c r="E648" i="1"/>
  <c r="F648" i="1"/>
  <c r="H648" i="1"/>
  <c r="E649" i="1"/>
  <c r="F649" i="1"/>
  <c r="H649" i="1"/>
  <c r="E650" i="1"/>
  <c r="F650" i="1"/>
  <c r="H650" i="1"/>
  <c r="E651" i="1"/>
  <c r="F651" i="1"/>
  <c r="H651" i="1"/>
  <c r="E652" i="1"/>
  <c r="F652" i="1"/>
  <c r="H652" i="1"/>
  <c r="E653" i="1"/>
  <c r="F653" i="1"/>
  <c r="H653" i="1"/>
  <c r="E654" i="1"/>
  <c r="F654" i="1"/>
  <c r="H654" i="1"/>
  <c r="E655" i="1"/>
  <c r="F655" i="1"/>
  <c r="H655" i="1"/>
  <c r="E656" i="1"/>
  <c r="F656" i="1"/>
  <c r="H656" i="1"/>
  <c r="E657" i="1"/>
  <c r="F657" i="1"/>
  <c r="H657" i="1"/>
  <c r="E658" i="1"/>
  <c r="F658" i="1"/>
  <c r="H658" i="1"/>
  <c r="E659" i="1"/>
  <c r="F659" i="1"/>
  <c r="H659" i="1"/>
  <c r="E660" i="1"/>
  <c r="F660" i="1"/>
  <c r="H660" i="1"/>
  <c r="E661" i="1"/>
  <c r="F661" i="1"/>
  <c r="H661" i="1"/>
  <c r="E662" i="1"/>
  <c r="F662" i="1"/>
  <c r="H662" i="1"/>
  <c r="E663" i="1"/>
  <c r="F663" i="1"/>
  <c r="H663" i="1"/>
  <c r="E664" i="1"/>
  <c r="F664" i="1"/>
  <c r="H664" i="1"/>
  <c r="E665" i="1"/>
  <c r="F665" i="1"/>
  <c r="H665" i="1"/>
  <c r="E666" i="1"/>
  <c r="F666" i="1"/>
  <c r="H666" i="1"/>
  <c r="E667" i="1"/>
  <c r="F667" i="1"/>
  <c r="H667" i="1"/>
  <c r="E668" i="1"/>
  <c r="F668" i="1"/>
  <c r="H668" i="1"/>
  <c r="E669" i="1"/>
  <c r="F669" i="1"/>
  <c r="H669" i="1"/>
  <c r="E670" i="1"/>
  <c r="F670" i="1"/>
  <c r="H670" i="1"/>
  <c r="E671" i="1"/>
  <c r="F671" i="1"/>
  <c r="H671" i="1"/>
  <c r="E672" i="1"/>
  <c r="F672" i="1"/>
  <c r="H672" i="1"/>
  <c r="E673" i="1"/>
  <c r="F673" i="1"/>
  <c r="H673" i="1"/>
  <c r="E674" i="1"/>
  <c r="F674" i="1"/>
  <c r="H674" i="1"/>
  <c r="E675" i="1"/>
  <c r="F675" i="1"/>
  <c r="H675" i="1"/>
  <c r="E676" i="1"/>
  <c r="F676" i="1"/>
  <c r="H676" i="1"/>
  <c r="E677" i="1"/>
  <c r="F677" i="1"/>
  <c r="H677" i="1"/>
  <c r="E678" i="1"/>
  <c r="F678" i="1"/>
  <c r="H678" i="1"/>
  <c r="E679" i="1"/>
  <c r="F679" i="1"/>
  <c r="H679" i="1"/>
  <c r="E680" i="1"/>
  <c r="F680" i="1"/>
  <c r="H680" i="1"/>
  <c r="E681" i="1"/>
  <c r="F681" i="1"/>
  <c r="H681" i="1"/>
  <c r="E682" i="1"/>
  <c r="F682" i="1"/>
  <c r="H682" i="1"/>
  <c r="E683" i="1"/>
  <c r="F683" i="1"/>
  <c r="H683" i="1"/>
  <c r="E684" i="1"/>
  <c r="F684" i="1"/>
  <c r="H684" i="1"/>
  <c r="E685" i="1"/>
  <c r="F685" i="1"/>
  <c r="H685" i="1"/>
  <c r="E686" i="1"/>
  <c r="F686" i="1"/>
  <c r="H686" i="1"/>
  <c r="E687" i="1"/>
  <c r="F687" i="1"/>
  <c r="H687" i="1"/>
  <c r="E688" i="1"/>
  <c r="F688" i="1"/>
  <c r="H688" i="1"/>
  <c r="E689" i="1"/>
  <c r="F689" i="1"/>
  <c r="H689" i="1"/>
  <c r="E690" i="1"/>
  <c r="F690" i="1"/>
  <c r="H690" i="1"/>
  <c r="E691" i="1"/>
  <c r="F691" i="1"/>
  <c r="H691" i="1"/>
  <c r="E692" i="1"/>
  <c r="F692" i="1"/>
  <c r="H692" i="1"/>
  <c r="E693" i="1"/>
  <c r="F693" i="1"/>
  <c r="H693" i="1"/>
  <c r="E694" i="1"/>
  <c r="F694" i="1"/>
  <c r="H694" i="1"/>
  <c r="E695" i="1"/>
  <c r="F695" i="1"/>
  <c r="H695" i="1"/>
  <c r="E696" i="1"/>
  <c r="F696" i="1"/>
  <c r="H696" i="1"/>
  <c r="E697" i="1"/>
  <c r="F697" i="1"/>
  <c r="H697" i="1"/>
  <c r="E698" i="1"/>
  <c r="F698" i="1"/>
  <c r="H698" i="1"/>
  <c r="E699" i="1"/>
  <c r="F699" i="1"/>
  <c r="H699" i="1"/>
  <c r="E700" i="1"/>
  <c r="F700" i="1"/>
  <c r="H700" i="1"/>
  <c r="E701" i="1"/>
  <c r="F701" i="1"/>
  <c r="H701" i="1"/>
  <c r="E702" i="1"/>
  <c r="F702" i="1"/>
  <c r="H702" i="1"/>
  <c r="E703" i="1"/>
  <c r="F703" i="1"/>
  <c r="H703" i="1"/>
  <c r="E704" i="1"/>
  <c r="F704" i="1"/>
  <c r="H704" i="1"/>
  <c r="E705" i="1"/>
  <c r="F705" i="1"/>
  <c r="H705" i="1"/>
  <c r="E706" i="1"/>
  <c r="F706" i="1"/>
  <c r="H706" i="1"/>
  <c r="E707" i="1"/>
  <c r="F707" i="1"/>
  <c r="H707" i="1"/>
  <c r="E708" i="1"/>
  <c r="F708" i="1"/>
  <c r="H708" i="1"/>
  <c r="E709" i="1"/>
  <c r="F709" i="1"/>
  <c r="H709" i="1"/>
  <c r="E710" i="1"/>
  <c r="F710" i="1"/>
  <c r="H710" i="1"/>
  <c r="E711" i="1"/>
  <c r="F711" i="1"/>
  <c r="H711" i="1"/>
  <c r="E712" i="1"/>
  <c r="F712" i="1"/>
  <c r="H712" i="1"/>
  <c r="E713" i="1"/>
  <c r="F713" i="1"/>
  <c r="H713" i="1"/>
  <c r="E714" i="1"/>
  <c r="F714" i="1"/>
  <c r="H714" i="1"/>
  <c r="E715" i="1"/>
  <c r="F715" i="1"/>
  <c r="H715" i="1"/>
  <c r="E716" i="1"/>
  <c r="F716" i="1"/>
  <c r="H716" i="1"/>
  <c r="E717" i="1"/>
  <c r="F717" i="1"/>
  <c r="H717" i="1"/>
  <c r="E718" i="1"/>
  <c r="F718" i="1"/>
  <c r="H718" i="1"/>
  <c r="E719" i="1"/>
  <c r="F719" i="1"/>
  <c r="H719" i="1"/>
  <c r="E720" i="1"/>
  <c r="F720" i="1"/>
  <c r="H720" i="1"/>
  <c r="E721" i="1"/>
  <c r="F721" i="1"/>
  <c r="H721" i="1"/>
  <c r="E722" i="1"/>
  <c r="F722" i="1"/>
  <c r="H722" i="1"/>
  <c r="E723" i="1"/>
  <c r="F723" i="1"/>
  <c r="H723" i="1"/>
  <c r="E724" i="1"/>
  <c r="F724" i="1"/>
  <c r="H724" i="1"/>
  <c r="E725" i="1"/>
  <c r="F725" i="1"/>
  <c r="H725" i="1"/>
  <c r="E726" i="1"/>
  <c r="F726" i="1"/>
  <c r="H726" i="1"/>
  <c r="E727" i="1"/>
  <c r="F727" i="1"/>
  <c r="H727" i="1"/>
  <c r="E728" i="1"/>
  <c r="F728" i="1"/>
  <c r="H728" i="1"/>
  <c r="E729" i="1"/>
  <c r="F729" i="1"/>
  <c r="H729" i="1"/>
  <c r="E730" i="1"/>
  <c r="F730" i="1"/>
  <c r="H730" i="1"/>
  <c r="E731" i="1"/>
  <c r="F731" i="1"/>
  <c r="H731" i="1"/>
  <c r="E732" i="1"/>
  <c r="F732" i="1"/>
  <c r="H732" i="1"/>
  <c r="E733" i="1"/>
  <c r="F733" i="1"/>
  <c r="H733" i="1"/>
  <c r="E734" i="1"/>
  <c r="F734" i="1"/>
  <c r="H734" i="1"/>
  <c r="E735" i="1"/>
  <c r="F735" i="1"/>
  <c r="H735" i="1"/>
  <c r="E736" i="1"/>
  <c r="F736" i="1"/>
  <c r="H736" i="1"/>
  <c r="E737" i="1"/>
  <c r="F737" i="1"/>
  <c r="H737" i="1"/>
  <c r="E738" i="1"/>
  <c r="F738" i="1"/>
  <c r="H738" i="1"/>
  <c r="E739" i="1"/>
  <c r="F739" i="1"/>
  <c r="H739" i="1"/>
  <c r="E740" i="1"/>
  <c r="F740" i="1"/>
  <c r="H740" i="1"/>
  <c r="E741" i="1"/>
  <c r="F741" i="1"/>
  <c r="H741" i="1"/>
  <c r="E742" i="1"/>
  <c r="F742" i="1"/>
  <c r="H742" i="1"/>
  <c r="E743" i="1"/>
  <c r="F743" i="1"/>
  <c r="H743" i="1"/>
  <c r="E744" i="1"/>
  <c r="F744" i="1"/>
  <c r="H744" i="1"/>
  <c r="E745" i="1"/>
  <c r="F745" i="1"/>
  <c r="H745" i="1"/>
  <c r="E746" i="1"/>
  <c r="F746" i="1"/>
  <c r="H746" i="1"/>
  <c r="E747" i="1"/>
  <c r="F747" i="1"/>
  <c r="H747" i="1"/>
  <c r="G748" i="1"/>
  <c r="H748" i="1"/>
  <c r="I748" i="1"/>
  <c r="E749" i="1"/>
  <c r="F749" i="1"/>
  <c r="H749" i="1"/>
  <c r="E750" i="1"/>
  <c r="F750" i="1"/>
  <c r="H750" i="1"/>
  <c r="E751" i="1"/>
  <c r="F751" i="1"/>
  <c r="H751" i="1"/>
  <c r="E752" i="1"/>
  <c r="F752" i="1"/>
  <c r="H752" i="1"/>
  <c r="E753" i="1"/>
  <c r="F753" i="1"/>
  <c r="H753" i="1"/>
  <c r="E754" i="1"/>
  <c r="F754" i="1"/>
  <c r="H754" i="1"/>
  <c r="E755" i="1"/>
  <c r="F755" i="1"/>
  <c r="H755" i="1"/>
  <c r="E756" i="1"/>
  <c r="F756" i="1"/>
  <c r="H756" i="1"/>
  <c r="E757" i="1"/>
  <c r="F757" i="1"/>
  <c r="H757" i="1"/>
  <c r="E758" i="1"/>
  <c r="F758" i="1"/>
  <c r="H758" i="1"/>
  <c r="E759" i="1"/>
  <c r="F759" i="1"/>
  <c r="H759" i="1"/>
  <c r="E760" i="1"/>
  <c r="F760" i="1"/>
  <c r="H760" i="1"/>
  <c r="E761" i="1"/>
  <c r="F761" i="1"/>
  <c r="H761" i="1"/>
  <c r="E762" i="1"/>
  <c r="F762" i="1"/>
  <c r="H762" i="1"/>
  <c r="E763" i="1"/>
  <c r="F763" i="1"/>
  <c r="H763" i="1"/>
  <c r="E764" i="1"/>
  <c r="F764" i="1"/>
  <c r="H764" i="1"/>
  <c r="E765" i="1"/>
  <c r="F765" i="1"/>
  <c r="H765" i="1"/>
  <c r="E766" i="1"/>
  <c r="F766" i="1"/>
  <c r="H766" i="1"/>
  <c r="E767" i="1"/>
  <c r="F767" i="1"/>
  <c r="H767" i="1"/>
  <c r="E768" i="1"/>
  <c r="F768" i="1"/>
  <c r="H768" i="1"/>
  <c r="E769" i="1"/>
  <c r="F769" i="1"/>
  <c r="H769" i="1"/>
  <c r="E770" i="1"/>
  <c r="F770" i="1"/>
  <c r="H770" i="1"/>
  <c r="E771" i="1"/>
  <c r="F771" i="1"/>
  <c r="H771" i="1"/>
  <c r="E772" i="1"/>
  <c r="F772" i="1"/>
  <c r="H772" i="1"/>
  <c r="E773" i="1"/>
  <c r="F773" i="1"/>
  <c r="H773" i="1"/>
  <c r="E774" i="1"/>
  <c r="F774" i="1"/>
  <c r="H774" i="1"/>
  <c r="E775" i="1"/>
  <c r="F775" i="1"/>
  <c r="H775" i="1"/>
  <c r="E776" i="1"/>
  <c r="F776" i="1"/>
  <c r="H776" i="1"/>
  <c r="E777" i="1"/>
  <c r="F777" i="1"/>
  <c r="H777" i="1"/>
  <c r="E778" i="1"/>
  <c r="F778" i="1"/>
  <c r="H778" i="1"/>
  <c r="E779" i="1"/>
  <c r="F779" i="1"/>
  <c r="H779" i="1"/>
  <c r="E780" i="1"/>
  <c r="F780" i="1"/>
  <c r="H780" i="1"/>
  <c r="E781" i="1"/>
  <c r="F781" i="1"/>
  <c r="H781" i="1"/>
  <c r="E782" i="1"/>
  <c r="F782" i="1"/>
  <c r="H782" i="1"/>
  <c r="E783" i="1"/>
  <c r="F783" i="1"/>
  <c r="H783" i="1"/>
  <c r="E784" i="1"/>
  <c r="F784" i="1"/>
  <c r="H784" i="1"/>
  <c r="E785" i="1"/>
  <c r="F785" i="1"/>
  <c r="H785" i="1"/>
  <c r="E786" i="1"/>
  <c r="F786" i="1"/>
  <c r="H786" i="1"/>
  <c r="E787" i="1"/>
  <c r="F787" i="1"/>
  <c r="H787" i="1"/>
  <c r="E788" i="1"/>
  <c r="F788" i="1"/>
  <c r="H788" i="1"/>
  <c r="E789" i="1"/>
  <c r="F789" i="1"/>
  <c r="H789" i="1"/>
  <c r="E790" i="1"/>
  <c r="F790" i="1"/>
  <c r="H790" i="1"/>
  <c r="E791" i="1"/>
  <c r="F791" i="1"/>
  <c r="H791" i="1"/>
  <c r="E792" i="1"/>
  <c r="F792" i="1"/>
  <c r="H792" i="1"/>
  <c r="E793" i="1"/>
  <c r="F793" i="1"/>
  <c r="H793" i="1"/>
  <c r="E794" i="1"/>
  <c r="F794" i="1"/>
  <c r="H794" i="1"/>
  <c r="E795" i="1"/>
  <c r="F795" i="1"/>
  <c r="H795" i="1"/>
  <c r="E796" i="1"/>
  <c r="F796" i="1"/>
  <c r="H796" i="1"/>
  <c r="E797" i="1"/>
  <c r="F797" i="1"/>
  <c r="H797" i="1"/>
  <c r="E798" i="1"/>
  <c r="F798" i="1"/>
  <c r="H798" i="1"/>
  <c r="E799" i="1"/>
  <c r="F799" i="1"/>
  <c r="H799" i="1"/>
  <c r="E800" i="1"/>
  <c r="F800" i="1"/>
  <c r="H800" i="1"/>
  <c r="E801" i="1"/>
  <c r="F801" i="1"/>
  <c r="H801" i="1"/>
  <c r="E802" i="1"/>
  <c r="F802" i="1"/>
  <c r="H802" i="1"/>
  <c r="E803" i="1"/>
  <c r="F803" i="1"/>
  <c r="H803" i="1"/>
  <c r="E804" i="1"/>
  <c r="F804" i="1"/>
  <c r="H804" i="1"/>
  <c r="E805" i="1"/>
  <c r="F805" i="1"/>
  <c r="H805" i="1"/>
  <c r="E806" i="1"/>
  <c r="F806" i="1"/>
  <c r="H806" i="1"/>
  <c r="E807" i="1"/>
  <c r="F807" i="1"/>
  <c r="H807" i="1"/>
  <c r="E808" i="1"/>
  <c r="F808" i="1"/>
  <c r="H808" i="1"/>
  <c r="E809" i="1"/>
  <c r="F809" i="1"/>
  <c r="H809" i="1"/>
  <c r="E810" i="1"/>
  <c r="F810" i="1"/>
  <c r="H810" i="1"/>
  <c r="E811" i="1"/>
  <c r="F811" i="1"/>
  <c r="H811" i="1"/>
  <c r="E812" i="1"/>
  <c r="F812" i="1"/>
  <c r="H812" i="1"/>
  <c r="E813" i="1"/>
  <c r="F813" i="1"/>
  <c r="H813" i="1"/>
  <c r="E814" i="1"/>
  <c r="F814" i="1"/>
  <c r="H814" i="1"/>
  <c r="E815" i="1"/>
  <c r="F815" i="1"/>
  <c r="H815" i="1"/>
  <c r="E816" i="1"/>
  <c r="F816" i="1"/>
  <c r="H816" i="1"/>
  <c r="E817" i="1"/>
  <c r="F817" i="1"/>
  <c r="H817" i="1"/>
  <c r="E818" i="1"/>
  <c r="F818" i="1"/>
  <c r="H818" i="1"/>
  <c r="E819" i="1"/>
  <c r="F819" i="1"/>
  <c r="H819" i="1"/>
  <c r="E820" i="1"/>
  <c r="F820" i="1"/>
  <c r="H820" i="1"/>
  <c r="E821" i="1"/>
  <c r="F821" i="1"/>
  <c r="H821" i="1"/>
  <c r="E822" i="1"/>
  <c r="F822" i="1"/>
  <c r="H822" i="1"/>
  <c r="E823" i="1"/>
  <c r="F823" i="1"/>
  <c r="H823" i="1"/>
  <c r="E824" i="1"/>
  <c r="F824" i="1"/>
  <c r="H824" i="1"/>
  <c r="E825" i="1"/>
  <c r="F825" i="1"/>
  <c r="H825" i="1"/>
  <c r="E826" i="1"/>
  <c r="F826" i="1"/>
  <c r="H826" i="1"/>
  <c r="E827" i="1"/>
  <c r="F827" i="1"/>
  <c r="H827" i="1"/>
  <c r="E828" i="1"/>
  <c r="F828" i="1"/>
  <c r="H828" i="1"/>
  <c r="E829" i="1"/>
  <c r="F829" i="1"/>
  <c r="H829" i="1"/>
  <c r="E830" i="1"/>
  <c r="F830" i="1"/>
  <c r="H830" i="1"/>
  <c r="E831" i="1"/>
  <c r="F831" i="1"/>
  <c r="H831" i="1"/>
  <c r="E832" i="1"/>
  <c r="F832" i="1"/>
  <c r="H832" i="1"/>
  <c r="E833" i="1"/>
  <c r="F833" i="1"/>
  <c r="H833" i="1"/>
  <c r="E834" i="1"/>
  <c r="F834" i="1"/>
  <c r="H834" i="1"/>
  <c r="E835" i="1"/>
  <c r="F835" i="1"/>
  <c r="H835" i="1"/>
  <c r="E836" i="1"/>
  <c r="F836" i="1"/>
  <c r="H836" i="1"/>
  <c r="E837" i="1"/>
  <c r="F837" i="1"/>
  <c r="H837" i="1"/>
  <c r="E838" i="1"/>
  <c r="F838" i="1"/>
  <c r="H838" i="1"/>
  <c r="E839" i="1"/>
  <c r="F839" i="1"/>
  <c r="H839" i="1"/>
  <c r="E840" i="1"/>
  <c r="F840" i="1"/>
  <c r="H840" i="1"/>
  <c r="E841" i="1"/>
  <c r="F841" i="1"/>
  <c r="H841" i="1"/>
  <c r="E842" i="1"/>
  <c r="F842" i="1"/>
  <c r="H842" i="1"/>
  <c r="E843" i="1"/>
  <c r="F843" i="1"/>
  <c r="H843" i="1"/>
  <c r="E844" i="1"/>
  <c r="F844" i="1"/>
  <c r="H844" i="1"/>
  <c r="E845" i="1"/>
  <c r="F845" i="1"/>
  <c r="H845" i="1"/>
  <c r="E846" i="1"/>
  <c r="F846" i="1"/>
  <c r="H846" i="1"/>
  <c r="E847" i="1"/>
  <c r="F847" i="1"/>
  <c r="H847" i="1"/>
  <c r="E848" i="1"/>
  <c r="F848" i="1"/>
  <c r="H848" i="1"/>
  <c r="E849" i="1"/>
  <c r="F849" i="1"/>
  <c r="H849" i="1"/>
  <c r="E850" i="1"/>
  <c r="F850" i="1"/>
  <c r="H850" i="1"/>
  <c r="E851" i="1"/>
  <c r="F851" i="1"/>
  <c r="H851" i="1"/>
  <c r="E852" i="1"/>
  <c r="F852" i="1"/>
  <c r="H852" i="1"/>
  <c r="E853" i="1"/>
  <c r="F853" i="1"/>
  <c r="H853" i="1"/>
  <c r="E854" i="1"/>
  <c r="F854" i="1"/>
  <c r="H854" i="1"/>
  <c r="E855" i="1"/>
  <c r="F855" i="1"/>
  <c r="H855" i="1"/>
  <c r="E856" i="1"/>
  <c r="F856" i="1"/>
  <c r="H856" i="1"/>
  <c r="E857" i="1"/>
  <c r="F857" i="1"/>
  <c r="H857" i="1"/>
  <c r="E858" i="1"/>
  <c r="F858" i="1"/>
  <c r="H858" i="1"/>
  <c r="E859" i="1"/>
  <c r="F859" i="1"/>
  <c r="H859" i="1"/>
  <c r="E860" i="1"/>
  <c r="F860" i="1"/>
  <c r="H860" i="1"/>
  <c r="E861" i="1"/>
  <c r="F861" i="1"/>
  <c r="H861" i="1"/>
  <c r="E862" i="1"/>
  <c r="F862" i="1"/>
  <c r="H862" i="1"/>
  <c r="E863" i="1"/>
  <c r="F863" i="1"/>
  <c r="H863" i="1"/>
  <c r="E864" i="1"/>
  <c r="F864" i="1"/>
  <c r="H864" i="1"/>
  <c r="E865" i="1"/>
  <c r="F865" i="1"/>
  <c r="H865" i="1"/>
  <c r="E866" i="1"/>
  <c r="F866" i="1"/>
  <c r="H866" i="1"/>
  <c r="E867" i="1"/>
  <c r="F867" i="1"/>
  <c r="H867" i="1"/>
  <c r="E868" i="1"/>
  <c r="F868" i="1"/>
  <c r="H868" i="1"/>
  <c r="E869" i="1"/>
  <c r="F869" i="1"/>
  <c r="H869" i="1"/>
  <c r="E870" i="1"/>
  <c r="F870" i="1"/>
  <c r="H870" i="1"/>
  <c r="E871" i="1"/>
  <c r="F871" i="1"/>
  <c r="H871" i="1"/>
  <c r="E872" i="1"/>
  <c r="F872" i="1"/>
  <c r="H872" i="1"/>
  <c r="E873" i="1"/>
  <c r="F873" i="1"/>
  <c r="H873" i="1"/>
  <c r="E874" i="1"/>
  <c r="F874" i="1"/>
  <c r="H874" i="1"/>
  <c r="E875" i="1"/>
  <c r="F875" i="1"/>
  <c r="H875" i="1"/>
  <c r="E876" i="1"/>
  <c r="F876" i="1"/>
  <c r="H876" i="1"/>
  <c r="E877" i="1"/>
  <c r="F877" i="1"/>
  <c r="H877" i="1"/>
  <c r="E878" i="1"/>
  <c r="F878" i="1"/>
  <c r="H878" i="1"/>
  <c r="E879" i="1"/>
  <c r="F879" i="1"/>
  <c r="H879" i="1"/>
  <c r="E880" i="1"/>
  <c r="F880" i="1"/>
  <c r="H880" i="1"/>
  <c r="E881" i="1"/>
  <c r="F881" i="1"/>
  <c r="H881" i="1"/>
  <c r="E882" i="1"/>
  <c r="F882" i="1"/>
  <c r="H882" i="1"/>
  <c r="E883" i="1"/>
  <c r="F883" i="1"/>
  <c r="H883" i="1"/>
  <c r="E884" i="1"/>
  <c r="F884" i="1"/>
  <c r="H884" i="1"/>
  <c r="E885" i="1"/>
  <c r="F885" i="1"/>
  <c r="H885" i="1"/>
  <c r="E886" i="1"/>
  <c r="F886" i="1"/>
  <c r="H886" i="1"/>
  <c r="E887" i="1"/>
  <c r="F887" i="1"/>
  <c r="H887" i="1"/>
  <c r="E888" i="1"/>
  <c r="F888" i="1"/>
  <c r="H888" i="1"/>
  <c r="E889" i="1"/>
  <c r="F889" i="1"/>
  <c r="H889" i="1"/>
  <c r="E890" i="1"/>
  <c r="F890" i="1"/>
  <c r="H890" i="1"/>
  <c r="E891" i="1"/>
  <c r="F891" i="1"/>
  <c r="H891" i="1"/>
  <c r="E892" i="1"/>
  <c r="F892" i="1"/>
  <c r="H892" i="1"/>
  <c r="E893" i="1"/>
  <c r="F893" i="1"/>
  <c r="H893" i="1"/>
  <c r="E894" i="1"/>
  <c r="F894" i="1"/>
  <c r="H894" i="1"/>
  <c r="E895" i="1"/>
  <c r="F895" i="1"/>
  <c r="H895" i="1"/>
  <c r="E896" i="1"/>
  <c r="F896" i="1"/>
  <c r="H896" i="1"/>
  <c r="E897" i="1"/>
  <c r="F897" i="1"/>
  <c r="H897" i="1"/>
  <c r="E898" i="1"/>
  <c r="F898" i="1"/>
  <c r="H898" i="1"/>
  <c r="E899" i="1"/>
  <c r="F899" i="1"/>
  <c r="H899" i="1"/>
  <c r="E900" i="1"/>
  <c r="F900" i="1"/>
  <c r="H900" i="1"/>
  <c r="E901" i="1"/>
  <c r="F901" i="1"/>
  <c r="H901" i="1"/>
  <c r="E902" i="1"/>
  <c r="F902" i="1"/>
  <c r="H902" i="1"/>
  <c r="E903" i="1"/>
  <c r="F903" i="1"/>
  <c r="H903" i="1"/>
  <c r="E904" i="1"/>
  <c r="F904" i="1"/>
  <c r="H904" i="1"/>
  <c r="E905" i="1"/>
  <c r="F905" i="1"/>
  <c r="H905" i="1"/>
  <c r="E906" i="1"/>
  <c r="F906" i="1"/>
  <c r="H906" i="1"/>
  <c r="E907" i="1"/>
  <c r="F907" i="1"/>
  <c r="H907" i="1"/>
  <c r="E908" i="1"/>
  <c r="F908" i="1"/>
  <c r="H908" i="1"/>
  <c r="E909" i="1"/>
  <c r="F909" i="1"/>
  <c r="H909" i="1"/>
  <c r="E910" i="1"/>
  <c r="F910" i="1"/>
  <c r="H910" i="1"/>
  <c r="E911" i="1"/>
  <c r="F911" i="1"/>
  <c r="H911" i="1"/>
  <c r="E912" i="1"/>
  <c r="F912" i="1"/>
  <c r="H912" i="1"/>
  <c r="E913" i="1"/>
  <c r="F913" i="1"/>
  <c r="H913" i="1"/>
  <c r="E914" i="1"/>
  <c r="F914" i="1"/>
  <c r="H914" i="1"/>
  <c r="E915" i="1"/>
  <c r="F915" i="1"/>
  <c r="H915" i="1"/>
  <c r="E916" i="1"/>
  <c r="F916" i="1"/>
  <c r="H916" i="1"/>
  <c r="E917" i="1"/>
  <c r="F917" i="1"/>
  <c r="H917" i="1"/>
  <c r="E918" i="1"/>
  <c r="F918" i="1"/>
  <c r="H918" i="1"/>
  <c r="E919" i="1"/>
  <c r="F919" i="1"/>
  <c r="H919" i="1"/>
  <c r="E920" i="1"/>
  <c r="F920" i="1"/>
  <c r="H920" i="1"/>
  <c r="E921" i="1"/>
  <c r="F921" i="1"/>
  <c r="H921" i="1"/>
  <c r="E922" i="1"/>
  <c r="F922" i="1"/>
  <c r="H922" i="1"/>
  <c r="E923" i="1"/>
  <c r="F923" i="1"/>
  <c r="H923" i="1"/>
  <c r="E924" i="1"/>
  <c r="F924" i="1"/>
  <c r="H924" i="1"/>
  <c r="E925" i="1"/>
  <c r="F925" i="1"/>
  <c r="H925" i="1"/>
  <c r="E926" i="1"/>
  <c r="F926" i="1"/>
  <c r="H926" i="1"/>
  <c r="E927" i="1"/>
  <c r="F927" i="1"/>
  <c r="H927" i="1"/>
  <c r="E928" i="1"/>
  <c r="F928" i="1"/>
  <c r="H928" i="1"/>
  <c r="E929" i="1"/>
  <c r="F929" i="1"/>
  <c r="H929" i="1"/>
  <c r="E930" i="1"/>
  <c r="F930" i="1"/>
  <c r="H930" i="1"/>
  <c r="E931" i="1"/>
  <c r="F931" i="1"/>
  <c r="H931" i="1"/>
  <c r="E932" i="1"/>
  <c r="F932" i="1"/>
  <c r="H932" i="1"/>
  <c r="E933" i="1"/>
  <c r="F933" i="1"/>
  <c r="H933" i="1"/>
  <c r="E934" i="1"/>
  <c r="F934" i="1"/>
  <c r="H934" i="1"/>
  <c r="E935" i="1"/>
  <c r="F935" i="1"/>
  <c r="H935" i="1"/>
  <c r="E936" i="1"/>
  <c r="F936" i="1"/>
  <c r="H936" i="1"/>
  <c r="E937" i="1"/>
  <c r="F937" i="1"/>
  <c r="H937" i="1"/>
  <c r="E938" i="1"/>
  <c r="F938" i="1"/>
  <c r="H938" i="1"/>
  <c r="E939" i="1"/>
  <c r="F939" i="1"/>
  <c r="H939" i="1"/>
  <c r="E940" i="1"/>
  <c r="F940" i="1"/>
  <c r="H940" i="1"/>
  <c r="E941" i="1"/>
  <c r="F941" i="1"/>
  <c r="H941" i="1"/>
  <c r="E942" i="1"/>
  <c r="F942" i="1"/>
  <c r="H942" i="1"/>
  <c r="E943" i="1"/>
  <c r="F943" i="1"/>
  <c r="H943" i="1"/>
  <c r="E944" i="1"/>
  <c r="F944" i="1"/>
  <c r="H944" i="1"/>
  <c r="E945" i="1"/>
  <c r="F945" i="1"/>
  <c r="H945" i="1"/>
  <c r="E946" i="1"/>
  <c r="F946" i="1"/>
  <c r="H946" i="1"/>
  <c r="E947" i="1"/>
  <c r="F947" i="1"/>
  <c r="H947" i="1"/>
  <c r="E948" i="1"/>
  <c r="F948" i="1"/>
  <c r="H948" i="1"/>
  <c r="E949" i="1"/>
  <c r="F949" i="1"/>
  <c r="H949" i="1"/>
  <c r="E950" i="1"/>
  <c r="F950" i="1"/>
  <c r="H950" i="1"/>
  <c r="E951" i="1"/>
  <c r="F951" i="1"/>
  <c r="H951" i="1"/>
  <c r="E952" i="1"/>
  <c r="F952" i="1"/>
  <c r="H952" i="1"/>
  <c r="E953" i="1"/>
  <c r="F953" i="1"/>
  <c r="H953" i="1"/>
  <c r="E954" i="1"/>
  <c r="F954" i="1"/>
  <c r="H954" i="1"/>
  <c r="E955" i="1"/>
  <c r="F955" i="1"/>
  <c r="H955" i="1"/>
  <c r="E956" i="1"/>
  <c r="F956" i="1"/>
  <c r="H956" i="1"/>
  <c r="E957" i="1"/>
  <c r="F957" i="1"/>
  <c r="H957" i="1"/>
  <c r="E958" i="1"/>
  <c r="F958" i="1"/>
  <c r="H958" i="1"/>
  <c r="E959" i="1"/>
  <c r="F959" i="1"/>
  <c r="H959" i="1"/>
  <c r="E960" i="1"/>
  <c r="F960" i="1"/>
  <c r="H960" i="1"/>
  <c r="E961" i="1"/>
  <c r="F961" i="1"/>
  <c r="H961" i="1"/>
  <c r="E962" i="1"/>
  <c r="F962" i="1"/>
  <c r="H962" i="1"/>
  <c r="E963" i="1"/>
  <c r="F963" i="1"/>
  <c r="H963" i="1"/>
  <c r="E964" i="1"/>
  <c r="F964" i="1"/>
  <c r="H964" i="1"/>
  <c r="E965" i="1"/>
  <c r="F965" i="1"/>
  <c r="H965" i="1"/>
  <c r="E966" i="1"/>
  <c r="F966" i="1"/>
  <c r="H966" i="1"/>
  <c r="E967" i="1"/>
  <c r="F967" i="1"/>
  <c r="H967" i="1"/>
  <c r="E968" i="1"/>
  <c r="F968" i="1"/>
  <c r="H968" i="1"/>
  <c r="E969" i="1"/>
  <c r="F969" i="1"/>
  <c r="H969" i="1"/>
  <c r="E970" i="1"/>
  <c r="F970" i="1"/>
  <c r="H970" i="1"/>
  <c r="E971" i="1"/>
  <c r="F971" i="1"/>
  <c r="H971" i="1"/>
  <c r="E972" i="1"/>
  <c r="F972" i="1"/>
  <c r="H972" i="1"/>
  <c r="E973" i="1"/>
  <c r="F973" i="1"/>
  <c r="H973" i="1"/>
  <c r="E974" i="1"/>
  <c r="F974" i="1"/>
  <c r="H974" i="1"/>
  <c r="E975" i="1"/>
  <c r="F975" i="1"/>
  <c r="H975" i="1"/>
  <c r="E976" i="1"/>
  <c r="F976" i="1"/>
  <c r="H976" i="1"/>
  <c r="E977" i="1"/>
  <c r="F977" i="1"/>
  <c r="H977" i="1"/>
  <c r="E978" i="1"/>
  <c r="F978" i="1"/>
  <c r="H978" i="1"/>
  <c r="E979" i="1"/>
  <c r="F979" i="1"/>
  <c r="H979" i="1"/>
  <c r="E980" i="1"/>
  <c r="F980" i="1"/>
  <c r="H980" i="1"/>
  <c r="E981" i="1"/>
  <c r="F981" i="1"/>
  <c r="H981" i="1"/>
  <c r="E982" i="1"/>
  <c r="F982" i="1"/>
  <c r="H982" i="1"/>
  <c r="E983" i="1"/>
  <c r="F983" i="1"/>
  <c r="H983" i="1"/>
  <c r="E984" i="1"/>
  <c r="F984" i="1"/>
  <c r="H984" i="1"/>
  <c r="E985" i="1"/>
  <c r="F985" i="1"/>
  <c r="H985" i="1"/>
  <c r="E986" i="1"/>
  <c r="F986" i="1"/>
  <c r="H986" i="1"/>
  <c r="E987" i="1"/>
  <c r="F987" i="1"/>
  <c r="H987" i="1"/>
  <c r="E988" i="1"/>
  <c r="F988" i="1"/>
  <c r="H988" i="1"/>
  <c r="E989" i="1"/>
  <c r="F989" i="1"/>
  <c r="H989" i="1"/>
  <c r="E990" i="1"/>
  <c r="F990" i="1"/>
  <c r="H990" i="1"/>
  <c r="E991" i="1"/>
  <c r="F991" i="1"/>
  <c r="H991" i="1"/>
  <c r="E992" i="1"/>
  <c r="F992" i="1"/>
  <c r="H992" i="1"/>
  <c r="E993" i="1"/>
  <c r="F993" i="1"/>
  <c r="H993" i="1"/>
  <c r="E994" i="1"/>
  <c r="F994" i="1"/>
  <c r="H994" i="1"/>
  <c r="E995" i="1"/>
  <c r="F995" i="1"/>
  <c r="H995" i="1"/>
  <c r="E996" i="1"/>
  <c r="F996" i="1"/>
  <c r="H996" i="1"/>
  <c r="E997" i="1"/>
  <c r="F997" i="1"/>
  <c r="H997" i="1"/>
  <c r="E998" i="1"/>
  <c r="F998" i="1"/>
  <c r="H998" i="1"/>
  <c r="E999" i="1"/>
  <c r="F999" i="1"/>
  <c r="H999" i="1"/>
  <c r="E1000" i="1"/>
  <c r="F1000" i="1"/>
  <c r="H1000" i="1"/>
  <c r="E1001" i="1"/>
  <c r="F1001" i="1"/>
  <c r="H1001" i="1"/>
  <c r="E1002" i="1"/>
  <c r="F1002" i="1"/>
  <c r="H1002" i="1"/>
  <c r="E1003" i="1"/>
  <c r="F1003" i="1"/>
  <c r="H1003" i="1"/>
  <c r="E1004" i="1"/>
  <c r="F1004" i="1"/>
  <c r="H1004" i="1"/>
  <c r="E1005" i="1"/>
  <c r="F1005" i="1"/>
  <c r="H1005" i="1"/>
  <c r="E1006" i="1"/>
  <c r="F1006" i="1"/>
  <c r="H1006" i="1"/>
  <c r="E1007" i="1"/>
  <c r="F1007" i="1"/>
  <c r="H1007" i="1"/>
  <c r="E1008" i="1"/>
  <c r="F1008" i="1"/>
  <c r="H1008" i="1"/>
  <c r="E1009" i="1"/>
  <c r="F1009" i="1"/>
  <c r="H1009" i="1"/>
  <c r="E1010" i="1"/>
  <c r="F1010" i="1"/>
  <c r="H1010" i="1"/>
  <c r="E1011" i="1"/>
  <c r="F1011" i="1"/>
  <c r="H1011" i="1"/>
  <c r="E1012" i="1"/>
  <c r="F1012" i="1"/>
  <c r="H1012" i="1"/>
  <c r="E1013" i="1"/>
  <c r="F1013" i="1"/>
  <c r="H1013" i="1"/>
  <c r="E1014" i="1"/>
  <c r="F1014" i="1"/>
  <c r="H1014" i="1"/>
  <c r="E1015" i="1"/>
  <c r="F1015" i="1"/>
  <c r="H1015" i="1"/>
  <c r="E1016" i="1"/>
  <c r="F1016" i="1"/>
  <c r="H1016" i="1"/>
  <c r="E1017" i="1"/>
  <c r="F1017" i="1"/>
  <c r="H1017" i="1"/>
  <c r="E1018" i="1"/>
  <c r="F1018" i="1"/>
  <c r="H1018" i="1"/>
  <c r="E1019" i="1"/>
  <c r="F1019" i="1"/>
  <c r="H1019" i="1"/>
  <c r="E1020" i="1"/>
  <c r="F1020" i="1"/>
  <c r="H1020" i="1"/>
  <c r="E1021" i="1"/>
  <c r="F1021" i="1"/>
  <c r="H1021" i="1"/>
  <c r="E1022" i="1"/>
  <c r="F1022" i="1"/>
  <c r="H1022" i="1"/>
  <c r="E1023" i="1"/>
  <c r="F1023" i="1"/>
  <c r="H1023" i="1"/>
  <c r="E1024" i="1"/>
  <c r="F1024" i="1"/>
  <c r="H1024" i="1"/>
  <c r="E1025" i="1"/>
  <c r="F1025" i="1"/>
  <c r="H1025" i="1"/>
  <c r="E1026" i="1"/>
  <c r="F1026" i="1"/>
  <c r="H1026" i="1"/>
  <c r="E1027" i="1"/>
  <c r="F1027" i="1"/>
  <c r="H1027" i="1"/>
  <c r="E1028" i="1"/>
  <c r="F1028" i="1"/>
  <c r="H1028" i="1"/>
  <c r="E1029" i="1"/>
  <c r="F1029" i="1"/>
  <c r="H1029" i="1"/>
  <c r="E1030" i="1"/>
  <c r="F1030" i="1"/>
  <c r="H1030" i="1"/>
  <c r="E1031" i="1"/>
  <c r="F1031" i="1"/>
  <c r="H1031" i="1"/>
  <c r="E1032" i="1"/>
  <c r="F1032" i="1"/>
  <c r="H1032" i="1"/>
  <c r="E1033" i="1"/>
  <c r="F1033" i="1"/>
  <c r="H1033" i="1"/>
  <c r="E1034" i="1"/>
  <c r="F1034" i="1"/>
  <c r="H1034" i="1"/>
  <c r="E1035" i="1"/>
  <c r="F1035" i="1"/>
  <c r="H1035" i="1"/>
  <c r="E1036" i="1"/>
  <c r="F1036" i="1"/>
  <c r="H1036" i="1"/>
  <c r="E1037" i="1"/>
  <c r="F1037" i="1"/>
  <c r="H1037" i="1"/>
  <c r="E1038" i="1"/>
  <c r="F1038" i="1"/>
  <c r="H1038" i="1"/>
  <c r="E1039" i="1"/>
  <c r="F1039" i="1"/>
  <c r="H1039" i="1"/>
  <c r="E1040" i="1"/>
  <c r="F1040" i="1"/>
  <c r="H1040" i="1"/>
  <c r="E1041" i="1"/>
  <c r="F1041" i="1"/>
  <c r="H1041" i="1"/>
  <c r="E1042" i="1"/>
  <c r="F1042" i="1"/>
  <c r="H1042" i="1"/>
  <c r="E1043" i="1"/>
  <c r="F1043" i="1"/>
  <c r="H1043" i="1"/>
  <c r="E1044" i="1"/>
  <c r="F1044" i="1"/>
  <c r="H1044" i="1"/>
  <c r="E1045" i="1"/>
  <c r="F1045" i="1"/>
  <c r="H1045" i="1"/>
  <c r="G1046" i="1"/>
  <c r="H1046" i="1"/>
  <c r="I1046" i="1"/>
  <c r="E1047" i="1"/>
  <c r="F1047" i="1"/>
  <c r="H1047" i="1"/>
  <c r="E1048" i="1"/>
  <c r="F1048" i="1"/>
  <c r="H1048" i="1"/>
  <c r="E1049" i="1"/>
  <c r="F1049" i="1"/>
  <c r="H1049" i="1"/>
  <c r="E1050" i="1"/>
  <c r="F1050" i="1"/>
  <c r="H1050" i="1"/>
  <c r="E1051" i="1"/>
  <c r="F1051" i="1"/>
  <c r="H1051" i="1"/>
  <c r="E1052" i="1"/>
  <c r="F1052" i="1"/>
  <c r="H1052" i="1"/>
  <c r="E1053" i="1"/>
  <c r="F1053" i="1"/>
  <c r="H1053" i="1"/>
  <c r="E1054" i="1"/>
  <c r="F1054" i="1"/>
  <c r="H1054" i="1"/>
  <c r="E1055" i="1"/>
  <c r="F1055" i="1"/>
  <c r="H1055" i="1"/>
  <c r="E1056" i="1"/>
  <c r="F1056" i="1"/>
  <c r="H1056" i="1"/>
  <c r="E1057" i="1"/>
  <c r="F1057" i="1"/>
  <c r="H1057" i="1"/>
  <c r="E1058" i="1"/>
  <c r="F1058" i="1"/>
  <c r="H1058" i="1"/>
  <c r="E1059" i="1"/>
  <c r="F1059" i="1"/>
  <c r="H1059" i="1"/>
  <c r="E1060" i="1"/>
  <c r="F1060" i="1"/>
  <c r="H1060" i="1"/>
  <c r="E1061" i="1"/>
  <c r="F1061" i="1"/>
  <c r="H1061" i="1"/>
  <c r="E1062" i="1"/>
  <c r="F1062" i="1"/>
  <c r="H1062" i="1"/>
  <c r="E1063" i="1"/>
  <c r="F1063" i="1"/>
  <c r="H1063" i="1"/>
  <c r="E1064" i="1"/>
  <c r="F1064" i="1"/>
  <c r="H1064" i="1"/>
  <c r="E1065" i="1"/>
  <c r="F1065" i="1"/>
  <c r="H1065" i="1"/>
  <c r="E1066" i="1"/>
  <c r="F1066" i="1"/>
  <c r="H1066" i="1"/>
  <c r="E1067" i="1"/>
  <c r="F1067" i="1"/>
  <c r="H1067" i="1"/>
  <c r="E1068" i="1"/>
  <c r="F1068" i="1"/>
  <c r="H1068" i="1"/>
  <c r="E1069" i="1"/>
  <c r="F1069" i="1"/>
  <c r="H1069" i="1"/>
  <c r="E1070" i="1"/>
  <c r="F1070" i="1"/>
  <c r="H1070" i="1"/>
  <c r="E1071" i="1"/>
  <c r="F1071" i="1"/>
  <c r="H1071" i="1"/>
  <c r="E1072" i="1"/>
  <c r="F1072" i="1"/>
  <c r="H1072" i="1"/>
  <c r="E1073" i="1"/>
  <c r="F1073" i="1"/>
  <c r="H1073" i="1"/>
  <c r="E1074" i="1"/>
  <c r="F1074" i="1"/>
  <c r="H1074" i="1"/>
  <c r="E1075" i="1"/>
  <c r="F1075" i="1"/>
  <c r="H1075" i="1"/>
  <c r="E1076" i="1"/>
  <c r="F1076" i="1"/>
  <c r="H1076" i="1"/>
  <c r="E1077" i="1"/>
  <c r="F1077" i="1"/>
  <c r="H1077" i="1"/>
  <c r="E1078" i="1"/>
  <c r="F1078" i="1"/>
  <c r="H1078" i="1"/>
  <c r="E1079" i="1"/>
  <c r="F1079" i="1"/>
  <c r="H1079" i="1"/>
  <c r="E1080" i="1"/>
  <c r="F1080" i="1"/>
  <c r="H1080" i="1"/>
  <c r="E1081" i="1"/>
  <c r="F1081" i="1"/>
  <c r="H1081" i="1"/>
  <c r="E1082" i="1"/>
  <c r="F1082" i="1"/>
  <c r="H1082" i="1"/>
  <c r="E1083" i="1"/>
  <c r="F1083" i="1"/>
  <c r="H1083" i="1"/>
  <c r="E1084" i="1"/>
  <c r="F1084" i="1"/>
  <c r="H1084" i="1"/>
  <c r="E1085" i="1"/>
  <c r="F1085" i="1"/>
  <c r="H1085" i="1"/>
  <c r="E1086" i="1"/>
  <c r="F1086" i="1"/>
  <c r="H1086" i="1"/>
  <c r="E1087" i="1"/>
  <c r="F1087" i="1"/>
  <c r="H1087" i="1"/>
  <c r="E1088" i="1"/>
  <c r="F1088" i="1"/>
  <c r="H1088" i="1"/>
  <c r="E1089" i="1"/>
  <c r="F1089" i="1"/>
  <c r="H1089" i="1"/>
  <c r="E1090" i="1"/>
  <c r="F1090" i="1"/>
  <c r="H1090" i="1"/>
  <c r="E1091" i="1"/>
  <c r="F1091" i="1"/>
  <c r="H1091" i="1"/>
  <c r="E1092" i="1"/>
  <c r="F1092" i="1"/>
  <c r="H1092" i="1"/>
  <c r="E1093" i="1"/>
  <c r="F1093" i="1"/>
  <c r="H1093" i="1"/>
  <c r="E1094" i="1"/>
  <c r="F1094" i="1"/>
  <c r="H1094" i="1"/>
  <c r="E1095" i="1"/>
  <c r="F1095" i="1"/>
  <c r="H1095" i="1"/>
  <c r="E1096" i="1"/>
  <c r="F1096" i="1"/>
  <c r="H1096" i="1"/>
  <c r="E1097" i="1"/>
  <c r="F1097" i="1"/>
  <c r="H1097" i="1"/>
  <c r="E1098" i="1"/>
  <c r="F1098" i="1"/>
  <c r="H1098" i="1"/>
  <c r="E1099" i="1"/>
  <c r="F1099" i="1"/>
  <c r="H1099" i="1"/>
  <c r="E1100" i="1"/>
  <c r="F1100" i="1"/>
  <c r="H1100" i="1"/>
  <c r="G1101" i="1"/>
  <c r="H1101" i="1"/>
  <c r="I1101" i="1"/>
  <c r="E1102" i="1"/>
  <c r="F1102" i="1"/>
  <c r="H1102" i="1"/>
  <c r="E1103" i="1"/>
  <c r="F1103" i="1"/>
  <c r="H1103" i="1"/>
  <c r="E1104" i="1"/>
  <c r="F1104" i="1"/>
  <c r="H1104" i="1"/>
  <c r="E1105" i="1"/>
  <c r="F1105" i="1"/>
  <c r="H1105" i="1"/>
  <c r="E1106" i="1"/>
  <c r="F1106" i="1"/>
  <c r="H1106" i="1"/>
  <c r="E1107" i="1"/>
  <c r="F1107" i="1"/>
  <c r="H1107" i="1"/>
  <c r="E1108" i="1"/>
  <c r="F1108" i="1"/>
  <c r="H1108" i="1"/>
  <c r="E1109" i="1"/>
  <c r="F1109" i="1"/>
  <c r="H1109" i="1"/>
  <c r="E1110" i="1"/>
  <c r="F1110" i="1"/>
  <c r="H1110" i="1"/>
  <c r="E1111" i="1"/>
  <c r="F1111" i="1"/>
  <c r="H1111" i="1"/>
  <c r="E1112" i="1"/>
  <c r="F1112" i="1"/>
  <c r="H1112" i="1"/>
  <c r="E1113" i="1"/>
  <c r="F1113" i="1"/>
  <c r="H1113" i="1"/>
  <c r="E1114" i="1"/>
  <c r="F1114" i="1"/>
  <c r="H1114" i="1"/>
  <c r="E1115" i="1"/>
  <c r="F1115" i="1"/>
  <c r="H1115" i="1"/>
  <c r="E1116" i="1"/>
  <c r="F1116" i="1"/>
  <c r="H1116" i="1"/>
  <c r="E1117" i="1"/>
  <c r="F1117" i="1"/>
  <c r="H1117" i="1"/>
  <c r="E1118" i="1"/>
  <c r="F1118" i="1"/>
  <c r="H1118" i="1"/>
  <c r="E1119" i="1"/>
  <c r="F1119" i="1"/>
  <c r="H1119" i="1"/>
  <c r="E1120" i="1"/>
  <c r="F1120" i="1"/>
  <c r="H1120" i="1"/>
  <c r="E1121" i="1"/>
  <c r="F1121" i="1"/>
  <c r="H1121" i="1"/>
  <c r="E1122" i="1"/>
  <c r="F1122" i="1"/>
  <c r="H1122" i="1"/>
  <c r="E1123" i="1"/>
  <c r="F1123" i="1"/>
  <c r="H1123" i="1"/>
  <c r="E1124" i="1"/>
  <c r="F1124" i="1"/>
  <c r="H1124" i="1"/>
  <c r="E1125" i="1"/>
  <c r="F1125" i="1"/>
  <c r="H1125" i="1"/>
  <c r="E1126" i="1"/>
  <c r="F1126" i="1"/>
  <c r="H1126" i="1"/>
  <c r="E1127" i="1"/>
  <c r="F1127" i="1"/>
  <c r="H1127" i="1"/>
  <c r="E1128" i="1"/>
  <c r="F1128" i="1"/>
  <c r="H1128" i="1"/>
  <c r="E1129" i="1"/>
  <c r="F1129" i="1"/>
  <c r="H1129" i="1"/>
  <c r="E1130" i="1"/>
  <c r="F1130" i="1"/>
  <c r="H1130" i="1"/>
  <c r="E1131" i="1"/>
  <c r="F1131" i="1"/>
  <c r="H1131" i="1"/>
  <c r="E1132" i="1"/>
  <c r="F1132" i="1"/>
  <c r="H1132" i="1"/>
  <c r="E1133" i="1"/>
  <c r="F1133" i="1"/>
  <c r="H1133" i="1"/>
  <c r="E1134" i="1"/>
  <c r="F1134" i="1"/>
  <c r="H1134" i="1"/>
  <c r="E1135" i="1"/>
  <c r="F1135" i="1"/>
  <c r="H1135" i="1"/>
  <c r="E1136" i="1"/>
  <c r="F1136" i="1"/>
  <c r="H1136" i="1"/>
  <c r="E1137" i="1"/>
  <c r="F1137" i="1"/>
  <c r="H1137" i="1"/>
  <c r="E1138" i="1"/>
  <c r="F1138" i="1"/>
  <c r="H1138" i="1"/>
  <c r="E1139" i="1"/>
  <c r="F1139" i="1"/>
  <c r="H1139" i="1"/>
  <c r="E1140" i="1"/>
  <c r="F1140" i="1"/>
  <c r="H1140" i="1"/>
  <c r="E1141" i="1"/>
  <c r="F1141" i="1"/>
  <c r="H1141" i="1"/>
  <c r="E1142" i="1"/>
  <c r="F1142" i="1"/>
  <c r="H1142" i="1"/>
  <c r="E1143" i="1"/>
  <c r="F1143" i="1"/>
  <c r="H1143" i="1"/>
  <c r="E1144" i="1"/>
  <c r="F1144" i="1"/>
  <c r="H1144" i="1"/>
  <c r="E1145" i="1"/>
  <c r="F1145" i="1"/>
  <c r="H1145" i="1"/>
  <c r="E1146" i="1"/>
  <c r="F1146" i="1"/>
  <c r="H1146" i="1"/>
  <c r="E1147" i="1"/>
  <c r="F1147" i="1"/>
  <c r="H1147" i="1"/>
  <c r="E1148" i="1"/>
  <c r="F1148" i="1"/>
  <c r="H1148" i="1"/>
  <c r="E1149" i="1"/>
  <c r="F1149" i="1"/>
  <c r="H1149" i="1"/>
  <c r="E1150" i="1"/>
  <c r="F1150" i="1"/>
  <c r="H1150" i="1"/>
  <c r="E1151" i="1"/>
  <c r="F1151" i="1"/>
  <c r="H1151" i="1"/>
  <c r="E1152" i="1"/>
  <c r="F1152" i="1"/>
  <c r="H1152" i="1"/>
  <c r="E1153" i="1"/>
  <c r="F1153" i="1"/>
  <c r="H1153" i="1"/>
  <c r="E1154" i="1"/>
  <c r="F1154" i="1"/>
  <c r="H1154" i="1"/>
  <c r="E1155" i="1"/>
  <c r="F1155" i="1"/>
  <c r="H1155" i="1"/>
  <c r="E1156" i="1"/>
  <c r="F1156" i="1"/>
  <c r="H1156" i="1"/>
  <c r="E1157" i="1"/>
  <c r="F1157" i="1"/>
  <c r="H1157" i="1"/>
  <c r="E1158" i="1"/>
  <c r="F1158" i="1"/>
  <c r="H1158" i="1"/>
  <c r="E1159" i="1"/>
  <c r="F1159" i="1"/>
  <c r="H1159" i="1"/>
  <c r="E1160" i="1"/>
  <c r="F1160" i="1"/>
  <c r="H1160" i="1"/>
  <c r="E1161" i="1"/>
  <c r="F1161" i="1"/>
  <c r="H1161" i="1"/>
  <c r="E1162" i="1"/>
  <c r="F1162" i="1"/>
  <c r="H1162" i="1"/>
  <c r="E1163" i="1"/>
  <c r="F1163" i="1"/>
  <c r="H1163" i="1"/>
  <c r="E1164" i="1"/>
  <c r="F1164" i="1"/>
  <c r="H1164" i="1"/>
  <c r="E1165" i="1"/>
  <c r="F1165" i="1"/>
  <c r="H1165" i="1"/>
  <c r="E1166" i="1"/>
  <c r="F1166" i="1"/>
  <c r="H1166" i="1"/>
  <c r="E1167" i="1"/>
  <c r="F1167" i="1"/>
  <c r="H1167" i="1"/>
  <c r="E1168" i="1"/>
  <c r="F1168" i="1"/>
  <c r="H1168" i="1"/>
  <c r="E1169" i="1"/>
  <c r="F1169" i="1"/>
  <c r="H1169" i="1"/>
  <c r="E1170" i="1"/>
  <c r="F1170" i="1"/>
  <c r="H1170" i="1"/>
  <c r="E1171" i="1"/>
  <c r="F1171" i="1"/>
  <c r="H1171" i="1"/>
  <c r="E1172" i="1"/>
  <c r="F1172" i="1"/>
  <c r="H1172" i="1"/>
  <c r="E1173" i="1"/>
  <c r="F1173" i="1"/>
  <c r="H1173" i="1"/>
  <c r="E1174" i="1"/>
  <c r="F1174" i="1"/>
  <c r="H1174" i="1"/>
  <c r="E1175" i="1"/>
  <c r="F1175" i="1"/>
  <c r="H1175" i="1"/>
  <c r="E1176" i="1"/>
  <c r="F1176" i="1"/>
  <c r="H1176" i="1"/>
  <c r="E1177" i="1"/>
  <c r="F1177" i="1"/>
  <c r="H1177" i="1"/>
  <c r="E1178" i="1"/>
  <c r="F1178" i="1"/>
  <c r="H1178" i="1"/>
  <c r="E1179" i="1"/>
  <c r="F1179" i="1"/>
  <c r="H1179" i="1"/>
  <c r="E1180" i="1"/>
  <c r="F1180" i="1"/>
  <c r="H1180" i="1"/>
  <c r="E1181" i="1"/>
  <c r="F1181" i="1"/>
  <c r="H1181" i="1"/>
  <c r="E1182" i="1"/>
  <c r="F1182" i="1"/>
  <c r="H1182" i="1"/>
  <c r="E1183" i="1"/>
  <c r="F1183" i="1"/>
  <c r="H1183" i="1"/>
  <c r="E1184" i="1"/>
  <c r="F1184" i="1"/>
  <c r="H1184" i="1"/>
  <c r="E1185" i="1"/>
  <c r="F1185" i="1"/>
  <c r="H1185" i="1"/>
  <c r="E1186" i="1"/>
  <c r="F1186" i="1"/>
  <c r="H1186" i="1"/>
  <c r="E1187" i="1"/>
  <c r="F1187" i="1"/>
  <c r="H1187" i="1"/>
  <c r="E1188" i="1"/>
  <c r="F1188" i="1"/>
  <c r="H1188" i="1"/>
  <c r="E1189" i="1"/>
  <c r="F1189" i="1"/>
  <c r="H1189" i="1"/>
  <c r="E1190" i="1"/>
  <c r="F1190" i="1"/>
  <c r="H1190" i="1"/>
  <c r="E1191" i="1"/>
  <c r="F1191" i="1"/>
  <c r="H1191" i="1"/>
  <c r="E1192" i="1"/>
  <c r="F1192" i="1"/>
  <c r="H1192" i="1"/>
  <c r="E1193" i="1"/>
  <c r="F1193" i="1"/>
  <c r="H1193" i="1"/>
  <c r="E1194" i="1"/>
  <c r="F1194" i="1"/>
  <c r="H1194" i="1"/>
  <c r="E1195" i="1"/>
  <c r="F1195" i="1"/>
  <c r="H1195" i="1"/>
  <c r="E1196" i="1"/>
  <c r="F1196" i="1"/>
  <c r="H1196" i="1"/>
  <c r="E1197" i="1"/>
  <c r="F1197" i="1"/>
  <c r="H1197" i="1"/>
  <c r="E1198" i="1"/>
  <c r="F1198" i="1"/>
  <c r="H1198" i="1"/>
  <c r="E1199" i="1"/>
  <c r="F1199" i="1"/>
  <c r="H1199" i="1"/>
  <c r="E1200" i="1"/>
  <c r="F1200" i="1"/>
  <c r="H1200" i="1"/>
  <c r="E1201" i="1"/>
  <c r="F1201" i="1"/>
  <c r="H1201" i="1"/>
  <c r="E1202" i="1"/>
  <c r="F1202" i="1"/>
  <c r="H1202" i="1"/>
  <c r="E1203" i="1"/>
  <c r="F1203" i="1"/>
  <c r="H1203" i="1"/>
  <c r="E1204" i="1"/>
  <c r="F1204" i="1"/>
  <c r="H1204" i="1"/>
  <c r="E1205" i="1"/>
  <c r="F1205" i="1"/>
  <c r="H1205" i="1"/>
  <c r="E1206" i="1"/>
  <c r="F1206" i="1"/>
  <c r="H1206" i="1"/>
  <c r="E1207" i="1"/>
  <c r="F1207" i="1"/>
  <c r="H1207" i="1"/>
  <c r="E1208" i="1"/>
  <c r="F1208" i="1"/>
  <c r="H1208" i="1"/>
  <c r="E1209" i="1"/>
  <c r="F1209" i="1"/>
  <c r="H1209" i="1"/>
  <c r="E1210" i="1"/>
  <c r="F1210" i="1"/>
  <c r="H1210" i="1"/>
  <c r="E1211" i="1"/>
  <c r="F1211" i="1"/>
  <c r="H1211" i="1"/>
  <c r="E1212" i="1"/>
  <c r="F1212" i="1"/>
  <c r="H1212" i="1"/>
  <c r="E1213" i="1"/>
  <c r="F1213" i="1"/>
  <c r="H1213" i="1"/>
  <c r="E1214" i="1"/>
  <c r="F1214" i="1"/>
  <c r="H1214" i="1"/>
  <c r="E1215" i="1"/>
  <c r="F1215" i="1"/>
  <c r="H1215" i="1"/>
  <c r="E1216" i="1"/>
  <c r="F1216" i="1"/>
  <c r="H1216" i="1"/>
  <c r="E1217" i="1"/>
  <c r="F1217" i="1"/>
  <c r="H1217" i="1"/>
  <c r="E1218" i="1"/>
  <c r="F1218" i="1"/>
  <c r="H1218" i="1"/>
  <c r="E1219" i="1"/>
  <c r="F1219" i="1"/>
  <c r="H1219" i="1"/>
  <c r="E1220" i="1"/>
  <c r="F1220" i="1"/>
  <c r="H1220" i="1"/>
  <c r="E1221" i="1"/>
  <c r="F1221" i="1"/>
  <c r="H1221" i="1"/>
  <c r="E1222" i="1"/>
  <c r="F1222" i="1"/>
  <c r="H1222" i="1"/>
  <c r="E1223" i="1"/>
  <c r="F1223" i="1"/>
  <c r="H1223" i="1"/>
  <c r="E1224" i="1"/>
  <c r="F1224" i="1"/>
  <c r="H1224" i="1"/>
  <c r="E1225" i="1"/>
  <c r="F1225" i="1"/>
  <c r="H1225" i="1"/>
  <c r="E1226" i="1"/>
  <c r="F1226" i="1"/>
  <c r="H1226" i="1"/>
  <c r="E1227" i="1"/>
  <c r="F1227" i="1"/>
  <c r="H1227" i="1"/>
  <c r="E1228" i="1"/>
  <c r="F1228" i="1"/>
  <c r="H1228" i="1"/>
  <c r="E1229" i="1"/>
  <c r="F1229" i="1"/>
  <c r="H1229" i="1"/>
  <c r="E1230" i="1"/>
  <c r="F1230" i="1"/>
  <c r="H1230" i="1"/>
  <c r="E1231" i="1"/>
  <c r="F1231" i="1"/>
  <c r="H1231" i="1"/>
  <c r="E1232" i="1"/>
  <c r="F1232" i="1"/>
  <c r="H1232" i="1"/>
  <c r="E1233" i="1"/>
  <c r="F1233" i="1"/>
  <c r="H1233" i="1"/>
  <c r="E1234" i="1"/>
  <c r="F1234" i="1"/>
  <c r="H1234" i="1"/>
  <c r="E1235" i="1"/>
  <c r="F1235" i="1"/>
  <c r="H1235" i="1"/>
  <c r="E1236" i="1"/>
  <c r="F1236" i="1"/>
  <c r="H1236" i="1"/>
  <c r="E1237" i="1"/>
  <c r="F1237" i="1"/>
  <c r="H1237" i="1"/>
  <c r="E1238" i="1"/>
  <c r="F1238" i="1"/>
  <c r="H1238" i="1"/>
  <c r="E1239" i="1"/>
  <c r="F1239" i="1"/>
  <c r="H1239" i="1"/>
  <c r="E1240" i="1"/>
  <c r="F1240" i="1"/>
  <c r="H1240" i="1"/>
  <c r="E1241" i="1"/>
  <c r="F1241" i="1"/>
  <c r="H1241" i="1"/>
  <c r="E1242" i="1"/>
  <c r="F1242" i="1"/>
  <c r="H1242" i="1"/>
  <c r="E1243" i="1"/>
  <c r="F1243" i="1"/>
  <c r="H1243" i="1"/>
  <c r="E1244" i="1"/>
  <c r="F1244" i="1"/>
  <c r="H1244" i="1"/>
  <c r="E1245" i="1"/>
  <c r="F1245" i="1"/>
  <c r="H1245" i="1"/>
  <c r="E1246" i="1"/>
  <c r="F1246" i="1"/>
  <c r="H1246" i="1"/>
  <c r="E1247" i="1"/>
  <c r="F1247" i="1"/>
  <c r="H1247" i="1"/>
  <c r="E1248" i="1"/>
  <c r="F1248" i="1"/>
  <c r="H1248" i="1"/>
  <c r="E1249" i="1"/>
  <c r="F1249" i="1"/>
  <c r="H1249" i="1"/>
  <c r="E1250" i="1"/>
  <c r="F1250" i="1"/>
  <c r="H1250" i="1"/>
  <c r="E1251" i="1"/>
  <c r="F1251" i="1"/>
  <c r="H1251" i="1"/>
  <c r="E1252" i="1"/>
  <c r="F1252" i="1"/>
  <c r="H1252" i="1"/>
  <c r="E1253" i="1"/>
  <c r="F1253" i="1"/>
  <c r="H1253" i="1"/>
  <c r="E1254" i="1"/>
  <c r="F1254" i="1"/>
  <c r="H1254" i="1"/>
  <c r="E1255" i="1"/>
  <c r="F1255" i="1"/>
  <c r="H1255" i="1"/>
  <c r="E1256" i="1"/>
  <c r="F1256" i="1"/>
  <c r="H1256" i="1"/>
  <c r="E1257" i="1"/>
  <c r="F1257" i="1"/>
  <c r="H1257" i="1"/>
  <c r="E1258" i="1"/>
  <c r="F1258" i="1"/>
  <c r="H1258" i="1"/>
  <c r="E1259" i="1"/>
  <c r="F1259" i="1"/>
  <c r="H1259" i="1"/>
  <c r="E1260" i="1"/>
  <c r="F1260" i="1"/>
  <c r="H1260" i="1"/>
  <c r="E1261" i="1"/>
  <c r="F1261" i="1"/>
  <c r="H1261" i="1"/>
  <c r="E1262" i="1"/>
  <c r="F1262" i="1"/>
  <c r="H1262" i="1"/>
  <c r="E1263" i="1"/>
  <c r="F1263" i="1"/>
  <c r="H1263" i="1"/>
  <c r="E1264" i="1"/>
  <c r="F1264" i="1"/>
  <c r="H1264" i="1"/>
  <c r="E1265" i="1"/>
  <c r="F1265" i="1"/>
  <c r="H1265" i="1"/>
  <c r="E1266" i="1"/>
  <c r="F1266" i="1"/>
  <c r="H1266" i="1"/>
  <c r="E1267" i="1"/>
  <c r="F1267" i="1"/>
  <c r="H1267" i="1"/>
  <c r="E1268" i="1"/>
  <c r="F1268" i="1"/>
  <c r="H1268" i="1"/>
  <c r="E1269" i="1"/>
  <c r="F1269" i="1"/>
  <c r="H1269" i="1"/>
  <c r="E1270" i="1"/>
  <c r="F1270" i="1"/>
  <c r="H1270" i="1"/>
  <c r="E1271" i="1"/>
  <c r="F1271" i="1"/>
  <c r="H1271" i="1"/>
  <c r="E1272" i="1"/>
  <c r="F1272" i="1"/>
  <c r="H1272" i="1"/>
  <c r="E1273" i="1"/>
  <c r="F1273" i="1"/>
  <c r="H1273" i="1"/>
  <c r="E1274" i="1"/>
  <c r="F1274" i="1"/>
  <c r="H1274" i="1"/>
  <c r="E1275" i="1"/>
  <c r="F1275" i="1"/>
  <c r="H1275" i="1"/>
  <c r="E1276" i="1"/>
  <c r="F1276" i="1"/>
  <c r="H1276" i="1"/>
  <c r="E1277" i="1"/>
  <c r="F1277" i="1"/>
  <c r="H1277" i="1"/>
  <c r="E1278" i="1"/>
  <c r="F1278" i="1"/>
  <c r="H1278" i="1"/>
  <c r="E1279" i="1"/>
  <c r="F1279" i="1"/>
  <c r="H1279" i="1"/>
  <c r="E1280" i="1"/>
  <c r="F1280" i="1"/>
  <c r="H1280" i="1"/>
  <c r="E1281" i="1"/>
  <c r="F1281" i="1"/>
  <c r="H1281" i="1"/>
  <c r="E1282" i="1"/>
  <c r="F1282" i="1"/>
  <c r="H1282" i="1"/>
  <c r="E1283" i="1"/>
  <c r="F1283" i="1"/>
  <c r="H1283" i="1"/>
  <c r="E1284" i="1"/>
  <c r="F1284" i="1"/>
  <c r="H1284" i="1"/>
  <c r="E1285" i="1"/>
  <c r="F1285" i="1"/>
  <c r="H1285" i="1"/>
  <c r="E1286" i="1"/>
  <c r="F1286" i="1"/>
  <c r="H1286" i="1"/>
  <c r="E1287" i="1"/>
  <c r="F1287" i="1"/>
  <c r="H1287" i="1"/>
  <c r="E1288" i="1"/>
  <c r="F1288" i="1"/>
  <c r="H1288" i="1"/>
  <c r="E1289" i="1"/>
  <c r="F1289" i="1"/>
  <c r="H1289" i="1"/>
  <c r="E1290" i="1"/>
  <c r="F1290" i="1"/>
  <c r="H1290" i="1"/>
  <c r="E1291" i="1"/>
  <c r="F1291" i="1"/>
  <c r="H1291" i="1"/>
  <c r="E1292" i="1"/>
  <c r="F1292" i="1"/>
  <c r="H1292" i="1"/>
  <c r="G1293" i="1"/>
  <c r="H1293" i="1"/>
  <c r="I1293" i="1"/>
  <c r="E1294" i="1"/>
  <c r="F1294" i="1"/>
  <c r="H1294" i="1"/>
  <c r="E1295" i="1"/>
  <c r="F1295" i="1"/>
  <c r="H1295" i="1"/>
  <c r="E1296" i="1"/>
  <c r="F1296" i="1"/>
  <c r="H1296" i="1"/>
  <c r="E1297" i="1"/>
  <c r="F1297" i="1"/>
  <c r="H1297" i="1"/>
  <c r="E1298" i="1"/>
  <c r="F1298" i="1"/>
  <c r="H1298" i="1"/>
  <c r="E1299" i="1"/>
  <c r="F1299" i="1"/>
  <c r="H1299" i="1"/>
  <c r="E1300" i="1"/>
  <c r="F1300" i="1"/>
  <c r="H1300" i="1"/>
  <c r="E1301" i="1"/>
  <c r="F1301" i="1"/>
  <c r="H1301" i="1"/>
  <c r="E1302" i="1"/>
  <c r="F1302" i="1"/>
  <c r="H1302" i="1"/>
  <c r="E1303" i="1"/>
  <c r="F1303" i="1"/>
  <c r="H1303" i="1"/>
  <c r="E1304" i="1"/>
  <c r="F1304" i="1"/>
  <c r="H1304" i="1"/>
  <c r="E1305" i="1"/>
  <c r="F1305" i="1"/>
  <c r="H1305" i="1"/>
  <c r="E1306" i="1"/>
  <c r="F1306" i="1"/>
  <c r="H1306" i="1"/>
  <c r="E1307" i="1"/>
  <c r="F1307" i="1"/>
  <c r="H1307" i="1"/>
  <c r="E1308" i="1"/>
  <c r="F1308" i="1"/>
  <c r="H1308" i="1"/>
  <c r="E1309" i="1"/>
  <c r="F1309" i="1"/>
  <c r="H1309" i="1"/>
  <c r="E1310" i="1"/>
  <c r="F1310" i="1"/>
  <c r="H1310" i="1"/>
  <c r="E1311" i="1"/>
  <c r="F1311" i="1"/>
  <c r="H1311" i="1"/>
  <c r="E1312" i="1"/>
  <c r="F1312" i="1"/>
  <c r="H1312" i="1"/>
  <c r="E1313" i="1"/>
  <c r="F1313" i="1"/>
  <c r="H1313" i="1"/>
  <c r="E1314" i="1"/>
  <c r="F1314" i="1"/>
  <c r="H1314" i="1"/>
  <c r="E1315" i="1"/>
  <c r="F1315" i="1"/>
  <c r="H1315" i="1"/>
  <c r="E1316" i="1"/>
  <c r="F1316" i="1"/>
  <c r="H1316" i="1"/>
  <c r="E1317" i="1"/>
  <c r="F1317" i="1"/>
  <c r="H1317" i="1"/>
  <c r="E1318" i="1"/>
  <c r="F1318" i="1"/>
  <c r="H1318" i="1"/>
  <c r="E1319" i="1"/>
  <c r="F1319" i="1"/>
  <c r="H1319" i="1"/>
  <c r="E1320" i="1"/>
  <c r="F1320" i="1"/>
  <c r="H1320" i="1"/>
  <c r="E1321" i="1"/>
  <c r="F1321" i="1"/>
  <c r="H1321" i="1"/>
  <c r="E1322" i="1"/>
  <c r="F1322" i="1"/>
  <c r="H1322" i="1"/>
  <c r="E1323" i="1"/>
  <c r="F1323" i="1"/>
  <c r="H1323" i="1"/>
  <c r="E1324" i="1"/>
  <c r="F1324" i="1"/>
  <c r="H1324" i="1"/>
  <c r="E1325" i="1"/>
  <c r="F1325" i="1"/>
  <c r="H1325" i="1"/>
  <c r="E1326" i="1"/>
  <c r="F1326" i="1"/>
  <c r="H1326" i="1"/>
  <c r="E1327" i="1"/>
  <c r="F1327" i="1"/>
  <c r="H1327" i="1"/>
  <c r="E1328" i="1"/>
  <c r="F1328" i="1"/>
  <c r="H1328" i="1"/>
  <c r="E1329" i="1"/>
  <c r="F1329" i="1"/>
  <c r="H1329" i="1"/>
  <c r="E1330" i="1"/>
  <c r="F1330" i="1"/>
  <c r="H1330" i="1"/>
  <c r="E1331" i="1"/>
  <c r="F1331" i="1"/>
  <c r="H1331" i="1"/>
  <c r="E1332" i="1"/>
  <c r="F1332" i="1"/>
  <c r="H1332" i="1"/>
  <c r="E1333" i="1"/>
  <c r="F1333" i="1"/>
  <c r="H1333" i="1"/>
  <c r="E1334" i="1"/>
  <c r="F1334" i="1"/>
  <c r="H1334" i="1"/>
  <c r="E1335" i="1"/>
  <c r="F1335" i="1"/>
  <c r="H1335" i="1"/>
  <c r="E1336" i="1"/>
  <c r="F1336" i="1"/>
  <c r="H1336" i="1"/>
  <c r="E1337" i="1"/>
  <c r="F1337" i="1"/>
  <c r="H1337" i="1"/>
  <c r="E1338" i="1"/>
  <c r="F1338" i="1"/>
  <c r="H1338" i="1"/>
  <c r="E1339" i="1"/>
  <c r="F1339" i="1"/>
  <c r="H1339" i="1"/>
  <c r="E1340" i="1"/>
  <c r="F1340" i="1"/>
  <c r="H1340" i="1"/>
  <c r="E1341" i="1"/>
  <c r="F1341" i="1"/>
  <c r="H1341" i="1"/>
  <c r="E1342" i="1"/>
  <c r="F1342" i="1"/>
  <c r="H1342" i="1"/>
  <c r="E1343" i="1"/>
  <c r="F1343" i="1"/>
  <c r="H1343" i="1"/>
  <c r="E1344" i="1"/>
  <c r="F1344" i="1"/>
  <c r="H1344" i="1"/>
  <c r="E1345" i="1"/>
  <c r="F1345" i="1"/>
  <c r="H1345" i="1"/>
  <c r="E1346" i="1"/>
  <c r="F1346" i="1"/>
  <c r="H1346" i="1"/>
  <c r="E1347" i="1"/>
  <c r="F1347" i="1"/>
  <c r="H1347" i="1"/>
  <c r="E1348" i="1"/>
  <c r="F1348" i="1"/>
  <c r="H1348" i="1"/>
  <c r="E1349" i="1"/>
  <c r="F1349" i="1"/>
  <c r="H1349" i="1"/>
  <c r="E1350" i="1"/>
  <c r="F1350" i="1"/>
  <c r="H1350" i="1"/>
  <c r="E1351" i="1"/>
  <c r="F1351" i="1"/>
  <c r="H1351" i="1"/>
  <c r="E1352" i="1"/>
  <c r="F1352" i="1"/>
  <c r="H1352" i="1"/>
  <c r="E1353" i="1"/>
  <c r="F1353" i="1"/>
  <c r="H1353" i="1"/>
  <c r="E1354" i="1"/>
  <c r="F1354" i="1"/>
  <c r="H1354" i="1"/>
  <c r="E1355" i="1"/>
  <c r="F1355" i="1"/>
  <c r="H1355" i="1"/>
  <c r="E1356" i="1"/>
  <c r="F1356" i="1"/>
  <c r="H1356" i="1"/>
  <c r="E1357" i="1"/>
  <c r="F1357" i="1"/>
  <c r="H1357" i="1"/>
  <c r="E1358" i="1"/>
  <c r="F1358" i="1"/>
  <c r="H1358" i="1"/>
  <c r="E1359" i="1"/>
  <c r="F1359" i="1"/>
  <c r="H1359" i="1"/>
  <c r="E1360" i="1"/>
  <c r="F1360" i="1"/>
  <c r="H1360" i="1"/>
  <c r="E1361" i="1"/>
  <c r="F1361" i="1"/>
  <c r="H1361" i="1"/>
  <c r="E1362" i="1"/>
  <c r="F1362" i="1"/>
  <c r="H1362" i="1"/>
  <c r="E1363" i="1"/>
  <c r="F1363" i="1"/>
  <c r="H1363" i="1"/>
  <c r="E1364" i="1"/>
  <c r="F1364" i="1"/>
  <c r="H1364" i="1"/>
  <c r="E1365" i="1"/>
  <c r="F1365" i="1"/>
  <c r="H1365" i="1"/>
  <c r="E1366" i="1"/>
  <c r="F1366" i="1"/>
  <c r="H1366" i="1"/>
  <c r="E1367" i="1"/>
  <c r="F1367" i="1"/>
  <c r="H1367" i="1"/>
  <c r="E1368" i="1"/>
  <c r="F1368" i="1"/>
  <c r="H1368" i="1"/>
  <c r="E1369" i="1"/>
  <c r="F1369" i="1"/>
  <c r="H1369" i="1"/>
  <c r="E1370" i="1"/>
  <c r="F1370" i="1"/>
  <c r="H1370" i="1"/>
  <c r="E1371" i="1"/>
  <c r="F1371" i="1"/>
  <c r="H1371" i="1"/>
  <c r="E1372" i="1"/>
  <c r="F1372" i="1"/>
  <c r="H1372" i="1"/>
  <c r="E1373" i="1"/>
  <c r="F1373" i="1"/>
  <c r="H1373" i="1"/>
  <c r="E1374" i="1"/>
  <c r="F1374" i="1"/>
  <c r="H1374" i="1"/>
  <c r="E1375" i="1"/>
  <c r="F1375" i="1"/>
  <c r="H1375" i="1"/>
  <c r="E1376" i="1"/>
  <c r="F1376" i="1"/>
  <c r="H1376" i="1"/>
  <c r="E1377" i="1"/>
  <c r="F1377" i="1"/>
  <c r="H1377" i="1"/>
  <c r="E1378" i="1"/>
  <c r="F1378" i="1"/>
  <c r="H1378" i="1"/>
  <c r="E1379" i="1"/>
  <c r="F1379" i="1"/>
  <c r="H1379" i="1"/>
  <c r="E1380" i="1"/>
  <c r="F1380" i="1"/>
  <c r="H1380" i="1"/>
  <c r="E1381" i="1"/>
  <c r="F1381" i="1"/>
  <c r="H1381" i="1"/>
  <c r="E1382" i="1"/>
  <c r="F1382" i="1"/>
  <c r="H1382" i="1"/>
  <c r="E1383" i="1"/>
  <c r="F1383" i="1"/>
  <c r="H1383" i="1"/>
  <c r="E1384" i="1"/>
  <c r="F1384" i="1"/>
  <c r="H1384" i="1"/>
  <c r="E1385" i="1"/>
  <c r="F1385" i="1"/>
  <c r="H1385" i="1"/>
  <c r="E1386" i="1"/>
  <c r="F1386" i="1"/>
  <c r="H1386" i="1"/>
  <c r="E1387" i="1"/>
  <c r="F1387" i="1"/>
  <c r="H1387" i="1"/>
  <c r="E1388" i="1"/>
  <c r="F1388" i="1"/>
  <c r="H1388" i="1"/>
  <c r="E1389" i="1"/>
  <c r="F1389" i="1"/>
  <c r="H1389" i="1"/>
  <c r="E1390" i="1"/>
  <c r="F1390" i="1"/>
  <c r="H1390" i="1"/>
  <c r="E1391" i="1"/>
  <c r="F1391" i="1"/>
  <c r="H1391" i="1"/>
  <c r="E1392" i="1"/>
  <c r="F1392" i="1"/>
  <c r="H1392" i="1"/>
  <c r="E1393" i="1"/>
  <c r="F1393" i="1"/>
  <c r="H1393" i="1"/>
  <c r="E1394" i="1"/>
  <c r="F1394" i="1"/>
  <c r="H1394" i="1"/>
  <c r="E1395" i="1"/>
  <c r="F1395" i="1"/>
  <c r="H1395" i="1"/>
  <c r="E1396" i="1"/>
  <c r="F1396" i="1"/>
  <c r="H1396" i="1"/>
  <c r="E1397" i="1"/>
  <c r="F1397" i="1"/>
  <c r="H1397" i="1"/>
  <c r="E1398" i="1"/>
  <c r="F1398" i="1"/>
  <c r="H1398" i="1"/>
  <c r="E1399" i="1"/>
  <c r="F1399" i="1"/>
  <c r="H1399" i="1"/>
  <c r="E1400" i="1"/>
  <c r="F1400" i="1"/>
  <c r="H1400" i="1"/>
  <c r="E1401" i="1"/>
  <c r="F1401" i="1"/>
  <c r="H1401" i="1"/>
  <c r="E1402" i="1"/>
  <c r="F1402" i="1"/>
  <c r="H1402" i="1"/>
  <c r="E1403" i="1"/>
  <c r="F1403" i="1"/>
  <c r="H1403" i="1"/>
  <c r="E1404" i="1"/>
  <c r="F1404" i="1"/>
  <c r="H1404" i="1"/>
  <c r="E1405" i="1"/>
  <c r="F1405" i="1"/>
  <c r="H1405" i="1"/>
  <c r="E1406" i="1"/>
  <c r="F1406" i="1"/>
  <c r="H1406" i="1"/>
  <c r="E1407" i="1"/>
  <c r="F1407" i="1"/>
  <c r="H1407" i="1"/>
  <c r="E1408" i="1"/>
  <c r="F1408" i="1"/>
  <c r="H1408" i="1"/>
  <c r="E1409" i="1"/>
  <c r="F1409" i="1"/>
  <c r="H1409" i="1"/>
  <c r="E1410" i="1"/>
  <c r="F1410" i="1"/>
  <c r="H1410" i="1"/>
  <c r="E1411" i="1"/>
  <c r="F1411" i="1"/>
  <c r="H1411" i="1"/>
  <c r="E1412" i="1"/>
  <c r="F1412" i="1"/>
  <c r="H1412" i="1"/>
  <c r="E1413" i="1"/>
  <c r="F1413" i="1"/>
  <c r="H1413" i="1"/>
  <c r="E1414" i="1"/>
  <c r="F1414" i="1"/>
  <c r="H1414" i="1"/>
  <c r="E1415" i="1"/>
  <c r="F1415" i="1"/>
  <c r="H1415" i="1"/>
  <c r="E1416" i="1"/>
  <c r="F1416" i="1"/>
  <c r="H1416" i="1"/>
  <c r="E1417" i="1"/>
  <c r="F1417" i="1"/>
  <c r="H1417" i="1"/>
  <c r="E1418" i="1"/>
  <c r="F1418" i="1"/>
  <c r="H1418" i="1"/>
  <c r="E1419" i="1"/>
  <c r="F1419" i="1"/>
  <c r="H1419" i="1"/>
  <c r="E1420" i="1"/>
  <c r="F1420" i="1"/>
  <c r="H1420" i="1"/>
  <c r="E1421" i="1"/>
  <c r="F1421" i="1"/>
  <c r="H1421" i="1"/>
  <c r="E1422" i="1"/>
  <c r="F1422" i="1"/>
  <c r="H1422" i="1"/>
  <c r="E1423" i="1"/>
  <c r="F1423" i="1"/>
  <c r="H1423" i="1"/>
  <c r="E1424" i="1"/>
  <c r="F1424" i="1"/>
  <c r="H1424" i="1"/>
  <c r="E1425" i="1"/>
  <c r="F1425" i="1"/>
  <c r="H1425" i="1"/>
  <c r="E1426" i="1"/>
  <c r="F1426" i="1"/>
  <c r="H1426" i="1"/>
  <c r="E1427" i="1"/>
  <c r="F1427" i="1"/>
  <c r="H1427" i="1"/>
  <c r="G1428" i="1"/>
  <c r="H1428" i="1"/>
  <c r="I1428" i="1"/>
  <c r="E1429" i="1"/>
  <c r="F1429" i="1"/>
  <c r="H1429" i="1"/>
  <c r="E1430" i="1"/>
  <c r="F1430" i="1"/>
  <c r="H1430" i="1"/>
  <c r="E1431" i="1"/>
  <c r="F1431" i="1"/>
  <c r="H1431" i="1"/>
  <c r="E1432" i="1"/>
  <c r="F1432" i="1"/>
  <c r="H1432" i="1"/>
  <c r="E1433" i="1"/>
  <c r="F1433" i="1"/>
  <c r="H1433" i="1"/>
  <c r="E1434" i="1"/>
  <c r="F1434" i="1"/>
  <c r="H1434" i="1"/>
  <c r="E1435" i="1"/>
  <c r="F1435" i="1"/>
  <c r="H1435" i="1"/>
  <c r="E1436" i="1"/>
  <c r="F1436" i="1"/>
  <c r="H1436" i="1"/>
  <c r="E1437" i="1"/>
  <c r="F1437" i="1"/>
  <c r="H1437" i="1"/>
  <c r="E1438" i="1"/>
  <c r="F1438" i="1"/>
  <c r="H1438" i="1"/>
  <c r="E1439" i="1"/>
  <c r="F1439" i="1"/>
  <c r="H1439" i="1"/>
  <c r="E1440" i="1"/>
  <c r="F1440" i="1"/>
  <c r="H1440" i="1"/>
  <c r="E1441" i="1"/>
  <c r="F1441" i="1"/>
  <c r="H1441" i="1"/>
  <c r="E1442" i="1"/>
  <c r="F1442" i="1"/>
  <c r="H1442" i="1"/>
  <c r="E1443" i="1"/>
  <c r="F1443" i="1"/>
  <c r="H1443" i="1"/>
  <c r="E1444" i="1"/>
  <c r="F1444" i="1"/>
  <c r="H1444" i="1"/>
  <c r="E1445" i="1"/>
  <c r="F1445" i="1"/>
  <c r="H1445" i="1"/>
  <c r="E1446" i="1"/>
  <c r="F1446" i="1"/>
  <c r="H1446" i="1"/>
  <c r="E1447" i="1"/>
  <c r="F1447" i="1"/>
  <c r="H1447" i="1"/>
  <c r="E1448" i="1"/>
  <c r="F1448" i="1"/>
  <c r="H1448" i="1"/>
  <c r="E1449" i="1"/>
  <c r="F1449" i="1"/>
  <c r="H1449" i="1"/>
  <c r="E1450" i="1"/>
  <c r="F1450" i="1"/>
  <c r="H1450" i="1"/>
  <c r="E1451" i="1"/>
  <c r="F1451" i="1"/>
  <c r="H1451" i="1"/>
  <c r="E1452" i="1"/>
  <c r="F1452" i="1"/>
  <c r="H1452" i="1"/>
  <c r="E1453" i="1"/>
  <c r="F1453" i="1"/>
  <c r="H1453" i="1"/>
  <c r="E1454" i="1"/>
  <c r="F1454" i="1"/>
  <c r="H1454" i="1"/>
  <c r="E1455" i="1"/>
  <c r="F1455" i="1"/>
  <c r="H1455" i="1"/>
  <c r="E1456" i="1"/>
  <c r="F1456" i="1"/>
  <c r="H1456" i="1"/>
  <c r="E1457" i="1"/>
  <c r="F1457" i="1"/>
  <c r="H1457" i="1"/>
  <c r="E1458" i="1"/>
  <c r="F1458" i="1"/>
  <c r="H1458" i="1"/>
  <c r="E1459" i="1"/>
  <c r="F1459" i="1"/>
  <c r="H1459" i="1"/>
  <c r="E1460" i="1"/>
  <c r="F1460" i="1"/>
  <c r="H1460" i="1"/>
  <c r="E1461" i="1"/>
  <c r="F1461" i="1"/>
  <c r="H1461" i="1"/>
  <c r="E1462" i="1"/>
  <c r="F1462" i="1"/>
  <c r="H1462" i="1"/>
  <c r="E1463" i="1"/>
  <c r="F1463" i="1"/>
  <c r="H1463" i="1"/>
  <c r="E1464" i="1"/>
  <c r="F1464" i="1"/>
  <c r="H1464" i="1"/>
  <c r="E1465" i="1"/>
  <c r="F1465" i="1"/>
  <c r="H1465" i="1"/>
  <c r="E1466" i="1"/>
  <c r="F1466" i="1"/>
  <c r="H1466" i="1"/>
  <c r="E1467" i="1"/>
  <c r="F1467" i="1"/>
  <c r="H1467" i="1"/>
  <c r="E1468" i="1"/>
  <c r="F1468" i="1"/>
  <c r="H1468" i="1"/>
  <c r="E1469" i="1"/>
  <c r="F1469" i="1"/>
  <c r="H1469" i="1"/>
  <c r="E1470" i="1"/>
  <c r="F1470" i="1"/>
  <c r="H1470" i="1"/>
  <c r="E1471" i="1"/>
  <c r="F1471" i="1"/>
  <c r="H1471" i="1"/>
  <c r="E1472" i="1"/>
  <c r="F1472" i="1"/>
  <c r="H1472" i="1"/>
  <c r="E1473" i="1"/>
  <c r="F1473" i="1"/>
  <c r="H1473" i="1"/>
  <c r="E1474" i="1"/>
  <c r="F1474" i="1"/>
  <c r="H1474" i="1"/>
  <c r="E1475" i="1"/>
  <c r="F1475" i="1"/>
  <c r="H1475" i="1"/>
  <c r="E1476" i="1"/>
  <c r="F1476" i="1"/>
  <c r="H1476" i="1"/>
  <c r="E1477" i="1"/>
  <c r="F1477" i="1"/>
  <c r="H1477" i="1"/>
  <c r="E1478" i="1"/>
  <c r="F1478" i="1"/>
  <c r="H1478" i="1"/>
  <c r="E1479" i="1"/>
  <c r="F1479" i="1"/>
  <c r="H1479" i="1"/>
  <c r="E1480" i="1"/>
  <c r="F1480" i="1"/>
  <c r="H1480" i="1"/>
  <c r="E1481" i="1"/>
  <c r="F1481" i="1"/>
  <c r="H1481" i="1"/>
  <c r="E1482" i="1"/>
  <c r="F1482" i="1"/>
  <c r="H1482" i="1"/>
  <c r="E1483" i="1"/>
  <c r="F1483" i="1"/>
  <c r="H1483" i="1"/>
  <c r="E1484" i="1"/>
  <c r="F1484" i="1"/>
  <c r="H1484" i="1"/>
  <c r="E1485" i="1"/>
  <c r="F1485" i="1"/>
  <c r="H1485" i="1"/>
  <c r="E1486" i="1"/>
  <c r="F1486" i="1"/>
  <c r="H1486" i="1"/>
  <c r="E1487" i="1"/>
  <c r="F1487" i="1"/>
  <c r="H1487" i="1"/>
  <c r="E1488" i="1"/>
  <c r="F1488" i="1"/>
  <c r="H1488" i="1"/>
  <c r="E1489" i="1"/>
  <c r="F1489" i="1"/>
  <c r="H1489" i="1"/>
  <c r="E1490" i="1"/>
  <c r="F1490" i="1"/>
  <c r="H1490" i="1"/>
  <c r="E1491" i="1"/>
  <c r="F1491" i="1"/>
  <c r="H1491" i="1"/>
  <c r="E1492" i="1"/>
  <c r="F1492" i="1"/>
  <c r="H1492" i="1"/>
  <c r="E1493" i="1"/>
  <c r="F1493" i="1"/>
  <c r="H1493" i="1"/>
  <c r="E1494" i="1"/>
  <c r="F1494" i="1"/>
  <c r="H1494" i="1"/>
  <c r="E1495" i="1"/>
  <c r="F1495" i="1"/>
  <c r="H1495" i="1"/>
  <c r="E1496" i="1"/>
  <c r="F1496" i="1"/>
  <c r="H1496" i="1"/>
  <c r="E1497" i="1"/>
  <c r="F1497" i="1"/>
  <c r="H1497" i="1"/>
  <c r="E1498" i="1"/>
  <c r="F1498" i="1"/>
  <c r="H1498" i="1"/>
  <c r="E1499" i="1"/>
  <c r="F1499" i="1"/>
  <c r="H1499" i="1"/>
  <c r="E1500" i="1"/>
  <c r="F1500" i="1"/>
  <c r="H1500" i="1"/>
  <c r="E1501" i="1"/>
  <c r="F1501" i="1"/>
  <c r="H1501" i="1"/>
  <c r="E1502" i="1"/>
  <c r="F1502" i="1"/>
  <c r="H1502" i="1"/>
  <c r="E1503" i="1"/>
  <c r="F1503" i="1"/>
  <c r="H1503" i="1"/>
  <c r="E1504" i="1"/>
  <c r="F1504" i="1"/>
  <c r="H1504" i="1"/>
  <c r="E1505" i="1"/>
  <c r="F1505" i="1"/>
  <c r="H1505" i="1"/>
  <c r="E1506" i="1"/>
  <c r="F1506" i="1"/>
  <c r="H1506" i="1"/>
  <c r="E1507" i="1"/>
  <c r="F1507" i="1"/>
  <c r="H1507" i="1"/>
  <c r="E1508" i="1"/>
  <c r="F1508" i="1"/>
  <c r="H1508" i="1"/>
  <c r="E1509" i="1"/>
  <c r="F1509" i="1"/>
  <c r="H1509" i="1"/>
  <c r="E1510" i="1"/>
  <c r="F1510" i="1"/>
  <c r="H1510" i="1"/>
  <c r="E1511" i="1"/>
  <c r="F1511" i="1"/>
  <c r="H1511" i="1"/>
  <c r="E1512" i="1"/>
  <c r="F1512" i="1"/>
  <c r="H1512" i="1"/>
  <c r="E1513" i="1"/>
  <c r="F1513" i="1"/>
  <c r="H1513" i="1"/>
  <c r="E1514" i="1"/>
  <c r="F1514" i="1"/>
  <c r="H1514" i="1"/>
  <c r="E1515" i="1"/>
  <c r="F1515" i="1"/>
  <c r="H1515" i="1"/>
  <c r="E1516" i="1"/>
  <c r="F1516" i="1"/>
  <c r="H1516" i="1"/>
  <c r="E1517" i="1"/>
  <c r="F1517" i="1"/>
  <c r="H1517" i="1"/>
  <c r="E1518" i="1"/>
  <c r="F1518" i="1"/>
  <c r="H1518" i="1"/>
  <c r="E1519" i="1"/>
  <c r="F1519" i="1"/>
  <c r="H1519" i="1"/>
  <c r="E1520" i="1"/>
  <c r="F1520" i="1"/>
  <c r="H1520" i="1"/>
  <c r="E1521" i="1"/>
  <c r="F1521" i="1"/>
  <c r="H1521" i="1"/>
  <c r="E1522" i="1"/>
  <c r="F1522" i="1"/>
  <c r="H1522" i="1"/>
  <c r="E1523" i="1"/>
  <c r="F1523" i="1"/>
  <c r="H1523" i="1"/>
  <c r="E1524" i="1"/>
  <c r="F1524" i="1"/>
  <c r="H1524" i="1"/>
  <c r="E1525" i="1"/>
  <c r="F1525" i="1"/>
  <c r="H1525" i="1"/>
  <c r="E1526" i="1"/>
  <c r="F1526" i="1"/>
  <c r="H1526" i="1"/>
  <c r="E1527" i="1"/>
  <c r="F1527" i="1"/>
  <c r="H1527" i="1"/>
  <c r="E1528" i="1"/>
  <c r="F1528" i="1"/>
  <c r="H1528" i="1"/>
  <c r="E1529" i="1"/>
  <c r="F1529" i="1"/>
  <c r="H1529" i="1"/>
  <c r="E1530" i="1"/>
  <c r="F1530" i="1"/>
  <c r="H1530" i="1"/>
  <c r="E1531" i="1"/>
  <c r="F1531" i="1"/>
  <c r="H1531" i="1"/>
  <c r="E1532" i="1"/>
  <c r="F1532" i="1"/>
  <c r="H1532" i="1"/>
  <c r="E1533" i="1"/>
  <c r="F1533" i="1"/>
  <c r="H1533" i="1"/>
  <c r="E1534" i="1"/>
  <c r="F1534" i="1"/>
  <c r="H1534" i="1"/>
  <c r="E1535" i="1"/>
  <c r="F1535" i="1"/>
  <c r="H1535" i="1"/>
  <c r="E1536" i="1"/>
  <c r="F1536" i="1"/>
  <c r="H1536" i="1"/>
  <c r="E1537" i="1"/>
  <c r="F1537" i="1"/>
  <c r="H1537" i="1"/>
  <c r="E1538" i="1"/>
  <c r="F1538" i="1"/>
  <c r="H1538" i="1"/>
  <c r="E1539" i="1"/>
  <c r="F1539" i="1"/>
  <c r="H1539" i="1"/>
  <c r="E1540" i="1"/>
  <c r="F1540" i="1"/>
  <c r="H1540" i="1"/>
  <c r="E1541" i="1"/>
  <c r="F1541" i="1"/>
  <c r="H1541" i="1"/>
  <c r="E1542" i="1"/>
  <c r="F1542" i="1"/>
  <c r="H1542" i="1"/>
  <c r="E1543" i="1"/>
  <c r="F1543" i="1"/>
  <c r="H1543" i="1"/>
  <c r="E1544" i="1"/>
  <c r="F1544" i="1"/>
  <c r="H1544" i="1"/>
  <c r="E1545" i="1"/>
  <c r="F1545" i="1"/>
  <c r="H1545" i="1"/>
  <c r="E1546" i="1"/>
  <c r="F1546" i="1"/>
  <c r="H1546" i="1"/>
  <c r="E1547" i="1"/>
  <c r="F1547" i="1"/>
  <c r="H1547" i="1"/>
  <c r="E1548" i="1"/>
  <c r="F1548" i="1"/>
  <c r="H1548" i="1"/>
  <c r="E1549" i="1"/>
  <c r="F1549" i="1"/>
  <c r="H1549" i="1"/>
  <c r="E1550" i="1"/>
  <c r="F1550" i="1"/>
  <c r="H1550" i="1"/>
  <c r="E1551" i="1"/>
  <c r="F1551" i="1"/>
  <c r="H1551" i="1"/>
  <c r="E1552" i="1"/>
  <c r="F1552" i="1"/>
  <c r="H1552" i="1"/>
  <c r="E1553" i="1"/>
  <c r="F1553" i="1"/>
  <c r="H1553" i="1"/>
  <c r="E1554" i="1"/>
  <c r="F1554" i="1"/>
  <c r="H1554" i="1"/>
  <c r="E1555" i="1"/>
  <c r="F1555" i="1"/>
  <c r="H1555" i="1"/>
  <c r="E1556" i="1"/>
  <c r="F1556" i="1"/>
  <c r="H1556" i="1"/>
  <c r="E1557" i="1"/>
  <c r="F1557" i="1"/>
  <c r="H1557" i="1"/>
  <c r="E1558" i="1"/>
  <c r="F1558" i="1"/>
  <c r="H1558" i="1"/>
  <c r="E1559" i="1"/>
  <c r="F1559" i="1"/>
  <c r="H1559" i="1"/>
  <c r="E1560" i="1"/>
  <c r="F1560" i="1"/>
  <c r="H1560" i="1"/>
  <c r="E1561" i="1"/>
  <c r="F1561" i="1"/>
  <c r="H1561" i="1"/>
  <c r="E1562" i="1"/>
  <c r="F1562" i="1"/>
  <c r="H1562" i="1"/>
  <c r="E1563" i="1"/>
  <c r="F1563" i="1"/>
  <c r="H1563" i="1"/>
  <c r="E1564" i="1"/>
  <c r="F1564" i="1"/>
  <c r="H1564" i="1"/>
  <c r="E1565" i="1"/>
  <c r="F1565" i="1"/>
  <c r="H1565" i="1"/>
  <c r="E1566" i="1"/>
  <c r="F1566" i="1"/>
  <c r="H1566" i="1"/>
  <c r="E1567" i="1"/>
  <c r="F1567" i="1"/>
  <c r="H1567" i="1"/>
  <c r="E1568" i="1"/>
  <c r="F1568" i="1"/>
  <c r="H1568" i="1"/>
  <c r="E1569" i="1"/>
  <c r="F1569" i="1"/>
  <c r="H1569" i="1"/>
  <c r="E1570" i="1"/>
  <c r="F1570" i="1"/>
  <c r="H1570" i="1"/>
  <c r="E1571" i="1"/>
  <c r="F1571" i="1"/>
  <c r="H1571" i="1"/>
  <c r="E1572" i="1"/>
  <c r="F1572" i="1"/>
  <c r="H1572" i="1"/>
  <c r="E1573" i="1"/>
  <c r="F1573" i="1"/>
  <c r="H1573" i="1"/>
  <c r="E1574" i="1"/>
  <c r="F1574" i="1"/>
  <c r="H1574" i="1"/>
  <c r="E1575" i="1"/>
  <c r="F1575" i="1"/>
  <c r="H1575" i="1"/>
  <c r="E1576" i="1"/>
  <c r="F1576" i="1"/>
  <c r="H1576" i="1"/>
  <c r="E1577" i="1"/>
  <c r="F1577" i="1"/>
  <c r="H1577" i="1"/>
  <c r="E1578" i="1"/>
  <c r="F1578" i="1"/>
  <c r="H1578" i="1"/>
  <c r="E1579" i="1"/>
  <c r="F1579" i="1"/>
  <c r="H1579" i="1"/>
  <c r="E1580" i="1"/>
  <c r="F1580" i="1"/>
  <c r="H1580" i="1"/>
  <c r="E1581" i="1"/>
  <c r="F1581" i="1"/>
  <c r="H1581" i="1"/>
  <c r="E1582" i="1"/>
  <c r="F1582" i="1"/>
  <c r="H1582" i="1"/>
  <c r="E1583" i="1"/>
  <c r="F1583" i="1"/>
  <c r="H1583" i="1"/>
  <c r="E1584" i="1"/>
  <c r="F1584" i="1"/>
  <c r="H1584" i="1"/>
  <c r="E1585" i="1"/>
  <c r="F1585" i="1"/>
  <c r="H1585" i="1"/>
  <c r="E1586" i="1"/>
  <c r="F1586" i="1"/>
  <c r="H1586" i="1"/>
  <c r="E1587" i="1"/>
  <c r="F1587" i="1"/>
  <c r="H1587" i="1"/>
  <c r="E1588" i="1"/>
  <c r="F1588" i="1"/>
  <c r="H1588" i="1"/>
  <c r="E1589" i="1"/>
  <c r="F1589" i="1"/>
  <c r="H1589" i="1"/>
  <c r="E1590" i="1"/>
  <c r="F1590" i="1"/>
  <c r="H1590" i="1"/>
  <c r="E1591" i="1"/>
  <c r="F1591" i="1"/>
  <c r="H1591" i="1"/>
  <c r="E1592" i="1"/>
  <c r="F1592" i="1"/>
  <c r="H1592" i="1"/>
  <c r="E1593" i="1"/>
  <c r="F1593" i="1"/>
  <c r="H1593" i="1"/>
  <c r="E1594" i="1"/>
  <c r="F1594" i="1"/>
  <c r="H1594" i="1"/>
  <c r="E1595" i="1"/>
  <c r="F1595" i="1"/>
  <c r="H1595" i="1"/>
  <c r="E1596" i="1"/>
  <c r="F1596" i="1"/>
  <c r="H1596" i="1"/>
  <c r="E1597" i="1"/>
  <c r="F1597" i="1"/>
  <c r="H1597" i="1"/>
  <c r="E1598" i="1"/>
  <c r="F1598" i="1"/>
  <c r="H1598" i="1"/>
  <c r="E1599" i="1"/>
  <c r="F1599" i="1"/>
  <c r="H1599" i="1"/>
  <c r="E1600" i="1"/>
  <c r="F1600" i="1"/>
  <c r="H1600" i="1"/>
  <c r="E1601" i="1"/>
  <c r="F1601" i="1"/>
  <c r="H1601" i="1"/>
  <c r="E1602" i="1"/>
  <c r="F1602" i="1"/>
  <c r="H1602" i="1"/>
  <c r="E1603" i="1"/>
  <c r="F1603" i="1"/>
  <c r="H1603" i="1"/>
  <c r="E1604" i="1"/>
  <c r="F1604" i="1"/>
  <c r="H1604" i="1"/>
  <c r="E1605" i="1"/>
  <c r="F1605" i="1"/>
  <c r="H1605" i="1"/>
  <c r="E1606" i="1"/>
  <c r="F1606" i="1"/>
  <c r="H1606" i="1"/>
  <c r="E1607" i="1"/>
  <c r="F1607" i="1"/>
  <c r="H1607" i="1"/>
  <c r="E1608" i="1"/>
  <c r="F1608" i="1"/>
  <c r="H1608" i="1"/>
  <c r="E1609" i="1"/>
  <c r="F1609" i="1"/>
  <c r="H1609" i="1"/>
  <c r="E1610" i="1"/>
  <c r="F1610" i="1"/>
  <c r="H1610" i="1"/>
  <c r="E1611" i="1"/>
  <c r="F1611" i="1"/>
  <c r="H1611" i="1"/>
  <c r="E1612" i="1"/>
  <c r="F1612" i="1"/>
  <c r="H1612" i="1"/>
  <c r="E1613" i="1"/>
  <c r="F1613" i="1"/>
  <c r="H1613" i="1"/>
  <c r="E1614" i="1"/>
  <c r="F1614" i="1"/>
  <c r="H1614" i="1"/>
  <c r="E1615" i="1"/>
  <c r="F1615" i="1"/>
  <c r="H1615" i="1"/>
  <c r="E1616" i="1"/>
  <c r="F1616" i="1"/>
  <c r="H1616" i="1"/>
  <c r="E1617" i="1"/>
  <c r="F1617" i="1"/>
  <c r="H1617" i="1"/>
  <c r="E1618" i="1"/>
  <c r="F1618" i="1"/>
  <c r="H1618" i="1"/>
  <c r="E1619" i="1"/>
  <c r="F1619" i="1"/>
  <c r="H1619" i="1"/>
  <c r="E1620" i="1"/>
  <c r="F1620" i="1"/>
  <c r="H1620" i="1"/>
  <c r="E1621" i="1"/>
  <c r="F1621" i="1"/>
  <c r="H1621" i="1"/>
  <c r="E1622" i="1"/>
  <c r="F1622" i="1"/>
  <c r="H1622" i="1"/>
  <c r="E1623" i="1"/>
  <c r="F1623" i="1"/>
  <c r="H1623" i="1"/>
  <c r="E1624" i="1"/>
  <c r="F1624" i="1"/>
  <c r="H1624" i="1"/>
  <c r="E1625" i="1"/>
  <c r="F1625" i="1"/>
  <c r="H1625" i="1"/>
  <c r="E1626" i="1"/>
  <c r="F1626" i="1"/>
  <c r="H1626" i="1"/>
  <c r="E1627" i="1"/>
  <c r="F1627" i="1"/>
  <c r="H1627" i="1"/>
  <c r="E1628" i="1"/>
  <c r="F1628" i="1"/>
  <c r="H1628" i="1"/>
  <c r="E1629" i="1"/>
  <c r="F1629" i="1"/>
  <c r="H1629" i="1"/>
  <c r="E1630" i="1"/>
  <c r="F1630" i="1"/>
  <c r="H1630" i="1"/>
  <c r="E1631" i="1"/>
  <c r="F1631" i="1"/>
  <c r="H1631" i="1"/>
  <c r="E1632" i="1"/>
  <c r="F1632" i="1"/>
  <c r="H1632" i="1"/>
  <c r="E1633" i="1"/>
  <c r="F1633" i="1"/>
  <c r="H1633" i="1"/>
  <c r="E1634" i="1"/>
  <c r="F1634" i="1"/>
  <c r="H1634" i="1"/>
  <c r="E1635" i="1"/>
  <c r="F1635" i="1"/>
  <c r="H1635" i="1"/>
  <c r="E1636" i="1"/>
  <c r="F1636" i="1"/>
  <c r="H1636" i="1"/>
  <c r="E1637" i="1"/>
  <c r="F1637" i="1"/>
  <c r="H1637" i="1"/>
  <c r="E1638" i="1"/>
  <c r="F1638" i="1"/>
  <c r="H1638" i="1"/>
  <c r="E1639" i="1"/>
  <c r="F1639" i="1"/>
  <c r="H1639" i="1"/>
  <c r="E1640" i="1"/>
  <c r="F1640" i="1"/>
  <c r="H1640" i="1"/>
  <c r="E1641" i="1"/>
  <c r="F1641" i="1"/>
  <c r="H1641" i="1"/>
  <c r="E1642" i="1"/>
  <c r="F1642" i="1"/>
  <c r="H1642" i="1"/>
  <c r="E1643" i="1"/>
  <c r="F1643" i="1"/>
  <c r="H1643" i="1"/>
  <c r="E1644" i="1"/>
  <c r="F1644" i="1"/>
  <c r="H1644" i="1"/>
  <c r="E1645" i="1"/>
  <c r="F1645" i="1"/>
  <c r="H1645" i="1"/>
  <c r="E1646" i="1"/>
  <c r="F1646" i="1"/>
  <c r="H1646" i="1"/>
  <c r="E1647" i="1"/>
  <c r="F1647" i="1"/>
  <c r="H1647" i="1"/>
  <c r="E1648" i="1"/>
  <c r="F1648" i="1"/>
  <c r="H1648" i="1"/>
  <c r="E1649" i="1"/>
  <c r="F1649" i="1"/>
  <c r="H1649" i="1"/>
  <c r="E1650" i="1"/>
  <c r="F1650" i="1"/>
  <c r="H1650" i="1"/>
  <c r="E1651" i="1"/>
  <c r="F1651" i="1"/>
  <c r="H1651" i="1"/>
  <c r="E1652" i="1"/>
  <c r="F1652" i="1"/>
  <c r="H1652" i="1"/>
  <c r="E1653" i="1"/>
  <c r="F1653" i="1"/>
  <c r="H1653" i="1"/>
  <c r="E1654" i="1"/>
  <c r="F1654" i="1"/>
  <c r="H1654" i="1"/>
  <c r="E1655" i="1"/>
  <c r="F1655" i="1"/>
  <c r="H1655" i="1"/>
  <c r="E1656" i="1"/>
  <c r="F1656" i="1"/>
  <c r="H1656" i="1"/>
  <c r="E1657" i="1"/>
  <c r="F1657" i="1"/>
  <c r="H1657" i="1"/>
  <c r="E1658" i="1"/>
  <c r="F1658" i="1"/>
  <c r="H1658" i="1"/>
  <c r="E1659" i="1"/>
  <c r="F1659" i="1"/>
  <c r="H1659" i="1"/>
  <c r="E1660" i="1"/>
  <c r="F1660" i="1"/>
  <c r="H1660" i="1"/>
  <c r="E1661" i="1"/>
  <c r="F1661" i="1"/>
  <c r="H1661" i="1"/>
  <c r="E1662" i="1"/>
  <c r="F1662" i="1"/>
  <c r="H1662" i="1"/>
  <c r="E1663" i="1"/>
  <c r="F1663" i="1"/>
  <c r="H1663" i="1"/>
  <c r="E1664" i="1"/>
  <c r="F1664" i="1"/>
  <c r="H1664" i="1"/>
  <c r="E1665" i="1"/>
  <c r="F1665" i="1"/>
  <c r="H1665" i="1"/>
  <c r="E1666" i="1"/>
  <c r="F1666" i="1"/>
  <c r="H1666" i="1"/>
  <c r="E1667" i="1"/>
  <c r="F1667" i="1"/>
  <c r="H1667" i="1"/>
  <c r="E1668" i="1"/>
  <c r="F1668" i="1"/>
  <c r="H1668" i="1"/>
  <c r="E1669" i="1"/>
  <c r="F1669" i="1"/>
  <c r="H1669" i="1"/>
  <c r="E1670" i="1"/>
  <c r="F1670" i="1"/>
  <c r="H1670" i="1"/>
  <c r="E1671" i="1"/>
  <c r="F1671" i="1"/>
  <c r="H1671" i="1"/>
  <c r="E1672" i="1"/>
  <c r="F1672" i="1"/>
  <c r="H1672" i="1"/>
  <c r="E1673" i="1"/>
  <c r="F1673" i="1"/>
  <c r="H1673" i="1"/>
  <c r="E1674" i="1"/>
  <c r="F1674" i="1"/>
  <c r="H1674" i="1"/>
  <c r="E1675" i="1"/>
  <c r="F1675" i="1"/>
  <c r="H1675" i="1"/>
  <c r="E1676" i="1"/>
  <c r="F1676" i="1"/>
  <c r="H1676" i="1"/>
  <c r="E1677" i="1"/>
  <c r="F1677" i="1"/>
  <c r="H1677" i="1"/>
  <c r="E1678" i="1"/>
  <c r="F1678" i="1"/>
  <c r="H1678" i="1"/>
  <c r="E1679" i="1"/>
  <c r="F1679" i="1"/>
  <c r="H1679" i="1"/>
  <c r="E1680" i="1"/>
  <c r="F1680" i="1"/>
  <c r="H1680" i="1"/>
  <c r="E1681" i="1"/>
  <c r="F1681" i="1"/>
  <c r="H1681" i="1"/>
  <c r="E1682" i="1"/>
  <c r="F1682" i="1"/>
  <c r="H1682" i="1"/>
  <c r="E1683" i="1"/>
  <c r="F1683" i="1"/>
  <c r="H1683" i="1"/>
  <c r="E1684" i="1"/>
  <c r="F1684" i="1"/>
  <c r="H1684" i="1"/>
  <c r="E1685" i="1"/>
  <c r="F1685" i="1"/>
  <c r="H1685" i="1"/>
  <c r="E1686" i="1"/>
  <c r="F1686" i="1"/>
  <c r="H1686" i="1"/>
  <c r="E1687" i="1"/>
  <c r="F1687" i="1"/>
  <c r="H1687" i="1"/>
  <c r="E1688" i="1"/>
  <c r="F1688" i="1"/>
  <c r="H1688" i="1"/>
  <c r="E1689" i="1"/>
  <c r="F1689" i="1"/>
  <c r="H1689" i="1"/>
  <c r="E1690" i="1"/>
  <c r="F1690" i="1"/>
  <c r="H1690" i="1"/>
  <c r="E1691" i="1"/>
  <c r="F1691" i="1"/>
  <c r="H1691" i="1"/>
  <c r="E1692" i="1"/>
  <c r="F1692" i="1"/>
  <c r="H1692" i="1"/>
  <c r="E1693" i="1"/>
  <c r="F1693" i="1"/>
  <c r="H1693" i="1"/>
  <c r="E1694" i="1"/>
  <c r="F1694" i="1"/>
  <c r="H1694" i="1"/>
  <c r="E1695" i="1"/>
  <c r="F1695" i="1"/>
  <c r="H1695" i="1"/>
  <c r="E1696" i="1"/>
  <c r="F1696" i="1"/>
  <c r="H1696" i="1"/>
  <c r="E1697" i="1"/>
  <c r="F1697" i="1"/>
  <c r="H1697" i="1"/>
  <c r="E1698" i="1"/>
  <c r="F1698" i="1"/>
  <c r="H1698" i="1"/>
  <c r="E1699" i="1"/>
  <c r="F1699" i="1"/>
  <c r="H1699" i="1"/>
  <c r="E1700" i="1"/>
  <c r="F1700" i="1"/>
  <c r="H1700" i="1"/>
  <c r="E1701" i="1"/>
  <c r="F1701" i="1"/>
  <c r="H1701" i="1"/>
  <c r="E1702" i="1"/>
  <c r="F1702" i="1"/>
  <c r="H1702" i="1"/>
  <c r="E1703" i="1"/>
  <c r="F1703" i="1"/>
  <c r="H1703" i="1"/>
  <c r="E1704" i="1"/>
  <c r="F1704" i="1"/>
  <c r="H1704" i="1"/>
  <c r="E1705" i="1"/>
  <c r="F1705" i="1"/>
  <c r="H1705" i="1"/>
  <c r="E1706" i="1"/>
  <c r="F1706" i="1"/>
  <c r="H1706" i="1"/>
  <c r="E1707" i="1"/>
  <c r="F1707" i="1"/>
  <c r="H1707" i="1"/>
  <c r="E1708" i="1"/>
  <c r="F1708" i="1"/>
  <c r="H1708" i="1"/>
  <c r="E1709" i="1"/>
  <c r="F1709" i="1"/>
  <c r="H1709" i="1"/>
  <c r="E1710" i="1"/>
  <c r="F1710" i="1"/>
  <c r="H1710" i="1"/>
  <c r="E1711" i="1"/>
  <c r="F1711" i="1"/>
  <c r="H1711" i="1"/>
  <c r="E1712" i="1"/>
  <c r="F1712" i="1"/>
  <c r="H1712" i="1"/>
  <c r="E1713" i="1"/>
  <c r="F1713" i="1"/>
  <c r="H1713" i="1"/>
  <c r="E1714" i="1"/>
  <c r="F1714" i="1"/>
  <c r="H1714" i="1"/>
  <c r="E1715" i="1"/>
  <c r="F1715" i="1"/>
  <c r="H1715" i="1"/>
  <c r="E1716" i="1"/>
  <c r="F1716" i="1"/>
  <c r="H1716" i="1"/>
  <c r="E1717" i="1"/>
  <c r="F1717" i="1"/>
  <c r="H1717" i="1"/>
  <c r="E1718" i="1"/>
  <c r="F1718" i="1"/>
  <c r="H1718" i="1"/>
  <c r="E1719" i="1"/>
  <c r="F1719" i="1"/>
  <c r="H1719" i="1"/>
  <c r="E1720" i="1"/>
  <c r="F1720" i="1"/>
  <c r="H1720" i="1"/>
  <c r="E1721" i="1"/>
  <c r="F1721" i="1"/>
  <c r="H1721" i="1"/>
  <c r="E1722" i="1"/>
  <c r="F1722" i="1"/>
  <c r="H1722" i="1"/>
  <c r="E1723" i="1"/>
  <c r="F1723" i="1"/>
  <c r="H1723" i="1"/>
  <c r="E1724" i="1"/>
  <c r="F1724" i="1"/>
  <c r="H1724" i="1"/>
  <c r="E1725" i="1"/>
  <c r="F1725" i="1"/>
  <c r="H1725" i="1"/>
  <c r="E1726" i="1"/>
  <c r="F1726" i="1"/>
  <c r="H1726" i="1"/>
  <c r="E1727" i="1"/>
  <c r="F1727" i="1"/>
  <c r="H1727" i="1"/>
  <c r="E1728" i="1"/>
  <c r="F1728" i="1"/>
  <c r="H1728" i="1"/>
  <c r="E1729" i="1"/>
  <c r="F1729" i="1"/>
  <c r="H1729" i="1"/>
  <c r="E1730" i="1"/>
  <c r="F1730" i="1"/>
  <c r="H1730" i="1"/>
  <c r="E1731" i="1"/>
  <c r="F1731" i="1"/>
  <c r="H1731" i="1"/>
  <c r="E1732" i="1"/>
  <c r="F1732" i="1"/>
  <c r="H1732" i="1"/>
  <c r="E1733" i="1"/>
  <c r="F1733" i="1"/>
  <c r="H1733" i="1"/>
  <c r="E1734" i="1"/>
  <c r="F1734" i="1"/>
  <c r="H1734" i="1"/>
  <c r="E1735" i="1"/>
  <c r="F1735" i="1"/>
  <c r="H1735" i="1"/>
  <c r="E1736" i="1"/>
  <c r="F1736" i="1"/>
  <c r="H1736" i="1"/>
  <c r="E1737" i="1"/>
  <c r="F1737" i="1"/>
  <c r="H1737" i="1"/>
  <c r="E1738" i="1"/>
  <c r="F1738" i="1"/>
  <c r="H1738" i="1"/>
  <c r="E1739" i="1"/>
  <c r="F1739" i="1"/>
  <c r="H1739" i="1"/>
  <c r="E1740" i="1"/>
  <c r="F1740" i="1"/>
  <c r="H1740" i="1"/>
  <c r="E1741" i="1"/>
  <c r="F1741" i="1"/>
  <c r="H1741" i="1"/>
  <c r="E1742" i="1"/>
  <c r="F1742" i="1"/>
  <c r="H1742" i="1"/>
  <c r="E1743" i="1"/>
  <c r="F1743" i="1"/>
  <c r="H1743" i="1"/>
  <c r="E1744" i="1"/>
  <c r="F1744" i="1"/>
  <c r="H1744" i="1"/>
  <c r="E1745" i="1"/>
  <c r="F1745" i="1"/>
  <c r="H1745" i="1"/>
  <c r="E1746" i="1"/>
  <c r="F1746" i="1"/>
  <c r="H1746" i="1"/>
  <c r="E1747" i="1"/>
  <c r="F1747" i="1"/>
  <c r="H1747" i="1"/>
  <c r="E1748" i="1"/>
  <c r="F1748" i="1"/>
  <c r="H1748" i="1"/>
  <c r="E1749" i="1"/>
  <c r="F1749" i="1"/>
  <c r="H1749" i="1"/>
  <c r="E1750" i="1"/>
  <c r="F1750" i="1"/>
  <c r="H1750" i="1"/>
  <c r="E1751" i="1"/>
  <c r="F1751" i="1"/>
  <c r="H1751" i="1"/>
  <c r="E1752" i="1"/>
  <c r="F1752" i="1"/>
  <c r="H1752" i="1"/>
  <c r="E1753" i="1"/>
  <c r="F1753" i="1"/>
  <c r="H1753" i="1"/>
  <c r="E1754" i="1"/>
  <c r="F1754" i="1"/>
  <c r="H1754" i="1"/>
  <c r="E1755" i="1"/>
  <c r="F1755" i="1"/>
  <c r="H1755" i="1"/>
  <c r="E1756" i="1"/>
  <c r="F1756" i="1"/>
  <c r="H1756" i="1"/>
  <c r="E1757" i="1"/>
  <c r="F1757" i="1"/>
  <c r="H1757" i="1"/>
  <c r="E1758" i="1"/>
  <c r="F1758" i="1"/>
  <c r="H1758" i="1"/>
  <c r="E1759" i="1"/>
  <c r="F1759" i="1"/>
  <c r="H1759" i="1"/>
  <c r="E1760" i="1"/>
  <c r="F1760" i="1"/>
  <c r="H1760" i="1"/>
  <c r="E1761" i="1"/>
  <c r="F1761" i="1"/>
  <c r="H1761" i="1"/>
  <c r="E1762" i="1"/>
  <c r="F1762" i="1"/>
  <c r="H1762" i="1"/>
  <c r="E1763" i="1"/>
  <c r="F1763" i="1"/>
  <c r="H1763" i="1"/>
  <c r="E1764" i="1"/>
  <c r="F1764" i="1"/>
  <c r="H1764" i="1"/>
  <c r="E1765" i="1"/>
  <c r="F1765" i="1"/>
  <c r="H1765" i="1"/>
  <c r="E1766" i="1"/>
  <c r="F1766" i="1"/>
  <c r="H1766" i="1"/>
  <c r="E1767" i="1"/>
  <c r="F1767" i="1"/>
  <c r="H1767" i="1"/>
  <c r="E1768" i="1"/>
  <c r="F1768" i="1"/>
  <c r="H1768" i="1"/>
  <c r="E1769" i="1"/>
  <c r="F1769" i="1"/>
  <c r="H1769" i="1"/>
  <c r="E1770" i="1"/>
  <c r="F1770" i="1"/>
  <c r="H1770" i="1"/>
  <c r="E1771" i="1"/>
  <c r="F1771" i="1"/>
  <c r="H1771" i="1"/>
  <c r="E1772" i="1"/>
  <c r="F1772" i="1"/>
  <c r="H1772" i="1"/>
  <c r="E1773" i="1"/>
  <c r="F1773" i="1"/>
  <c r="H1773" i="1"/>
  <c r="E1774" i="1"/>
  <c r="F1774" i="1"/>
  <c r="H1774" i="1"/>
  <c r="E1775" i="1"/>
  <c r="F1775" i="1"/>
  <c r="H1775" i="1"/>
  <c r="E1776" i="1"/>
  <c r="F1776" i="1"/>
  <c r="H1776" i="1"/>
  <c r="E1777" i="1"/>
  <c r="F1777" i="1"/>
  <c r="H1777" i="1"/>
  <c r="E1778" i="1"/>
  <c r="F1778" i="1"/>
  <c r="H1778" i="1"/>
  <c r="E1779" i="1"/>
  <c r="F1779" i="1"/>
  <c r="H1779" i="1"/>
  <c r="E1780" i="1"/>
  <c r="F1780" i="1"/>
  <c r="H1780" i="1"/>
  <c r="E1781" i="1"/>
  <c r="F1781" i="1"/>
  <c r="H1781" i="1"/>
  <c r="E1782" i="1"/>
  <c r="F1782" i="1"/>
  <c r="H1782" i="1"/>
  <c r="E1783" i="1"/>
  <c r="F1783" i="1"/>
  <c r="H1783" i="1"/>
  <c r="E1784" i="1"/>
  <c r="F1784" i="1"/>
  <c r="H1784" i="1"/>
  <c r="E1785" i="1"/>
  <c r="F1785" i="1"/>
  <c r="H1785" i="1"/>
  <c r="E1786" i="1"/>
  <c r="F1786" i="1"/>
  <c r="H1786" i="1"/>
  <c r="E1787" i="1"/>
  <c r="F1787" i="1"/>
  <c r="H1787" i="1"/>
  <c r="E1788" i="1"/>
  <c r="F1788" i="1"/>
  <c r="H1788" i="1"/>
  <c r="E1789" i="1"/>
  <c r="F1789" i="1"/>
  <c r="H1789" i="1"/>
  <c r="E1790" i="1"/>
  <c r="F1790" i="1"/>
  <c r="H1790" i="1"/>
  <c r="E1791" i="1"/>
  <c r="F1791" i="1"/>
  <c r="H1791" i="1"/>
  <c r="E1792" i="1"/>
  <c r="F1792" i="1"/>
  <c r="H1792" i="1"/>
  <c r="E1793" i="1"/>
  <c r="F1793" i="1"/>
  <c r="H1793" i="1"/>
  <c r="E1794" i="1"/>
  <c r="F1794" i="1"/>
  <c r="H1794" i="1"/>
  <c r="E1795" i="1"/>
  <c r="F1795" i="1"/>
  <c r="H1795" i="1"/>
  <c r="E1796" i="1"/>
  <c r="F1796" i="1"/>
  <c r="H1796" i="1"/>
  <c r="E1797" i="1"/>
  <c r="F1797" i="1"/>
  <c r="H1797" i="1"/>
  <c r="E1798" i="1"/>
  <c r="F1798" i="1"/>
  <c r="H1798" i="1"/>
  <c r="E1799" i="1"/>
  <c r="F1799" i="1"/>
  <c r="H1799" i="1"/>
  <c r="E1800" i="1"/>
  <c r="F1800" i="1"/>
  <c r="H1800" i="1"/>
  <c r="E1801" i="1"/>
  <c r="F1801" i="1"/>
  <c r="H1801" i="1"/>
  <c r="E1802" i="1"/>
  <c r="F1802" i="1"/>
  <c r="H1802" i="1"/>
  <c r="E1803" i="1"/>
  <c r="F1803" i="1"/>
  <c r="H1803" i="1"/>
  <c r="E1804" i="1"/>
  <c r="F1804" i="1"/>
  <c r="H1804" i="1"/>
  <c r="E1805" i="1"/>
  <c r="F1805" i="1"/>
  <c r="H1805" i="1"/>
  <c r="E1806" i="1"/>
  <c r="F1806" i="1"/>
  <c r="H1806" i="1"/>
  <c r="E1807" i="1"/>
  <c r="F1807" i="1"/>
  <c r="H1807" i="1"/>
  <c r="E1808" i="1"/>
  <c r="F1808" i="1"/>
  <c r="H1808" i="1"/>
  <c r="E1809" i="1"/>
  <c r="F1809" i="1"/>
  <c r="H1809" i="1"/>
  <c r="E1810" i="1"/>
  <c r="F1810" i="1"/>
  <c r="H1810" i="1"/>
  <c r="E1811" i="1"/>
  <c r="F1811" i="1"/>
  <c r="H1811" i="1"/>
  <c r="E1812" i="1"/>
  <c r="F1812" i="1"/>
  <c r="H1812" i="1"/>
  <c r="E1813" i="1"/>
  <c r="F1813" i="1"/>
  <c r="H1813" i="1"/>
  <c r="E1814" i="1"/>
  <c r="F1814" i="1"/>
  <c r="H1814" i="1"/>
  <c r="E1815" i="1"/>
  <c r="F1815" i="1"/>
  <c r="H1815" i="1"/>
  <c r="E1816" i="1"/>
  <c r="F1816" i="1"/>
  <c r="H1816" i="1"/>
  <c r="E1817" i="1"/>
  <c r="F1817" i="1"/>
  <c r="H1817" i="1"/>
  <c r="E1818" i="1"/>
  <c r="F1818" i="1"/>
  <c r="H1818" i="1"/>
  <c r="E1819" i="1"/>
  <c r="F1819" i="1"/>
  <c r="H1819" i="1"/>
  <c r="E1820" i="1"/>
  <c r="F1820" i="1"/>
  <c r="H1820" i="1"/>
  <c r="E1821" i="1"/>
  <c r="F1821" i="1"/>
  <c r="H1821" i="1"/>
  <c r="E1822" i="1"/>
  <c r="F1822" i="1"/>
  <c r="H1822" i="1"/>
  <c r="E1823" i="1"/>
  <c r="F1823" i="1"/>
  <c r="H1823" i="1"/>
  <c r="E1824" i="1"/>
  <c r="F1824" i="1"/>
  <c r="H1824" i="1"/>
  <c r="E1825" i="1"/>
  <c r="F1825" i="1"/>
  <c r="H1825" i="1"/>
  <c r="E1826" i="1"/>
  <c r="F1826" i="1"/>
  <c r="H1826" i="1"/>
  <c r="E1827" i="1"/>
  <c r="F1827" i="1"/>
  <c r="H1827" i="1"/>
  <c r="E1828" i="1"/>
  <c r="F1828" i="1"/>
  <c r="H1828" i="1"/>
  <c r="E1829" i="1"/>
  <c r="F1829" i="1"/>
  <c r="H1829" i="1"/>
  <c r="E1830" i="1"/>
  <c r="F1830" i="1"/>
  <c r="H1830" i="1"/>
  <c r="E1831" i="1"/>
  <c r="F1831" i="1"/>
  <c r="H1831" i="1"/>
  <c r="E1832" i="1"/>
  <c r="F1832" i="1"/>
  <c r="H1832" i="1"/>
  <c r="E1833" i="1"/>
  <c r="F1833" i="1"/>
  <c r="H1833" i="1"/>
  <c r="E1834" i="1"/>
  <c r="F1834" i="1"/>
  <c r="H1834" i="1"/>
  <c r="E1835" i="1"/>
  <c r="F1835" i="1"/>
  <c r="H1835" i="1"/>
  <c r="E1836" i="1"/>
  <c r="F1836" i="1"/>
  <c r="H1836" i="1"/>
  <c r="E1837" i="1"/>
  <c r="F1837" i="1"/>
  <c r="H1837" i="1"/>
  <c r="E1838" i="1"/>
  <c r="F1838" i="1"/>
  <c r="H1838" i="1"/>
  <c r="E1839" i="1"/>
  <c r="F1839" i="1"/>
  <c r="H1839" i="1"/>
  <c r="E1840" i="1"/>
  <c r="F1840" i="1"/>
  <c r="H1840" i="1"/>
  <c r="E1841" i="1"/>
  <c r="F1841" i="1"/>
  <c r="H1841" i="1"/>
  <c r="E1842" i="1"/>
  <c r="F1842" i="1"/>
  <c r="H1842" i="1"/>
  <c r="E1843" i="1"/>
  <c r="F1843" i="1"/>
  <c r="H1843" i="1"/>
  <c r="E1844" i="1"/>
  <c r="F1844" i="1"/>
  <c r="H1844" i="1"/>
  <c r="E1845" i="1"/>
  <c r="F1845" i="1"/>
  <c r="H1845" i="1"/>
  <c r="E1846" i="1"/>
  <c r="F1846" i="1"/>
  <c r="H1846" i="1"/>
  <c r="E1847" i="1"/>
  <c r="F1847" i="1"/>
  <c r="H1847" i="1"/>
  <c r="E1848" i="1"/>
  <c r="F1848" i="1"/>
  <c r="H1848" i="1"/>
  <c r="E1849" i="1"/>
  <c r="F1849" i="1"/>
  <c r="H1849" i="1"/>
  <c r="E1850" i="1"/>
  <c r="F1850" i="1"/>
  <c r="H1850" i="1"/>
  <c r="E1851" i="1"/>
  <c r="F1851" i="1"/>
  <c r="H1851" i="1"/>
  <c r="E1852" i="1"/>
  <c r="F1852" i="1"/>
  <c r="H1852" i="1"/>
  <c r="E1853" i="1"/>
  <c r="F1853" i="1"/>
  <c r="H1853" i="1"/>
  <c r="E1854" i="1"/>
  <c r="F1854" i="1"/>
  <c r="H1854" i="1"/>
  <c r="E1855" i="1"/>
  <c r="F1855" i="1"/>
  <c r="H1855" i="1"/>
  <c r="E1856" i="1"/>
  <c r="F1856" i="1"/>
  <c r="H1856" i="1"/>
  <c r="E1857" i="1"/>
  <c r="F1857" i="1"/>
  <c r="H1857" i="1"/>
  <c r="E1858" i="1"/>
  <c r="F1858" i="1"/>
  <c r="H1858" i="1"/>
  <c r="E1859" i="1"/>
  <c r="F1859" i="1"/>
  <c r="H1859" i="1"/>
  <c r="E1860" i="1"/>
  <c r="F1860" i="1"/>
  <c r="H1860" i="1"/>
  <c r="E1861" i="1"/>
  <c r="F1861" i="1"/>
  <c r="H1861" i="1"/>
  <c r="E1862" i="1"/>
  <c r="F1862" i="1"/>
  <c r="H1862" i="1"/>
  <c r="E1863" i="1"/>
  <c r="F1863" i="1"/>
  <c r="H1863" i="1"/>
  <c r="E1864" i="1"/>
  <c r="F1864" i="1"/>
  <c r="H1864" i="1"/>
  <c r="E1865" i="1"/>
  <c r="F1865" i="1"/>
  <c r="H1865" i="1"/>
  <c r="E1866" i="1"/>
  <c r="F1866" i="1"/>
  <c r="H1866" i="1"/>
  <c r="E1867" i="1"/>
  <c r="F1867" i="1"/>
  <c r="H1867" i="1"/>
  <c r="E1868" i="1"/>
  <c r="F1868" i="1"/>
  <c r="H1868" i="1"/>
  <c r="E1869" i="1"/>
  <c r="F1869" i="1"/>
  <c r="H1869" i="1"/>
  <c r="E1870" i="1"/>
  <c r="F1870" i="1"/>
  <c r="H1870" i="1"/>
  <c r="E1871" i="1"/>
  <c r="F1871" i="1"/>
  <c r="H1871" i="1"/>
  <c r="E1872" i="1"/>
  <c r="F1872" i="1"/>
  <c r="H1872" i="1"/>
  <c r="E1873" i="1"/>
  <c r="F1873" i="1"/>
  <c r="H1873" i="1"/>
  <c r="E1874" i="1"/>
  <c r="F1874" i="1"/>
  <c r="H1874" i="1"/>
  <c r="E1875" i="1"/>
  <c r="F1875" i="1"/>
  <c r="H1875" i="1"/>
  <c r="E1876" i="1"/>
  <c r="F1876" i="1"/>
  <c r="H1876" i="1"/>
  <c r="E1877" i="1"/>
  <c r="F1877" i="1"/>
  <c r="H1877" i="1"/>
  <c r="E1878" i="1"/>
  <c r="F1878" i="1"/>
  <c r="H1878" i="1"/>
  <c r="E1879" i="1"/>
  <c r="F1879" i="1"/>
  <c r="H1879" i="1"/>
  <c r="E1880" i="1"/>
  <c r="F1880" i="1"/>
  <c r="H1880" i="1"/>
  <c r="E1881" i="1"/>
  <c r="F1881" i="1"/>
  <c r="H1881" i="1"/>
  <c r="E1882" i="1"/>
  <c r="F1882" i="1"/>
  <c r="H1882" i="1"/>
  <c r="E1883" i="1"/>
  <c r="F1883" i="1"/>
  <c r="H1883" i="1"/>
  <c r="E1884" i="1"/>
  <c r="F1884" i="1"/>
  <c r="H1884" i="1"/>
  <c r="E1885" i="1"/>
  <c r="F1885" i="1"/>
  <c r="H1885" i="1"/>
  <c r="E1886" i="1"/>
  <c r="F1886" i="1"/>
  <c r="H1886" i="1"/>
  <c r="E1887" i="1"/>
  <c r="F1887" i="1"/>
  <c r="H1887" i="1"/>
  <c r="E1888" i="1"/>
  <c r="F1888" i="1"/>
  <c r="H1888" i="1"/>
  <c r="E1889" i="1"/>
  <c r="F1889" i="1"/>
  <c r="H1889" i="1"/>
  <c r="E1890" i="1"/>
  <c r="F1890" i="1"/>
  <c r="H1890" i="1"/>
  <c r="E1891" i="1"/>
  <c r="F1891" i="1"/>
  <c r="H1891" i="1"/>
  <c r="E1892" i="1"/>
  <c r="F1892" i="1"/>
  <c r="H1892" i="1"/>
  <c r="E1893" i="1"/>
  <c r="F1893" i="1"/>
  <c r="H1893" i="1"/>
  <c r="E1894" i="1"/>
  <c r="F1894" i="1"/>
  <c r="H1894" i="1"/>
  <c r="E1895" i="1"/>
  <c r="F1895" i="1"/>
  <c r="H1895" i="1"/>
  <c r="E1896" i="1"/>
  <c r="F1896" i="1"/>
  <c r="H1896" i="1"/>
  <c r="E1897" i="1"/>
  <c r="F1897" i="1"/>
  <c r="H1897" i="1"/>
  <c r="E1898" i="1"/>
  <c r="F1898" i="1"/>
  <c r="H1898" i="1"/>
  <c r="E1899" i="1"/>
  <c r="F1899" i="1"/>
  <c r="H1899" i="1"/>
  <c r="E1900" i="1"/>
  <c r="F1900" i="1"/>
  <c r="H1900" i="1"/>
  <c r="E1901" i="1"/>
  <c r="F1901" i="1"/>
  <c r="H1901" i="1"/>
  <c r="E1902" i="1"/>
  <c r="F1902" i="1"/>
  <c r="H1902" i="1"/>
  <c r="E1903" i="1"/>
  <c r="F1903" i="1"/>
  <c r="H1903" i="1"/>
  <c r="E1904" i="1"/>
  <c r="F1904" i="1"/>
  <c r="H1904" i="1"/>
  <c r="E1905" i="1"/>
  <c r="F1905" i="1"/>
  <c r="H1905" i="1"/>
  <c r="E1906" i="1"/>
  <c r="F1906" i="1"/>
  <c r="H1906" i="1"/>
  <c r="E1907" i="1"/>
  <c r="F1907" i="1"/>
  <c r="H1907" i="1"/>
  <c r="E1908" i="1"/>
  <c r="F1908" i="1"/>
  <c r="H1908" i="1"/>
  <c r="E1909" i="1"/>
  <c r="F1909" i="1"/>
  <c r="H1909" i="1"/>
  <c r="E1910" i="1"/>
  <c r="F1910" i="1"/>
  <c r="H1910" i="1"/>
  <c r="E1911" i="1"/>
  <c r="F1911" i="1"/>
  <c r="H1911" i="1"/>
  <c r="E1912" i="1"/>
  <c r="F1912" i="1"/>
  <c r="H1912" i="1"/>
  <c r="E1913" i="1"/>
  <c r="F1913" i="1"/>
  <c r="H1913" i="1"/>
  <c r="E1914" i="1"/>
  <c r="F1914" i="1"/>
  <c r="H1914" i="1"/>
  <c r="E1915" i="1"/>
  <c r="F1915" i="1"/>
  <c r="H1915" i="1"/>
  <c r="E1916" i="1"/>
  <c r="F1916" i="1"/>
  <c r="H1916" i="1"/>
  <c r="E1917" i="1"/>
  <c r="F1917" i="1"/>
  <c r="H1917" i="1"/>
  <c r="E1918" i="1"/>
  <c r="F1918" i="1"/>
  <c r="H1918" i="1"/>
  <c r="E1919" i="1"/>
  <c r="F1919" i="1"/>
  <c r="H1919" i="1"/>
  <c r="E1920" i="1"/>
  <c r="F1920" i="1"/>
  <c r="H1920" i="1"/>
  <c r="E1921" i="1"/>
  <c r="F1921" i="1"/>
  <c r="H1921" i="1"/>
  <c r="E1922" i="1"/>
  <c r="F1922" i="1"/>
  <c r="H1922" i="1"/>
  <c r="E1923" i="1"/>
  <c r="F1923" i="1"/>
  <c r="H1923" i="1"/>
  <c r="E1924" i="1"/>
  <c r="F1924" i="1"/>
  <c r="H1924" i="1"/>
  <c r="E1925" i="1"/>
  <c r="F1925" i="1"/>
  <c r="H1925" i="1"/>
  <c r="E1926" i="1"/>
  <c r="F1926" i="1"/>
  <c r="H1926" i="1"/>
  <c r="E1927" i="1"/>
  <c r="F1927" i="1"/>
  <c r="H1927" i="1"/>
  <c r="E1928" i="1"/>
  <c r="F1928" i="1"/>
  <c r="H1928" i="1"/>
  <c r="E1929" i="1"/>
  <c r="F1929" i="1"/>
  <c r="H1929" i="1"/>
  <c r="E1930" i="1"/>
  <c r="F1930" i="1"/>
  <c r="H1930" i="1"/>
  <c r="E1931" i="1"/>
  <c r="F1931" i="1"/>
  <c r="H1931" i="1"/>
  <c r="E1932" i="1"/>
  <c r="F1932" i="1"/>
  <c r="H1932" i="1"/>
  <c r="E1933" i="1"/>
  <c r="F1933" i="1"/>
  <c r="H1933" i="1"/>
  <c r="E1934" i="1"/>
  <c r="F1934" i="1"/>
  <c r="H1934" i="1"/>
  <c r="E1935" i="1"/>
  <c r="F1935" i="1"/>
  <c r="H1935" i="1"/>
  <c r="E1936" i="1"/>
  <c r="F1936" i="1"/>
  <c r="H1936" i="1"/>
  <c r="E1937" i="1"/>
  <c r="F1937" i="1"/>
  <c r="H1937" i="1"/>
  <c r="E1938" i="1"/>
  <c r="F1938" i="1"/>
  <c r="H1938" i="1"/>
  <c r="E1939" i="1"/>
  <c r="F1939" i="1"/>
  <c r="H1939" i="1"/>
  <c r="E1940" i="1"/>
  <c r="F1940" i="1"/>
  <c r="H1940" i="1"/>
  <c r="E1941" i="1"/>
  <c r="F1941" i="1"/>
  <c r="H1941" i="1"/>
  <c r="E1942" i="1"/>
  <c r="F1942" i="1"/>
  <c r="H1942" i="1"/>
  <c r="E1943" i="1"/>
  <c r="F1943" i="1"/>
  <c r="H1943" i="1"/>
  <c r="E1944" i="1"/>
  <c r="F1944" i="1"/>
  <c r="H1944" i="1"/>
  <c r="E1945" i="1"/>
  <c r="F1945" i="1"/>
  <c r="H1945" i="1"/>
  <c r="E1946" i="1"/>
  <c r="F1946" i="1"/>
  <c r="H1946" i="1"/>
  <c r="E1947" i="1"/>
  <c r="F1947" i="1"/>
  <c r="H1947" i="1"/>
  <c r="E1948" i="1"/>
  <c r="F1948" i="1"/>
  <c r="H1948" i="1"/>
  <c r="E1949" i="1"/>
  <c r="F1949" i="1"/>
  <c r="H1949" i="1"/>
  <c r="E1950" i="1"/>
  <c r="F1950" i="1"/>
  <c r="H1950" i="1"/>
  <c r="E1951" i="1"/>
  <c r="F1951" i="1"/>
  <c r="H1951" i="1"/>
  <c r="E1952" i="1"/>
  <c r="F1952" i="1"/>
  <c r="H1952" i="1"/>
  <c r="E1953" i="1"/>
  <c r="F1953" i="1"/>
  <c r="H1953" i="1"/>
  <c r="E1954" i="1"/>
  <c r="F1954" i="1"/>
  <c r="H1954" i="1"/>
  <c r="E1955" i="1"/>
  <c r="F1955" i="1"/>
  <c r="H1955" i="1"/>
  <c r="E1956" i="1"/>
  <c r="F1956" i="1"/>
  <c r="H1956" i="1"/>
  <c r="E1957" i="1"/>
  <c r="F1957" i="1"/>
  <c r="H1957" i="1"/>
  <c r="E1958" i="1"/>
  <c r="F1958" i="1"/>
  <c r="H1958" i="1"/>
  <c r="E1959" i="1"/>
  <c r="F1959" i="1"/>
  <c r="H1959" i="1"/>
  <c r="E1960" i="1"/>
  <c r="F1960" i="1"/>
  <c r="H1960" i="1"/>
  <c r="E1961" i="1"/>
  <c r="F1961" i="1"/>
  <c r="H1961" i="1"/>
  <c r="E1962" i="1"/>
  <c r="F1962" i="1"/>
  <c r="H1962" i="1"/>
  <c r="E1963" i="1"/>
  <c r="F1963" i="1"/>
  <c r="H1963" i="1"/>
  <c r="E1964" i="1"/>
  <c r="F1964" i="1"/>
  <c r="H1964" i="1"/>
  <c r="E1965" i="1"/>
  <c r="F1965" i="1"/>
  <c r="H1965" i="1"/>
  <c r="E1966" i="1"/>
  <c r="F1966" i="1"/>
  <c r="H1966" i="1"/>
  <c r="E1967" i="1"/>
  <c r="F1967" i="1"/>
  <c r="H1967" i="1"/>
  <c r="E1968" i="1"/>
  <c r="F1968" i="1"/>
  <c r="H1968" i="1"/>
  <c r="E1969" i="1"/>
  <c r="F1969" i="1"/>
  <c r="H1969" i="1"/>
  <c r="E1970" i="1"/>
  <c r="F1970" i="1"/>
  <c r="H1970" i="1"/>
  <c r="E1971" i="1"/>
  <c r="F1971" i="1"/>
  <c r="H1971" i="1"/>
  <c r="E1972" i="1"/>
  <c r="F1972" i="1"/>
  <c r="H1972" i="1"/>
  <c r="E1973" i="1"/>
  <c r="F1973" i="1"/>
  <c r="H1973" i="1"/>
  <c r="E1974" i="1"/>
  <c r="F1974" i="1"/>
  <c r="H1974" i="1"/>
  <c r="E1975" i="1"/>
  <c r="F1975" i="1"/>
  <c r="H1975" i="1"/>
  <c r="E1976" i="1"/>
  <c r="F1976" i="1"/>
  <c r="H1976" i="1"/>
  <c r="E1977" i="1"/>
  <c r="F1977" i="1"/>
  <c r="H1977" i="1"/>
  <c r="E1978" i="1"/>
  <c r="F1978" i="1"/>
  <c r="H1978" i="1"/>
  <c r="E1979" i="1"/>
  <c r="F1979" i="1"/>
  <c r="H1979" i="1"/>
  <c r="E1980" i="1"/>
  <c r="F1980" i="1"/>
  <c r="H1980" i="1"/>
  <c r="E1981" i="1"/>
  <c r="F1981" i="1"/>
  <c r="H1981" i="1"/>
  <c r="E1982" i="1"/>
  <c r="F1982" i="1"/>
  <c r="H1982" i="1"/>
  <c r="E1983" i="1"/>
  <c r="F1983" i="1"/>
  <c r="H1983" i="1"/>
  <c r="E1984" i="1"/>
  <c r="F1984" i="1"/>
  <c r="H1984" i="1"/>
  <c r="E1985" i="1"/>
  <c r="F1985" i="1"/>
  <c r="H1985" i="1"/>
  <c r="E1986" i="1"/>
  <c r="F1986" i="1"/>
  <c r="H1986" i="1"/>
  <c r="E1987" i="1"/>
  <c r="F1987" i="1"/>
  <c r="H1987" i="1"/>
  <c r="E1988" i="1"/>
  <c r="F1988" i="1"/>
  <c r="H1988" i="1"/>
  <c r="E1989" i="1"/>
  <c r="F1989" i="1"/>
  <c r="H1989" i="1"/>
  <c r="E1990" i="1"/>
  <c r="F1990" i="1"/>
  <c r="H1990" i="1"/>
  <c r="E1991" i="1"/>
  <c r="F1991" i="1"/>
  <c r="H1991" i="1"/>
  <c r="E1992" i="1"/>
  <c r="F1992" i="1"/>
  <c r="H1992" i="1"/>
  <c r="E1993" i="1"/>
  <c r="F1993" i="1"/>
  <c r="H1993" i="1"/>
  <c r="E1994" i="1"/>
  <c r="F1994" i="1"/>
  <c r="H1994" i="1"/>
  <c r="E1995" i="1"/>
  <c r="F1995" i="1"/>
  <c r="H1995" i="1"/>
  <c r="E1996" i="1"/>
  <c r="F1996" i="1"/>
  <c r="H1996" i="1"/>
  <c r="E1997" i="1"/>
  <c r="F1997" i="1"/>
  <c r="H1997" i="1"/>
  <c r="E1998" i="1"/>
  <c r="F1998" i="1"/>
  <c r="H1998" i="1"/>
  <c r="E1999" i="1"/>
  <c r="F1999" i="1"/>
  <c r="H1999" i="1"/>
  <c r="E2000" i="1"/>
  <c r="F2000" i="1"/>
  <c r="H2000" i="1"/>
  <c r="E2001" i="1"/>
  <c r="F2001" i="1"/>
  <c r="H2001" i="1"/>
  <c r="E2002" i="1"/>
  <c r="F2002" i="1"/>
  <c r="H2002" i="1"/>
  <c r="E2003" i="1"/>
  <c r="F2003" i="1"/>
  <c r="H2003" i="1"/>
  <c r="E2004" i="1"/>
  <c r="F2004" i="1"/>
  <c r="H2004" i="1"/>
  <c r="E2005" i="1"/>
  <c r="F2005" i="1"/>
  <c r="H2005" i="1"/>
  <c r="E2006" i="1"/>
  <c r="F2006" i="1"/>
  <c r="H2006" i="1"/>
  <c r="E2007" i="1"/>
  <c r="F2007" i="1"/>
  <c r="H2007" i="1"/>
  <c r="E2008" i="1"/>
  <c r="F2008" i="1"/>
  <c r="H2008" i="1"/>
  <c r="E2009" i="1"/>
  <c r="F2009" i="1"/>
  <c r="H2009" i="1"/>
  <c r="E2010" i="1"/>
  <c r="F2010" i="1"/>
  <c r="H2010" i="1"/>
  <c r="E2011" i="1"/>
  <c r="F2011" i="1"/>
  <c r="H2011" i="1"/>
  <c r="E2012" i="1"/>
  <c r="F2012" i="1"/>
  <c r="H2012" i="1"/>
  <c r="E2013" i="1"/>
  <c r="F2013" i="1"/>
  <c r="H2013" i="1"/>
  <c r="E2014" i="1"/>
  <c r="F2014" i="1"/>
  <c r="H2014" i="1"/>
  <c r="E2015" i="1"/>
  <c r="F2015" i="1"/>
  <c r="H2015" i="1"/>
  <c r="E2016" i="1"/>
  <c r="F2016" i="1"/>
  <c r="H2016" i="1"/>
  <c r="E2017" i="1"/>
  <c r="F2017" i="1"/>
  <c r="H2017" i="1"/>
  <c r="E2018" i="1"/>
  <c r="F2018" i="1"/>
  <c r="H2018" i="1"/>
  <c r="E2019" i="1"/>
  <c r="F2019" i="1"/>
  <c r="H2019" i="1"/>
  <c r="E2020" i="1"/>
  <c r="F2020" i="1"/>
  <c r="H2020" i="1"/>
  <c r="E2021" i="1"/>
  <c r="F2021" i="1"/>
  <c r="H2021" i="1"/>
  <c r="E2022" i="1"/>
  <c r="F2022" i="1"/>
  <c r="H2022" i="1"/>
  <c r="E2023" i="1"/>
  <c r="F2023" i="1"/>
  <c r="H2023" i="1"/>
  <c r="E2024" i="1"/>
  <c r="F2024" i="1"/>
  <c r="H2024" i="1"/>
  <c r="E2025" i="1"/>
  <c r="F2025" i="1"/>
  <c r="H2025" i="1"/>
  <c r="E2026" i="1"/>
  <c r="F2026" i="1"/>
  <c r="H2026" i="1"/>
  <c r="E2027" i="1"/>
  <c r="F2027" i="1"/>
  <c r="H2027" i="1"/>
  <c r="E2028" i="1"/>
  <c r="F2028" i="1"/>
  <c r="H2028" i="1"/>
  <c r="E2029" i="1"/>
  <c r="F2029" i="1"/>
  <c r="H2029" i="1"/>
  <c r="E2030" i="1"/>
  <c r="F2030" i="1"/>
  <c r="H2030" i="1"/>
  <c r="E2031" i="1"/>
  <c r="F2031" i="1"/>
  <c r="H2031" i="1"/>
  <c r="E2032" i="1"/>
  <c r="F2032" i="1"/>
  <c r="H2032" i="1"/>
  <c r="E2033" i="1"/>
  <c r="F2033" i="1"/>
  <c r="H2033" i="1"/>
  <c r="E2034" i="1"/>
  <c r="F2034" i="1"/>
  <c r="H2034" i="1"/>
  <c r="E2035" i="1"/>
  <c r="F2035" i="1"/>
  <c r="H2035" i="1"/>
  <c r="E2036" i="1"/>
  <c r="F2036" i="1"/>
  <c r="H2036" i="1"/>
  <c r="E2037" i="1"/>
  <c r="F2037" i="1"/>
  <c r="H2037" i="1"/>
  <c r="E2038" i="1"/>
  <c r="F2038" i="1"/>
  <c r="H2038" i="1"/>
  <c r="E2039" i="1"/>
  <c r="F2039" i="1"/>
  <c r="H2039" i="1"/>
  <c r="E2040" i="1"/>
  <c r="F2040" i="1"/>
  <c r="H2040" i="1"/>
  <c r="E2041" i="1"/>
  <c r="F2041" i="1"/>
  <c r="H2041" i="1"/>
  <c r="E2042" i="1"/>
  <c r="F2042" i="1"/>
  <c r="H2042" i="1"/>
  <c r="E2043" i="1"/>
  <c r="F2043" i="1"/>
  <c r="H2043" i="1"/>
  <c r="E2044" i="1"/>
  <c r="F2044" i="1"/>
  <c r="H2044" i="1"/>
  <c r="E2045" i="1"/>
  <c r="F2045" i="1"/>
  <c r="H2045" i="1"/>
  <c r="E2046" i="1"/>
  <c r="F2046" i="1"/>
  <c r="H2046" i="1"/>
  <c r="E2047" i="1"/>
  <c r="F2047" i="1"/>
  <c r="H2047" i="1"/>
  <c r="E2048" i="1"/>
  <c r="F2048" i="1"/>
  <c r="H2048" i="1"/>
  <c r="E2049" i="1"/>
  <c r="F2049" i="1"/>
  <c r="H2049" i="1"/>
  <c r="E2050" i="1"/>
  <c r="F2050" i="1"/>
  <c r="H2050" i="1"/>
  <c r="E2051" i="1"/>
  <c r="F2051" i="1"/>
  <c r="H2051" i="1"/>
  <c r="E2052" i="1"/>
  <c r="F2052" i="1"/>
  <c r="H2052" i="1"/>
  <c r="E2053" i="1"/>
  <c r="F2053" i="1"/>
  <c r="H2053" i="1"/>
  <c r="E2054" i="1"/>
  <c r="F2054" i="1"/>
  <c r="H2054" i="1"/>
  <c r="E2055" i="1"/>
  <c r="F2055" i="1"/>
  <c r="H2055" i="1"/>
  <c r="E2056" i="1"/>
  <c r="F2056" i="1"/>
  <c r="H2056" i="1"/>
  <c r="E2057" i="1"/>
  <c r="F2057" i="1"/>
  <c r="H2057" i="1"/>
  <c r="E2058" i="1"/>
  <c r="F2058" i="1"/>
  <c r="H2058" i="1"/>
  <c r="E2059" i="1"/>
  <c r="F2059" i="1"/>
  <c r="H2059" i="1"/>
  <c r="E2060" i="1"/>
  <c r="F2060" i="1"/>
  <c r="H2060" i="1"/>
  <c r="E2061" i="1"/>
  <c r="F2061" i="1"/>
  <c r="H2061" i="1"/>
  <c r="E2062" i="1"/>
  <c r="F2062" i="1"/>
  <c r="H2062" i="1"/>
  <c r="E2063" i="1"/>
  <c r="F2063" i="1"/>
  <c r="H2063" i="1"/>
  <c r="E2064" i="1"/>
  <c r="F2064" i="1"/>
  <c r="H2064" i="1"/>
  <c r="E2065" i="1"/>
  <c r="F2065" i="1"/>
  <c r="H2065" i="1"/>
  <c r="E2066" i="1"/>
  <c r="F2066" i="1"/>
  <c r="H2066" i="1"/>
  <c r="E2067" i="1"/>
  <c r="F2067" i="1"/>
  <c r="H2067" i="1"/>
  <c r="E2068" i="1"/>
  <c r="F2068" i="1"/>
  <c r="H2068" i="1"/>
  <c r="E2069" i="1"/>
  <c r="F2069" i="1"/>
  <c r="H2069" i="1"/>
  <c r="E2070" i="1"/>
  <c r="F2070" i="1"/>
  <c r="H2070" i="1"/>
  <c r="E2071" i="1"/>
  <c r="F2071" i="1"/>
  <c r="H2071" i="1"/>
  <c r="E2072" i="1"/>
  <c r="F2072" i="1"/>
  <c r="H2072" i="1"/>
  <c r="E2073" i="1"/>
  <c r="F2073" i="1"/>
  <c r="H2073" i="1"/>
  <c r="E2074" i="1"/>
  <c r="F2074" i="1"/>
  <c r="H2074" i="1"/>
  <c r="E2075" i="1"/>
  <c r="F2075" i="1"/>
  <c r="H2075" i="1"/>
  <c r="E2076" i="1"/>
  <c r="F2076" i="1"/>
  <c r="H2076" i="1"/>
  <c r="E2077" i="1"/>
  <c r="F2077" i="1"/>
  <c r="H2077" i="1"/>
  <c r="E2078" i="1"/>
  <c r="F2078" i="1"/>
  <c r="H2078" i="1"/>
  <c r="E2079" i="1"/>
  <c r="F2079" i="1"/>
  <c r="H2079" i="1"/>
  <c r="E2080" i="1"/>
  <c r="F2080" i="1"/>
  <c r="H2080" i="1"/>
  <c r="E2081" i="1"/>
  <c r="F2081" i="1"/>
  <c r="H2081" i="1"/>
  <c r="E2082" i="1"/>
  <c r="F2082" i="1"/>
  <c r="H2082" i="1"/>
  <c r="E2083" i="1"/>
  <c r="F2083" i="1"/>
  <c r="H2083" i="1"/>
  <c r="E2084" i="1"/>
  <c r="F2084" i="1"/>
  <c r="H2084" i="1"/>
  <c r="E2085" i="1"/>
  <c r="F2085" i="1"/>
  <c r="H2085" i="1"/>
  <c r="E2086" i="1"/>
  <c r="F2086" i="1"/>
  <c r="H2086" i="1"/>
  <c r="E2087" i="1"/>
  <c r="F2087" i="1"/>
  <c r="H2087" i="1"/>
  <c r="E2088" i="1"/>
  <c r="F2088" i="1"/>
  <c r="H2088" i="1"/>
  <c r="E2089" i="1"/>
  <c r="F2089" i="1"/>
  <c r="H2089" i="1"/>
  <c r="E2090" i="1"/>
  <c r="F2090" i="1"/>
  <c r="H2090" i="1"/>
  <c r="E2091" i="1"/>
  <c r="F2091" i="1"/>
  <c r="H2091" i="1"/>
  <c r="E2092" i="1"/>
  <c r="F2092" i="1"/>
  <c r="H2092" i="1"/>
  <c r="E2093" i="1"/>
  <c r="F2093" i="1"/>
  <c r="H2093" i="1"/>
  <c r="E2094" i="1"/>
  <c r="F2094" i="1"/>
  <c r="H2094" i="1"/>
  <c r="E2095" i="1"/>
  <c r="F2095" i="1"/>
  <c r="H2095" i="1"/>
  <c r="E2096" i="1"/>
  <c r="F2096" i="1"/>
  <c r="H2096" i="1"/>
  <c r="E2097" i="1"/>
  <c r="F2097" i="1"/>
  <c r="H2097" i="1"/>
  <c r="E2098" i="1"/>
  <c r="F2098" i="1"/>
  <c r="H2098" i="1"/>
  <c r="E2099" i="1"/>
  <c r="F2099" i="1"/>
  <c r="H2099" i="1"/>
  <c r="E2100" i="1"/>
  <c r="F2100" i="1"/>
  <c r="H2100" i="1"/>
  <c r="E2101" i="1"/>
  <c r="F2101" i="1"/>
  <c r="H2101" i="1"/>
  <c r="E2102" i="1"/>
  <c r="F2102" i="1"/>
  <c r="H2102" i="1"/>
  <c r="E2103" i="1"/>
  <c r="F2103" i="1"/>
  <c r="H2103" i="1"/>
  <c r="E2104" i="1"/>
  <c r="F2104" i="1"/>
  <c r="H2104" i="1"/>
  <c r="E2105" i="1"/>
  <c r="F2105" i="1"/>
  <c r="H2105" i="1"/>
  <c r="E2106" i="1"/>
  <c r="F2106" i="1"/>
  <c r="H2106" i="1"/>
  <c r="E2107" i="1"/>
  <c r="F2107" i="1"/>
  <c r="H2107" i="1"/>
  <c r="E2108" i="1"/>
  <c r="F2108" i="1"/>
  <c r="H2108" i="1"/>
  <c r="E2109" i="1"/>
  <c r="F2109" i="1"/>
  <c r="H2109" i="1"/>
  <c r="E2110" i="1"/>
  <c r="F2110" i="1"/>
  <c r="H2110" i="1"/>
  <c r="E2111" i="1"/>
  <c r="F2111" i="1"/>
  <c r="H2111" i="1"/>
  <c r="E2112" i="1"/>
  <c r="F2112" i="1"/>
  <c r="H2112" i="1"/>
  <c r="E2113" i="1"/>
  <c r="F2113" i="1"/>
  <c r="H2113" i="1"/>
  <c r="E2114" i="1"/>
  <c r="F2114" i="1"/>
  <c r="H2114" i="1"/>
  <c r="E2115" i="1"/>
  <c r="F2115" i="1"/>
  <c r="H2115" i="1"/>
  <c r="E2116" i="1"/>
  <c r="F2116" i="1"/>
  <c r="H2116" i="1"/>
  <c r="E2117" i="1"/>
  <c r="F2117" i="1"/>
  <c r="H2117" i="1"/>
  <c r="E2118" i="1"/>
  <c r="F2118" i="1"/>
  <c r="H2118" i="1"/>
  <c r="E2119" i="1"/>
  <c r="F2119" i="1"/>
  <c r="H2119" i="1"/>
  <c r="E2120" i="1"/>
  <c r="F2120" i="1"/>
  <c r="H2120" i="1"/>
  <c r="E2121" i="1"/>
  <c r="F2121" i="1"/>
  <c r="H2121" i="1"/>
  <c r="E2122" i="1"/>
  <c r="F2122" i="1"/>
  <c r="H2122" i="1"/>
  <c r="E2123" i="1"/>
  <c r="F2123" i="1"/>
  <c r="H2123" i="1"/>
  <c r="E2124" i="1"/>
  <c r="F2124" i="1"/>
  <c r="H2124" i="1"/>
  <c r="E2125" i="1"/>
  <c r="F2125" i="1"/>
  <c r="H2125" i="1"/>
  <c r="E2126" i="1"/>
  <c r="F2126" i="1"/>
  <c r="H2126" i="1"/>
  <c r="E2127" i="1"/>
  <c r="F2127" i="1"/>
  <c r="H2127" i="1"/>
  <c r="E2128" i="1"/>
  <c r="F2128" i="1"/>
  <c r="H2128" i="1"/>
  <c r="E2129" i="1"/>
  <c r="F2129" i="1"/>
  <c r="H2129" i="1"/>
  <c r="E2130" i="1"/>
  <c r="F2130" i="1"/>
  <c r="H2130" i="1"/>
  <c r="E2131" i="1"/>
  <c r="F2131" i="1"/>
  <c r="H2131" i="1"/>
  <c r="E2132" i="1"/>
  <c r="F2132" i="1"/>
  <c r="H2132" i="1"/>
  <c r="E2133" i="1"/>
  <c r="F2133" i="1"/>
  <c r="H2133" i="1"/>
  <c r="E2134" i="1"/>
  <c r="F2134" i="1"/>
  <c r="H2134" i="1"/>
  <c r="E2135" i="1"/>
  <c r="F2135" i="1"/>
  <c r="H2135" i="1"/>
  <c r="E2136" i="1"/>
  <c r="F2136" i="1"/>
  <c r="H2136" i="1"/>
  <c r="E2137" i="1"/>
  <c r="F2137" i="1"/>
  <c r="H2137" i="1"/>
  <c r="E2138" i="1"/>
  <c r="F2138" i="1"/>
  <c r="H2138" i="1"/>
  <c r="E2139" i="1"/>
  <c r="F2139" i="1"/>
  <c r="H2139" i="1"/>
  <c r="E2140" i="1"/>
  <c r="F2140" i="1"/>
  <c r="H2140" i="1"/>
  <c r="E2141" i="1"/>
  <c r="F2141" i="1"/>
  <c r="H2141" i="1"/>
  <c r="E2142" i="1"/>
  <c r="F2142" i="1"/>
  <c r="H2142" i="1"/>
  <c r="E2143" i="1"/>
  <c r="F2143" i="1"/>
  <c r="H2143" i="1"/>
  <c r="E2144" i="1"/>
  <c r="F2144" i="1"/>
  <c r="H2144" i="1"/>
  <c r="E2145" i="1"/>
  <c r="F2145" i="1"/>
  <c r="H2145" i="1"/>
  <c r="E2146" i="1"/>
  <c r="F2146" i="1"/>
  <c r="H2146" i="1"/>
  <c r="E2147" i="1"/>
  <c r="F2147" i="1"/>
  <c r="H2147" i="1"/>
  <c r="E2148" i="1"/>
  <c r="F2148" i="1"/>
  <c r="H2148" i="1"/>
  <c r="E2149" i="1"/>
  <c r="F2149" i="1"/>
  <c r="H2149" i="1"/>
  <c r="E2150" i="1"/>
  <c r="F2150" i="1"/>
  <c r="H2150" i="1"/>
  <c r="E2151" i="1"/>
  <c r="F2151" i="1"/>
  <c r="H2151" i="1"/>
  <c r="E2152" i="1"/>
  <c r="F2152" i="1"/>
  <c r="H2152" i="1"/>
  <c r="E2153" i="1"/>
  <c r="F2153" i="1"/>
  <c r="H2153" i="1"/>
  <c r="E2154" i="1"/>
  <c r="F2154" i="1"/>
  <c r="H2154" i="1"/>
  <c r="E2155" i="1"/>
  <c r="F2155" i="1"/>
  <c r="H2155" i="1"/>
  <c r="E2156" i="1"/>
  <c r="F2156" i="1"/>
  <c r="H2156" i="1"/>
  <c r="E2157" i="1"/>
  <c r="F2157" i="1"/>
  <c r="H2157" i="1"/>
  <c r="E2158" i="1"/>
  <c r="F2158" i="1"/>
  <c r="H2158" i="1"/>
  <c r="E2159" i="1"/>
  <c r="F2159" i="1"/>
  <c r="H2159" i="1"/>
  <c r="E2160" i="1"/>
  <c r="F2160" i="1"/>
  <c r="H2160" i="1"/>
  <c r="E2161" i="1"/>
  <c r="F2161" i="1"/>
  <c r="H2161" i="1"/>
  <c r="E2162" i="1"/>
  <c r="F2162" i="1"/>
  <c r="H2162" i="1"/>
  <c r="E2163" i="1"/>
  <c r="F2163" i="1"/>
  <c r="H2163" i="1"/>
  <c r="E2164" i="1"/>
  <c r="F2164" i="1"/>
  <c r="H2164" i="1"/>
  <c r="E2165" i="1"/>
  <c r="F2165" i="1"/>
  <c r="H2165" i="1"/>
  <c r="E2166" i="1"/>
  <c r="F2166" i="1"/>
  <c r="H2166" i="1"/>
  <c r="E2167" i="1"/>
  <c r="F2167" i="1"/>
  <c r="H2167" i="1"/>
  <c r="E2168" i="1"/>
  <c r="F2168" i="1"/>
  <c r="H2168" i="1"/>
  <c r="E2169" i="1"/>
  <c r="F2169" i="1"/>
  <c r="H2169" i="1"/>
  <c r="E2170" i="1"/>
  <c r="F2170" i="1"/>
  <c r="H2170" i="1"/>
  <c r="E2171" i="1"/>
  <c r="F2171" i="1"/>
  <c r="H2171" i="1"/>
  <c r="E2172" i="1"/>
  <c r="F2172" i="1"/>
  <c r="H2172" i="1"/>
  <c r="E2173" i="1"/>
  <c r="F2173" i="1"/>
  <c r="H2173" i="1"/>
  <c r="E2174" i="1"/>
  <c r="F2174" i="1"/>
  <c r="H2174" i="1"/>
  <c r="E2175" i="1"/>
  <c r="F2175" i="1"/>
  <c r="H2175" i="1"/>
  <c r="E2176" i="1"/>
  <c r="F2176" i="1"/>
  <c r="H2176" i="1"/>
  <c r="E2177" i="1"/>
  <c r="F2177" i="1"/>
  <c r="H2177" i="1"/>
  <c r="E2178" i="1"/>
  <c r="F2178" i="1"/>
  <c r="H2178" i="1"/>
  <c r="E2179" i="1"/>
  <c r="F2179" i="1"/>
  <c r="H2179" i="1"/>
  <c r="E2180" i="1"/>
  <c r="F2180" i="1"/>
  <c r="H2180" i="1"/>
  <c r="E2181" i="1"/>
  <c r="F2181" i="1"/>
  <c r="H2181" i="1"/>
  <c r="E2182" i="1"/>
  <c r="F2182" i="1"/>
  <c r="H2182" i="1"/>
  <c r="E2183" i="1"/>
  <c r="F2183" i="1"/>
  <c r="H2183" i="1"/>
  <c r="E2184" i="1"/>
  <c r="F2184" i="1"/>
  <c r="H2184" i="1"/>
  <c r="E2185" i="1"/>
  <c r="F2185" i="1"/>
  <c r="H2185" i="1"/>
  <c r="E2186" i="1"/>
  <c r="F2186" i="1"/>
  <c r="H2186" i="1"/>
  <c r="E2187" i="1"/>
  <c r="F2187" i="1"/>
  <c r="H2187" i="1"/>
  <c r="E2188" i="1"/>
  <c r="F2188" i="1"/>
  <c r="H2188" i="1"/>
  <c r="E2189" i="1"/>
  <c r="F2189" i="1"/>
  <c r="H2189" i="1"/>
  <c r="E2190" i="1"/>
  <c r="F2190" i="1"/>
  <c r="H2190" i="1"/>
  <c r="E2191" i="1"/>
  <c r="F2191" i="1"/>
  <c r="H2191" i="1"/>
  <c r="E2192" i="1"/>
  <c r="F2192" i="1"/>
  <c r="H2192" i="1"/>
  <c r="E2193" i="1"/>
  <c r="F2193" i="1"/>
  <c r="H2193" i="1"/>
  <c r="E2194" i="1"/>
  <c r="F2194" i="1"/>
  <c r="H2194" i="1"/>
  <c r="E2195" i="1"/>
  <c r="F2195" i="1"/>
  <c r="H2195" i="1"/>
  <c r="E2196" i="1"/>
  <c r="F2196" i="1"/>
  <c r="H2196" i="1"/>
  <c r="E2197" i="1"/>
  <c r="F2197" i="1"/>
  <c r="H2197" i="1"/>
  <c r="E2198" i="1"/>
  <c r="F2198" i="1"/>
  <c r="H2198" i="1"/>
  <c r="E2199" i="1"/>
  <c r="F2199" i="1"/>
  <c r="H2199" i="1"/>
  <c r="E2200" i="1"/>
  <c r="F2200" i="1"/>
  <c r="H2200" i="1"/>
  <c r="E2201" i="1"/>
  <c r="F2201" i="1"/>
  <c r="H2201" i="1"/>
  <c r="E2202" i="1"/>
  <c r="F2202" i="1"/>
  <c r="H2202" i="1"/>
  <c r="E2203" i="1"/>
  <c r="F2203" i="1"/>
  <c r="H2203" i="1"/>
  <c r="E2204" i="1"/>
  <c r="F2204" i="1"/>
  <c r="H2204" i="1"/>
  <c r="E2205" i="1"/>
  <c r="F2205" i="1"/>
  <c r="H2205" i="1"/>
  <c r="E2206" i="1"/>
  <c r="F2206" i="1"/>
  <c r="H2206" i="1"/>
  <c r="E2207" i="1"/>
  <c r="F2207" i="1"/>
  <c r="H2207" i="1"/>
  <c r="E2208" i="1"/>
  <c r="F2208" i="1"/>
  <c r="H2208" i="1"/>
  <c r="E2209" i="1"/>
  <c r="F2209" i="1"/>
  <c r="H2209" i="1"/>
  <c r="E2210" i="1"/>
  <c r="F2210" i="1"/>
  <c r="H2210" i="1"/>
  <c r="E2211" i="1"/>
  <c r="F2211" i="1"/>
  <c r="H2211" i="1"/>
  <c r="E2212" i="1"/>
  <c r="F2212" i="1"/>
  <c r="H2212" i="1"/>
  <c r="E2213" i="1"/>
  <c r="F2213" i="1"/>
  <c r="H2213" i="1"/>
  <c r="E2214" i="1"/>
  <c r="F2214" i="1"/>
  <c r="H2214" i="1"/>
  <c r="E2215" i="1"/>
  <c r="F2215" i="1"/>
  <c r="H2215" i="1"/>
  <c r="E2216" i="1"/>
  <c r="F2216" i="1"/>
  <c r="H2216" i="1"/>
  <c r="E2217" i="1"/>
  <c r="F2217" i="1"/>
  <c r="H2217" i="1"/>
  <c r="E2218" i="1"/>
  <c r="F2218" i="1"/>
  <c r="H2218" i="1"/>
  <c r="E2219" i="1"/>
  <c r="F2219" i="1"/>
  <c r="H2219" i="1"/>
  <c r="E2220" i="1"/>
  <c r="F2220" i="1"/>
  <c r="H2220" i="1"/>
  <c r="E2221" i="1"/>
  <c r="F2221" i="1"/>
  <c r="H2221" i="1"/>
  <c r="E2222" i="1"/>
  <c r="F2222" i="1"/>
  <c r="H2222" i="1"/>
  <c r="E2223" i="1"/>
  <c r="F2223" i="1"/>
  <c r="H2223" i="1"/>
  <c r="E2224" i="1"/>
  <c r="F2224" i="1"/>
  <c r="H2224" i="1"/>
  <c r="E2225" i="1"/>
  <c r="F2225" i="1"/>
  <c r="H2225" i="1"/>
  <c r="E2226" i="1"/>
  <c r="F2226" i="1"/>
  <c r="H2226" i="1"/>
  <c r="E2227" i="1"/>
  <c r="F2227" i="1"/>
  <c r="H2227" i="1"/>
  <c r="E2228" i="1"/>
  <c r="F2228" i="1"/>
  <c r="H2228" i="1"/>
  <c r="E2229" i="1"/>
  <c r="F2229" i="1"/>
  <c r="H2229" i="1"/>
  <c r="E2230" i="1"/>
  <c r="F2230" i="1"/>
  <c r="H2230" i="1"/>
  <c r="E2231" i="1"/>
  <c r="F2231" i="1"/>
  <c r="H2231" i="1"/>
  <c r="E2232" i="1"/>
  <c r="F2232" i="1"/>
  <c r="H2232" i="1"/>
  <c r="E2233" i="1"/>
  <c r="F2233" i="1"/>
  <c r="H2233" i="1"/>
  <c r="E2234" i="1"/>
  <c r="F2234" i="1"/>
  <c r="H2234" i="1"/>
  <c r="E2235" i="1"/>
  <c r="F2235" i="1"/>
  <c r="H2235" i="1"/>
  <c r="E2236" i="1"/>
  <c r="F2236" i="1"/>
  <c r="H2236" i="1"/>
  <c r="E2237" i="1"/>
  <c r="F2237" i="1"/>
  <c r="H2237" i="1"/>
  <c r="E2238" i="1"/>
  <c r="F2238" i="1"/>
  <c r="H2238" i="1"/>
  <c r="E2239" i="1"/>
  <c r="F2239" i="1"/>
  <c r="H2239" i="1"/>
  <c r="E2240" i="1"/>
  <c r="F2240" i="1"/>
  <c r="H2240" i="1"/>
  <c r="E2241" i="1"/>
  <c r="F2241" i="1"/>
  <c r="H2241" i="1"/>
  <c r="E2242" i="1"/>
  <c r="F2242" i="1"/>
  <c r="H2242" i="1"/>
  <c r="E2243" i="1"/>
  <c r="F2243" i="1"/>
  <c r="H2243" i="1"/>
  <c r="E2244" i="1"/>
  <c r="F2244" i="1"/>
  <c r="H2244" i="1"/>
  <c r="E2245" i="1"/>
  <c r="F2245" i="1"/>
  <c r="H2245" i="1"/>
  <c r="E2246" i="1"/>
  <c r="F2246" i="1"/>
  <c r="H2246" i="1"/>
  <c r="E2247" i="1"/>
  <c r="F2247" i="1"/>
  <c r="H2247" i="1"/>
  <c r="E2248" i="1"/>
  <c r="F2248" i="1"/>
  <c r="H2248" i="1"/>
  <c r="E2249" i="1"/>
  <c r="F2249" i="1"/>
  <c r="H2249" i="1"/>
  <c r="E2250" i="1"/>
  <c r="F2250" i="1"/>
  <c r="H2250" i="1"/>
  <c r="E2251" i="1"/>
  <c r="F2251" i="1"/>
  <c r="H2251" i="1"/>
  <c r="E2252" i="1"/>
  <c r="F2252" i="1"/>
  <c r="H2252" i="1"/>
  <c r="E2253" i="1"/>
  <c r="F2253" i="1"/>
  <c r="H2253" i="1"/>
  <c r="E2254" i="1"/>
  <c r="F2254" i="1"/>
  <c r="H2254" i="1"/>
  <c r="E2255" i="1"/>
  <c r="F2255" i="1"/>
  <c r="H2255" i="1"/>
  <c r="E2256" i="1"/>
  <c r="F2256" i="1"/>
  <c r="H2256" i="1"/>
  <c r="E2257" i="1"/>
  <c r="F2257" i="1"/>
  <c r="H2257" i="1"/>
  <c r="E2258" i="1"/>
  <c r="F2258" i="1"/>
  <c r="H2258" i="1"/>
  <c r="E2259" i="1"/>
  <c r="F2259" i="1"/>
  <c r="H2259" i="1"/>
  <c r="E2260" i="1"/>
  <c r="F2260" i="1"/>
  <c r="H2260" i="1"/>
  <c r="E2261" i="1"/>
  <c r="F2261" i="1"/>
  <c r="H2261" i="1"/>
  <c r="E2262" i="1"/>
  <c r="F2262" i="1"/>
  <c r="H2262" i="1"/>
  <c r="E2263" i="1"/>
  <c r="F2263" i="1"/>
  <c r="H2263" i="1"/>
  <c r="E2264" i="1"/>
  <c r="F2264" i="1"/>
  <c r="H2264" i="1"/>
  <c r="E2265" i="1"/>
  <c r="F2265" i="1"/>
  <c r="H2265" i="1"/>
  <c r="E2266" i="1"/>
  <c r="F2266" i="1"/>
  <c r="H2266" i="1"/>
  <c r="E2267" i="1"/>
  <c r="F2267" i="1"/>
  <c r="H2267" i="1"/>
  <c r="E2268" i="1"/>
  <c r="F2268" i="1"/>
  <c r="H2268" i="1"/>
  <c r="E2269" i="1"/>
  <c r="F2269" i="1"/>
  <c r="H2269" i="1"/>
  <c r="E2270" i="1"/>
  <c r="F2270" i="1"/>
  <c r="H2270" i="1"/>
  <c r="E2271" i="1"/>
  <c r="F2271" i="1"/>
  <c r="H2271" i="1"/>
  <c r="E2272" i="1"/>
  <c r="F2272" i="1"/>
  <c r="H2272" i="1"/>
  <c r="E2273" i="1"/>
  <c r="F2273" i="1"/>
  <c r="H2273" i="1"/>
  <c r="E2274" i="1"/>
  <c r="F2274" i="1"/>
  <c r="H2274" i="1"/>
  <c r="E2275" i="1"/>
  <c r="F2275" i="1"/>
  <c r="H2275" i="1"/>
  <c r="E2276" i="1"/>
  <c r="F2276" i="1"/>
  <c r="H2276" i="1"/>
  <c r="E2277" i="1"/>
  <c r="F2277" i="1"/>
  <c r="H2277" i="1"/>
  <c r="E2278" i="1"/>
  <c r="F2278" i="1"/>
  <c r="H2278" i="1"/>
  <c r="E2279" i="1"/>
  <c r="F2279" i="1"/>
  <c r="H2279" i="1"/>
  <c r="E2280" i="1"/>
  <c r="F2280" i="1"/>
  <c r="H2280" i="1"/>
  <c r="E2281" i="1"/>
  <c r="F2281" i="1"/>
  <c r="H2281" i="1"/>
  <c r="E2282" i="1"/>
  <c r="F2282" i="1"/>
  <c r="H2282" i="1"/>
  <c r="E2283" i="1"/>
  <c r="F2283" i="1"/>
  <c r="H2283" i="1"/>
  <c r="E2284" i="1"/>
  <c r="F2284" i="1"/>
  <c r="H2284" i="1"/>
  <c r="E2285" i="1"/>
  <c r="F2285" i="1"/>
  <c r="H2285" i="1"/>
  <c r="E2286" i="1"/>
  <c r="F2286" i="1"/>
  <c r="H2286" i="1"/>
  <c r="E2287" i="1"/>
  <c r="F2287" i="1"/>
  <c r="H2287" i="1"/>
  <c r="E2288" i="1"/>
  <c r="F2288" i="1"/>
  <c r="H2288" i="1"/>
  <c r="E2289" i="1"/>
  <c r="F2289" i="1"/>
  <c r="H2289" i="1"/>
  <c r="E2290" i="1"/>
  <c r="F2290" i="1"/>
  <c r="H2290" i="1"/>
  <c r="E2291" i="1"/>
  <c r="F2291" i="1"/>
  <c r="H2291" i="1"/>
  <c r="E2292" i="1"/>
  <c r="F2292" i="1"/>
  <c r="H2292" i="1"/>
  <c r="E2293" i="1"/>
  <c r="F2293" i="1"/>
  <c r="H2293" i="1"/>
  <c r="E2294" i="1"/>
  <c r="F2294" i="1"/>
  <c r="H2294" i="1"/>
  <c r="E2295" i="1"/>
  <c r="F2295" i="1"/>
  <c r="H2295" i="1"/>
  <c r="E2296" i="1"/>
  <c r="F2296" i="1"/>
  <c r="H2296" i="1"/>
  <c r="E2297" i="1"/>
  <c r="F2297" i="1"/>
  <c r="H2297" i="1"/>
  <c r="E2298" i="1"/>
  <c r="F2298" i="1"/>
  <c r="H2298" i="1"/>
  <c r="E2299" i="1"/>
  <c r="F2299" i="1"/>
  <c r="H2299" i="1"/>
  <c r="E2300" i="1"/>
  <c r="F2300" i="1"/>
  <c r="H2300" i="1"/>
  <c r="E2301" i="1"/>
  <c r="F2301" i="1"/>
  <c r="H2301" i="1"/>
  <c r="E2302" i="1"/>
  <c r="F2302" i="1"/>
  <c r="H2302" i="1"/>
  <c r="E2303" i="1"/>
  <c r="F2303" i="1"/>
  <c r="H2303" i="1"/>
  <c r="E2304" i="1"/>
  <c r="F2304" i="1"/>
  <c r="H2304" i="1"/>
  <c r="E2305" i="1"/>
  <c r="F2305" i="1"/>
  <c r="H2305" i="1"/>
  <c r="E2306" i="1"/>
  <c r="F2306" i="1"/>
  <c r="H2306" i="1"/>
  <c r="E2307" i="1"/>
  <c r="F2307" i="1"/>
  <c r="H2307" i="1"/>
  <c r="E2308" i="1"/>
  <c r="F2308" i="1"/>
  <c r="H2308" i="1"/>
  <c r="E2309" i="1"/>
  <c r="F2309" i="1"/>
  <c r="H2309" i="1"/>
  <c r="E2310" i="1"/>
  <c r="F2310" i="1"/>
  <c r="H2310" i="1"/>
  <c r="E2311" i="1"/>
  <c r="F2311" i="1"/>
  <c r="H2311" i="1"/>
  <c r="E2312" i="1"/>
  <c r="F2312" i="1"/>
  <c r="H2312" i="1"/>
  <c r="E2313" i="1"/>
  <c r="F2313" i="1"/>
  <c r="H2313" i="1"/>
  <c r="E2314" i="1"/>
  <c r="F2314" i="1"/>
  <c r="H2314" i="1"/>
  <c r="E2315" i="1"/>
  <c r="F2315" i="1"/>
  <c r="H2315" i="1"/>
  <c r="E2316" i="1"/>
  <c r="F2316" i="1"/>
  <c r="H2316" i="1"/>
  <c r="E2317" i="1"/>
  <c r="F2317" i="1"/>
  <c r="H2317" i="1"/>
  <c r="E2318" i="1"/>
  <c r="F2318" i="1"/>
  <c r="H2318" i="1"/>
  <c r="E2319" i="1"/>
  <c r="F2319" i="1"/>
  <c r="H2319" i="1"/>
  <c r="E2320" i="1"/>
  <c r="F2320" i="1"/>
  <c r="H2320" i="1"/>
  <c r="E2321" i="1"/>
  <c r="F2321" i="1"/>
  <c r="H2321" i="1"/>
  <c r="E2322" i="1"/>
  <c r="F2322" i="1"/>
  <c r="H2322" i="1"/>
  <c r="E2323" i="1"/>
  <c r="F2323" i="1"/>
  <c r="H2323" i="1"/>
  <c r="E2324" i="1"/>
  <c r="F2324" i="1"/>
  <c r="H2324" i="1"/>
  <c r="E2325" i="1"/>
  <c r="F2325" i="1"/>
  <c r="H2325" i="1"/>
  <c r="E2326" i="1"/>
  <c r="F2326" i="1"/>
  <c r="H2326" i="1"/>
  <c r="E2327" i="1"/>
  <c r="F2327" i="1"/>
  <c r="H2327" i="1"/>
  <c r="E2328" i="1"/>
  <c r="F2328" i="1"/>
  <c r="H2328" i="1"/>
  <c r="E2329" i="1"/>
  <c r="F2329" i="1"/>
  <c r="H2329" i="1"/>
  <c r="E2330" i="1"/>
  <c r="F2330" i="1"/>
  <c r="H2330" i="1"/>
  <c r="E2331" i="1"/>
  <c r="F2331" i="1"/>
  <c r="H2331" i="1"/>
  <c r="E2332" i="1"/>
  <c r="F2332" i="1"/>
  <c r="H2332" i="1"/>
  <c r="E2333" i="1"/>
  <c r="F2333" i="1"/>
  <c r="H2333" i="1"/>
  <c r="E2334" i="1"/>
  <c r="F2334" i="1"/>
  <c r="H2334" i="1"/>
  <c r="E2335" i="1"/>
  <c r="F2335" i="1"/>
  <c r="H2335" i="1"/>
  <c r="E2336" i="1"/>
  <c r="F2336" i="1"/>
  <c r="H2336" i="1"/>
  <c r="E2337" i="1"/>
  <c r="F2337" i="1"/>
  <c r="H2337" i="1"/>
  <c r="E2338" i="1"/>
  <c r="F2338" i="1"/>
  <c r="H2338" i="1"/>
  <c r="E2339" i="1"/>
  <c r="F2339" i="1"/>
  <c r="H2339" i="1"/>
  <c r="E2340" i="1"/>
  <c r="F2340" i="1"/>
  <c r="H2340" i="1"/>
  <c r="E2341" i="1"/>
  <c r="F2341" i="1"/>
  <c r="H2341" i="1"/>
  <c r="E2342" i="1"/>
  <c r="F2342" i="1"/>
  <c r="H2342" i="1"/>
  <c r="E2343" i="1"/>
  <c r="F2343" i="1"/>
  <c r="H2343" i="1"/>
  <c r="E2344" i="1"/>
  <c r="F2344" i="1"/>
  <c r="H2344" i="1"/>
  <c r="E2345" i="1"/>
  <c r="F2345" i="1"/>
  <c r="H2345" i="1"/>
  <c r="E2346" i="1"/>
  <c r="F2346" i="1"/>
  <c r="H2346" i="1"/>
  <c r="E2347" i="1"/>
  <c r="F2347" i="1"/>
  <c r="H2347" i="1"/>
  <c r="E2348" i="1"/>
  <c r="F2348" i="1"/>
  <c r="H2348" i="1"/>
  <c r="E2349" i="1"/>
  <c r="F2349" i="1"/>
  <c r="H2349" i="1"/>
  <c r="E2350" i="1"/>
  <c r="F2350" i="1"/>
  <c r="H2350" i="1"/>
  <c r="E2351" i="1"/>
  <c r="F2351" i="1"/>
  <c r="H2351" i="1"/>
  <c r="E2352" i="1"/>
  <c r="F2352" i="1"/>
  <c r="H2352" i="1"/>
  <c r="E2353" i="1"/>
  <c r="F2353" i="1"/>
  <c r="H2353" i="1"/>
  <c r="E2354" i="1"/>
  <c r="F2354" i="1"/>
  <c r="H2354" i="1"/>
  <c r="E2355" i="1"/>
  <c r="F2355" i="1"/>
  <c r="H2355" i="1"/>
  <c r="E2356" i="1"/>
  <c r="F2356" i="1"/>
  <c r="H2356" i="1"/>
  <c r="E2357" i="1"/>
  <c r="F2357" i="1"/>
  <c r="H2357" i="1"/>
  <c r="E2358" i="1"/>
  <c r="F2358" i="1"/>
  <c r="H2358" i="1"/>
  <c r="E2359" i="1"/>
  <c r="F2359" i="1"/>
  <c r="H2359" i="1"/>
  <c r="E2360" i="1"/>
  <c r="F2360" i="1"/>
  <c r="H2360" i="1"/>
  <c r="E2361" i="1"/>
  <c r="F2361" i="1"/>
  <c r="H2361" i="1"/>
  <c r="E2362" i="1"/>
  <c r="F2362" i="1"/>
  <c r="H2362" i="1"/>
  <c r="E2363" i="1"/>
  <c r="F2363" i="1"/>
  <c r="H2363" i="1"/>
  <c r="E2364" i="1"/>
  <c r="F2364" i="1"/>
  <c r="H2364" i="1"/>
  <c r="E2365" i="1"/>
  <c r="F2365" i="1"/>
  <c r="H2365" i="1"/>
  <c r="E2366" i="1"/>
  <c r="F2366" i="1"/>
  <c r="H2366" i="1"/>
  <c r="E2367" i="1"/>
  <c r="F2367" i="1"/>
  <c r="H2367" i="1"/>
  <c r="E2368" i="1"/>
  <c r="F2368" i="1"/>
  <c r="H2368" i="1"/>
  <c r="E2369" i="1"/>
  <c r="F2369" i="1"/>
  <c r="H2369" i="1"/>
  <c r="E2370" i="1"/>
  <c r="F2370" i="1"/>
  <c r="H2370" i="1"/>
  <c r="E2371" i="1"/>
  <c r="F2371" i="1"/>
  <c r="H2371" i="1"/>
  <c r="E2372" i="1"/>
  <c r="F2372" i="1"/>
  <c r="H2372" i="1"/>
  <c r="E2373" i="1"/>
  <c r="F2373" i="1"/>
  <c r="H2373" i="1"/>
  <c r="E2374" i="1"/>
  <c r="F2374" i="1"/>
  <c r="H2374" i="1"/>
  <c r="E2375" i="1"/>
  <c r="F2375" i="1"/>
  <c r="H2375" i="1"/>
  <c r="E2376" i="1"/>
  <c r="F2376" i="1"/>
  <c r="H2376" i="1"/>
  <c r="E2377" i="1"/>
  <c r="F2377" i="1"/>
  <c r="H2377" i="1"/>
  <c r="E2378" i="1"/>
  <c r="F2378" i="1"/>
  <c r="H2378" i="1"/>
  <c r="E2379" i="1"/>
  <c r="F2379" i="1"/>
  <c r="H2379" i="1"/>
  <c r="E2380" i="1"/>
  <c r="F2380" i="1"/>
  <c r="H2380" i="1"/>
  <c r="E2381" i="1"/>
  <c r="F2381" i="1"/>
  <c r="H2381" i="1"/>
  <c r="E2382" i="1"/>
  <c r="F2382" i="1"/>
  <c r="H2382" i="1"/>
  <c r="E2383" i="1"/>
  <c r="F2383" i="1"/>
  <c r="H2383" i="1"/>
  <c r="E2384" i="1"/>
  <c r="F2384" i="1"/>
  <c r="H2384" i="1"/>
  <c r="E2385" i="1"/>
  <c r="F2385" i="1"/>
  <c r="H2385" i="1"/>
  <c r="E2386" i="1"/>
  <c r="F2386" i="1"/>
  <c r="H2386" i="1"/>
  <c r="E2387" i="1"/>
  <c r="F2387" i="1"/>
  <c r="H2387" i="1"/>
  <c r="E2388" i="1"/>
  <c r="F2388" i="1"/>
  <c r="H2388" i="1"/>
  <c r="E2389" i="1"/>
  <c r="F2389" i="1"/>
  <c r="H2389" i="1"/>
  <c r="E2390" i="1"/>
  <c r="F2390" i="1"/>
  <c r="H2390" i="1"/>
  <c r="E2391" i="1"/>
  <c r="F2391" i="1"/>
  <c r="H2391" i="1"/>
  <c r="E2392" i="1"/>
  <c r="F2392" i="1"/>
  <c r="H2392" i="1"/>
  <c r="E2393" i="1"/>
  <c r="F2393" i="1"/>
  <c r="H2393" i="1"/>
  <c r="E2394" i="1"/>
  <c r="F2394" i="1"/>
  <c r="H2394" i="1"/>
  <c r="E2395" i="1"/>
  <c r="F2395" i="1"/>
  <c r="H2395" i="1"/>
  <c r="E2396" i="1"/>
  <c r="F2396" i="1"/>
  <c r="H2396" i="1"/>
  <c r="E2397" i="1"/>
  <c r="F2397" i="1"/>
  <c r="H2397" i="1"/>
  <c r="E2398" i="1"/>
  <c r="F2398" i="1"/>
  <c r="H2398" i="1"/>
  <c r="E2399" i="1"/>
  <c r="F2399" i="1"/>
  <c r="H2399" i="1"/>
  <c r="E2400" i="1"/>
  <c r="F2400" i="1"/>
  <c r="H2400" i="1"/>
  <c r="E2401" i="1"/>
  <c r="F2401" i="1"/>
  <c r="H2401" i="1"/>
  <c r="E2402" i="1"/>
  <c r="F2402" i="1"/>
  <c r="H2402" i="1"/>
  <c r="E2403" i="1"/>
  <c r="F2403" i="1"/>
  <c r="H2403" i="1"/>
  <c r="E2404" i="1"/>
  <c r="F2404" i="1"/>
  <c r="H2404" i="1"/>
  <c r="E2405" i="1"/>
  <c r="F2405" i="1"/>
  <c r="H2405" i="1"/>
  <c r="E2406" i="1"/>
  <c r="F2406" i="1"/>
  <c r="H2406" i="1"/>
  <c r="E2407" i="1"/>
  <c r="F2407" i="1"/>
  <c r="H2407" i="1"/>
  <c r="E2408" i="1"/>
  <c r="F2408" i="1"/>
  <c r="H2408" i="1"/>
  <c r="E2409" i="1"/>
  <c r="F2409" i="1"/>
  <c r="H2409" i="1"/>
  <c r="E2410" i="1"/>
  <c r="F2410" i="1"/>
  <c r="H2410" i="1"/>
  <c r="E2411" i="1"/>
  <c r="F2411" i="1"/>
  <c r="H2411" i="1"/>
  <c r="E2412" i="1"/>
  <c r="F2412" i="1"/>
  <c r="H2412" i="1"/>
  <c r="E2413" i="1"/>
  <c r="F2413" i="1"/>
  <c r="H2413" i="1"/>
  <c r="E2414" i="1"/>
  <c r="F2414" i="1"/>
  <c r="H2414" i="1"/>
  <c r="E2415" i="1"/>
  <c r="F2415" i="1"/>
  <c r="H2415" i="1"/>
  <c r="E2416" i="1"/>
  <c r="F2416" i="1"/>
  <c r="H2416" i="1"/>
  <c r="E2417" i="1"/>
  <c r="F2417" i="1"/>
  <c r="H2417" i="1"/>
  <c r="E2418" i="1"/>
  <c r="F2418" i="1"/>
  <c r="H2418" i="1"/>
  <c r="E2419" i="1"/>
  <c r="F2419" i="1"/>
  <c r="H2419" i="1"/>
  <c r="E2420" i="1"/>
  <c r="F2420" i="1"/>
  <c r="H2420" i="1"/>
  <c r="E2421" i="1"/>
  <c r="F2421" i="1"/>
  <c r="H2421" i="1"/>
  <c r="E2422" i="1"/>
  <c r="F2422" i="1"/>
  <c r="H2422" i="1"/>
  <c r="E2423" i="1"/>
  <c r="F2423" i="1"/>
  <c r="H2423" i="1"/>
  <c r="E2424" i="1"/>
  <c r="F2424" i="1"/>
  <c r="H2424" i="1"/>
  <c r="E2425" i="1"/>
  <c r="F2425" i="1"/>
  <c r="H2425" i="1"/>
  <c r="E2426" i="1"/>
  <c r="F2426" i="1"/>
  <c r="H2426" i="1"/>
  <c r="E2427" i="1"/>
  <c r="F2427" i="1"/>
  <c r="H2427" i="1"/>
  <c r="E2428" i="1"/>
  <c r="F2428" i="1"/>
  <c r="H2428" i="1"/>
  <c r="E2429" i="1"/>
  <c r="F2429" i="1"/>
  <c r="H2429" i="1"/>
  <c r="E2430" i="1"/>
  <c r="F2430" i="1"/>
  <c r="H2430" i="1"/>
  <c r="E2431" i="1"/>
  <c r="F2431" i="1"/>
  <c r="H2431" i="1"/>
  <c r="E2432" i="1"/>
  <c r="F2432" i="1"/>
  <c r="H2432" i="1"/>
  <c r="E2433" i="1"/>
  <c r="F2433" i="1"/>
  <c r="H2433" i="1"/>
  <c r="E2434" i="1"/>
  <c r="F2434" i="1"/>
  <c r="H2434" i="1"/>
  <c r="E2435" i="1"/>
  <c r="F2435" i="1"/>
  <c r="H2435" i="1"/>
  <c r="E2436" i="1"/>
  <c r="F2436" i="1"/>
  <c r="H2436" i="1"/>
  <c r="E2437" i="1"/>
  <c r="F2437" i="1"/>
  <c r="H2437" i="1"/>
  <c r="E2438" i="1"/>
  <c r="F2438" i="1"/>
  <c r="H2438" i="1"/>
  <c r="E2439" i="1"/>
  <c r="F2439" i="1"/>
  <c r="H2439" i="1"/>
  <c r="E2440" i="1"/>
  <c r="F2440" i="1"/>
  <c r="H2440" i="1"/>
  <c r="E2441" i="1"/>
  <c r="F2441" i="1"/>
  <c r="H2441" i="1"/>
  <c r="E2442" i="1"/>
  <c r="F2442" i="1"/>
  <c r="H2442" i="1"/>
  <c r="E2443" i="1"/>
  <c r="F2443" i="1"/>
  <c r="H2443" i="1"/>
  <c r="E2444" i="1"/>
  <c r="F2444" i="1"/>
  <c r="H2444" i="1"/>
  <c r="E2445" i="1"/>
  <c r="F2445" i="1"/>
  <c r="H2445" i="1"/>
  <c r="E2446" i="1"/>
  <c r="F2446" i="1"/>
  <c r="H2446" i="1"/>
  <c r="E2447" i="1"/>
  <c r="F2447" i="1"/>
  <c r="H2447" i="1"/>
  <c r="E2448" i="1"/>
  <c r="F2448" i="1"/>
  <c r="H2448" i="1"/>
  <c r="E2449" i="1"/>
  <c r="F2449" i="1"/>
  <c r="H2449" i="1"/>
  <c r="E2450" i="1"/>
  <c r="F2450" i="1"/>
  <c r="H2450" i="1"/>
  <c r="E2451" i="1"/>
  <c r="F2451" i="1"/>
  <c r="H2451" i="1"/>
  <c r="E2452" i="1"/>
  <c r="F2452" i="1"/>
  <c r="H2452" i="1"/>
  <c r="E2453" i="1"/>
  <c r="F2453" i="1"/>
  <c r="H2453" i="1"/>
  <c r="E2454" i="1"/>
  <c r="F2454" i="1"/>
  <c r="H2454" i="1"/>
  <c r="E2455" i="1"/>
  <c r="F2455" i="1"/>
  <c r="H2455" i="1"/>
  <c r="E2456" i="1"/>
  <c r="F2456" i="1"/>
  <c r="H2456" i="1"/>
  <c r="E2457" i="1"/>
  <c r="F2457" i="1"/>
  <c r="H2457" i="1"/>
  <c r="E2458" i="1"/>
  <c r="F2458" i="1"/>
  <c r="H2458" i="1"/>
  <c r="E2459" i="1"/>
  <c r="F2459" i="1"/>
  <c r="H2459" i="1"/>
  <c r="E2460" i="1"/>
  <c r="F2460" i="1"/>
  <c r="H2460" i="1"/>
  <c r="E2461" i="1"/>
  <c r="F2461" i="1"/>
  <c r="H2461" i="1"/>
  <c r="E2462" i="1"/>
  <c r="F2462" i="1"/>
  <c r="H2462" i="1"/>
  <c r="E2463" i="1"/>
  <c r="F2463" i="1"/>
  <c r="H2463" i="1"/>
  <c r="E2464" i="1"/>
  <c r="F2464" i="1"/>
  <c r="H2464" i="1"/>
  <c r="E2465" i="1"/>
  <c r="F2465" i="1"/>
  <c r="H2465" i="1"/>
  <c r="E2466" i="1"/>
  <c r="F2466" i="1"/>
  <c r="H2466" i="1"/>
  <c r="E2467" i="1"/>
  <c r="F2467" i="1"/>
  <c r="H2467" i="1"/>
  <c r="E2468" i="1"/>
  <c r="F2468" i="1"/>
  <c r="H2468" i="1"/>
  <c r="E2469" i="1"/>
  <c r="F2469" i="1"/>
  <c r="H2469" i="1"/>
  <c r="E2470" i="1"/>
  <c r="F2470" i="1"/>
  <c r="H2470" i="1"/>
  <c r="E2471" i="1"/>
  <c r="F2471" i="1"/>
  <c r="H2471" i="1"/>
  <c r="E2472" i="1"/>
  <c r="F2472" i="1"/>
  <c r="H2472" i="1"/>
  <c r="E2473" i="1"/>
  <c r="F2473" i="1"/>
  <c r="H2473" i="1"/>
  <c r="E2474" i="1"/>
  <c r="F2474" i="1"/>
  <c r="H2474" i="1"/>
  <c r="E2475" i="1"/>
  <c r="F2475" i="1"/>
  <c r="H2475" i="1"/>
  <c r="E2476" i="1"/>
  <c r="F2476" i="1"/>
  <c r="H2476" i="1"/>
  <c r="E2477" i="1"/>
  <c r="F2477" i="1"/>
  <c r="H2477" i="1"/>
  <c r="E2478" i="1"/>
  <c r="F2478" i="1"/>
  <c r="H2478" i="1"/>
  <c r="E2479" i="1"/>
  <c r="F2479" i="1"/>
  <c r="H2479" i="1"/>
  <c r="E2480" i="1"/>
  <c r="F2480" i="1"/>
  <c r="H2480" i="1"/>
  <c r="E2481" i="1"/>
  <c r="F2481" i="1"/>
  <c r="H2481" i="1"/>
  <c r="E2482" i="1"/>
  <c r="F2482" i="1"/>
  <c r="H2482" i="1"/>
  <c r="E2483" i="1"/>
  <c r="F2483" i="1"/>
  <c r="H2483" i="1"/>
  <c r="E2484" i="1"/>
  <c r="F2484" i="1"/>
  <c r="H2484" i="1"/>
  <c r="E2485" i="1"/>
  <c r="F2485" i="1"/>
  <c r="H2485" i="1"/>
  <c r="E2486" i="1"/>
  <c r="F2486" i="1"/>
  <c r="H2486" i="1"/>
  <c r="E2487" i="1"/>
  <c r="F2487" i="1"/>
  <c r="H2487" i="1"/>
  <c r="E2488" i="1"/>
  <c r="F2488" i="1"/>
  <c r="H2488" i="1"/>
  <c r="E2489" i="1"/>
  <c r="F2489" i="1"/>
  <c r="H2489" i="1"/>
  <c r="E2490" i="1"/>
  <c r="F2490" i="1"/>
  <c r="H2490" i="1"/>
  <c r="E2491" i="1"/>
  <c r="F2491" i="1"/>
  <c r="H2491" i="1"/>
  <c r="E2492" i="1"/>
  <c r="F2492" i="1"/>
  <c r="H2492" i="1"/>
  <c r="E2493" i="1"/>
  <c r="F2493" i="1"/>
  <c r="H2493" i="1"/>
  <c r="E2494" i="1"/>
  <c r="F2494" i="1"/>
  <c r="H2494" i="1"/>
  <c r="E2495" i="1"/>
  <c r="F2495" i="1"/>
  <c r="H2495" i="1"/>
  <c r="E2496" i="1"/>
  <c r="F2496" i="1"/>
  <c r="H2496" i="1"/>
  <c r="E2497" i="1"/>
  <c r="F2497" i="1"/>
  <c r="H2497" i="1"/>
  <c r="E2498" i="1"/>
  <c r="F2498" i="1"/>
  <c r="H2498" i="1"/>
  <c r="E2499" i="1"/>
  <c r="F2499" i="1"/>
  <c r="H2499" i="1"/>
  <c r="E2500" i="1"/>
  <c r="F2500" i="1"/>
  <c r="H2500" i="1"/>
  <c r="E2501" i="1"/>
  <c r="F2501" i="1"/>
  <c r="H2501" i="1"/>
  <c r="E2502" i="1"/>
  <c r="F2502" i="1"/>
  <c r="H2502" i="1"/>
  <c r="E2503" i="1"/>
  <c r="F2503" i="1"/>
  <c r="H2503" i="1"/>
  <c r="E2504" i="1"/>
  <c r="F2504" i="1"/>
  <c r="H2504" i="1"/>
  <c r="E2505" i="1"/>
  <c r="F2505" i="1"/>
  <c r="H2505" i="1"/>
  <c r="E2506" i="1"/>
  <c r="F2506" i="1"/>
  <c r="H2506" i="1"/>
  <c r="E2507" i="1"/>
  <c r="F2507" i="1"/>
  <c r="H2507" i="1"/>
  <c r="E2508" i="1"/>
  <c r="F2508" i="1"/>
  <c r="H2508" i="1"/>
  <c r="E2509" i="1"/>
  <c r="F2509" i="1"/>
  <c r="H2509" i="1"/>
  <c r="E2510" i="1"/>
  <c r="F2510" i="1"/>
  <c r="H2510" i="1"/>
  <c r="E2511" i="1"/>
  <c r="F2511" i="1"/>
  <c r="H2511" i="1"/>
  <c r="E2512" i="1"/>
  <c r="F2512" i="1"/>
  <c r="H2512" i="1"/>
  <c r="E2513" i="1"/>
  <c r="F2513" i="1"/>
  <c r="H2513" i="1"/>
  <c r="E2514" i="1"/>
  <c r="F2514" i="1"/>
  <c r="H2514" i="1"/>
  <c r="E2515" i="1"/>
  <c r="F2515" i="1"/>
  <c r="H2515" i="1"/>
  <c r="E2516" i="1"/>
  <c r="F2516" i="1"/>
  <c r="H2516" i="1"/>
  <c r="E2517" i="1"/>
  <c r="F2517" i="1"/>
  <c r="H2517" i="1"/>
  <c r="E2518" i="1"/>
  <c r="F2518" i="1"/>
  <c r="H2518" i="1"/>
  <c r="E2519" i="1"/>
  <c r="F2519" i="1"/>
  <c r="H2519" i="1"/>
  <c r="E2520" i="1"/>
  <c r="F2520" i="1"/>
  <c r="H2520" i="1"/>
  <c r="E2521" i="1"/>
  <c r="F2521" i="1"/>
  <c r="H2521" i="1"/>
  <c r="E2522" i="1"/>
  <c r="F2522" i="1"/>
  <c r="H2522" i="1"/>
  <c r="E2523" i="1"/>
  <c r="F2523" i="1"/>
  <c r="H2523" i="1"/>
  <c r="E2524" i="1"/>
  <c r="F2524" i="1"/>
  <c r="H2524" i="1"/>
  <c r="E2525" i="1"/>
  <c r="F2525" i="1"/>
  <c r="H2525" i="1"/>
  <c r="E2526" i="1"/>
  <c r="F2526" i="1"/>
  <c r="H2526" i="1"/>
  <c r="E2527" i="1"/>
  <c r="F2527" i="1"/>
  <c r="H2527" i="1"/>
  <c r="E2528" i="1"/>
  <c r="F2528" i="1"/>
  <c r="H2528" i="1"/>
  <c r="E2529" i="1"/>
  <c r="F2529" i="1"/>
  <c r="H2529" i="1"/>
  <c r="E2530" i="1"/>
  <c r="F2530" i="1"/>
  <c r="H2530" i="1"/>
  <c r="E2531" i="1"/>
  <c r="F2531" i="1"/>
  <c r="H2531" i="1"/>
  <c r="E2532" i="1"/>
  <c r="F2532" i="1"/>
  <c r="H2532" i="1"/>
  <c r="E2533" i="1"/>
  <c r="F2533" i="1"/>
  <c r="H2533" i="1"/>
  <c r="E2534" i="1"/>
  <c r="F2534" i="1"/>
  <c r="H2534" i="1"/>
  <c r="E2535" i="1"/>
  <c r="F2535" i="1"/>
  <c r="H2535" i="1"/>
  <c r="E2536" i="1"/>
  <c r="F2536" i="1"/>
  <c r="H2536" i="1"/>
  <c r="E2537" i="1"/>
  <c r="F2537" i="1"/>
  <c r="H2537" i="1"/>
  <c r="E2538" i="1"/>
  <c r="F2538" i="1"/>
  <c r="H2538" i="1"/>
  <c r="E2539" i="1"/>
  <c r="F2539" i="1"/>
  <c r="H2539" i="1"/>
  <c r="E2540" i="1"/>
  <c r="F2540" i="1"/>
  <c r="H2540" i="1"/>
  <c r="E2541" i="1"/>
  <c r="F2541" i="1"/>
  <c r="H2541" i="1"/>
  <c r="E2542" i="1"/>
  <c r="F2542" i="1"/>
  <c r="H2542" i="1"/>
  <c r="E2543" i="1"/>
  <c r="F2543" i="1"/>
  <c r="H2543" i="1"/>
  <c r="E2544" i="1"/>
  <c r="F2544" i="1"/>
  <c r="H2544" i="1"/>
  <c r="E2545" i="1"/>
  <c r="F2545" i="1"/>
  <c r="H2545" i="1"/>
  <c r="E2546" i="1"/>
  <c r="F2546" i="1"/>
  <c r="H2546" i="1"/>
  <c r="E2547" i="1"/>
  <c r="F2547" i="1"/>
  <c r="H2547" i="1"/>
  <c r="E2548" i="1"/>
  <c r="F2548" i="1"/>
  <c r="H2548" i="1"/>
  <c r="E2549" i="1"/>
  <c r="F2549" i="1"/>
  <c r="H2549" i="1"/>
  <c r="E2550" i="1"/>
  <c r="F2550" i="1"/>
  <c r="H2550" i="1"/>
  <c r="E2551" i="1"/>
  <c r="F2551" i="1"/>
  <c r="H2551" i="1"/>
  <c r="E2552" i="1"/>
  <c r="F2552" i="1"/>
  <c r="H2552" i="1"/>
  <c r="E2553" i="1"/>
  <c r="F2553" i="1"/>
  <c r="H2553" i="1"/>
  <c r="E2554" i="1"/>
  <c r="F2554" i="1"/>
  <c r="H2554" i="1"/>
  <c r="E2555" i="1"/>
  <c r="F2555" i="1"/>
  <c r="H2555" i="1"/>
  <c r="E2556" i="1"/>
  <c r="F2556" i="1"/>
  <c r="H2556" i="1"/>
  <c r="E2557" i="1"/>
  <c r="F2557" i="1"/>
  <c r="H2557" i="1"/>
  <c r="E2558" i="1"/>
  <c r="F2558" i="1"/>
  <c r="H2558" i="1"/>
  <c r="E2559" i="1"/>
  <c r="F2559" i="1"/>
  <c r="H2559" i="1"/>
  <c r="E2560" i="1"/>
  <c r="F2560" i="1"/>
  <c r="H2560" i="1"/>
  <c r="E2561" i="1"/>
  <c r="F2561" i="1"/>
  <c r="H2561" i="1"/>
  <c r="E2562" i="1"/>
  <c r="F2562" i="1"/>
  <c r="H2562" i="1"/>
  <c r="E2563" i="1"/>
  <c r="F2563" i="1"/>
  <c r="H2563" i="1"/>
  <c r="E2564" i="1"/>
  <c r="F2564" i="1"/>
  <c r="H2564" i="1"/>
  <c r="E2565" i="1"/>
  <c r="F2565" i="1"/>
  <c r="H2565" i="1"/>
  <c r="E2566" i="1"/>
  <c r="F2566" i="1"/>
  <c r="H2566" i="1"/>
  <c r="E2567" i="1"/>
  <c r="F2567" i="1"/>
  <c r="H2567" i="1"/>
  <c r="E2568" i="1"/>
  <c r="F2568" i="1"/>
  <c r="H2568" i="1"/>
  <c r="E2569" i="1"/>
  <c r="F2569" i="1"/>
  <c r="H2569" i="1"/>
  <c r="E2570" i="1"/>
  <c r="F2570" i="1"/>
  <c r="H2570" i="1"/>
  <c r="E2571" i="1"/>
  <c r="F2571" i="1"/>
  <c r="H2571" i="1"/>
  <c r="E2572" i="1"/>
  <c r="F2572" i="1"/>
  <c r="H2572" i="1"/>
  <c r="E2573" i="1"/>
  <c r="F2573" i="1"/>
  <c r="H2573" i="1"/>
  <c r="E2574" i="1"/>
  <c r="F2574" i="1"/>
  <c r="H2574" i="1"/>
  <c r="E2575" i="1"/>
  <c r="F2575" i="1"/>
  <c r="H2575" i="1"/>
  <c r="E2576" i="1"/>
  <c r="F2576" i="1"/>
  <c r="H2576" i="1"/>
  <c r="E2577" i="1"/>
  <c r="F2577" i="1"/>
  <c r="H2577" i="1"/>
  <c r="E2578" i="1"/>
  <c r="F2578" i="1"/>
  <c r="H2578" i="1"/>
  <c r="E2579" i="1"/>
  <c r="F2579" i="1"/>
  <c r="H2579" i="1"/>
  <c r="E2580" i="1"/>
  <c r="F2580" i="1"/>
  <c r="H2580" i="1"/>
  <c r="E2581" i="1"/>
  <c r="F2581" i="1"/>
  <c r="H2581" i="1"/>
  <c r="E2582" i="1"/>
  <c r="F2582" i="1"/>
  <c r="H2582" i="1"/>
  <c r="E2583" i="1"/>
  <c r="F2583" i="1"/>
  <c r="H2583" i="1"/>
  <c r="E2584" i="1"/>
  <c r="F2584" i="1"/>
  <c r="H2584" i="1"/>
  <c r="E2585" i="1"/>
  <c r="F2585" i="1"/>
  <c r="H2585" i="1"/>
  <c r="E2586" i="1"/>
  <c r="F2586" i="1"/>
  <c r="H2586" i="1"/>
  <c r="E2587" i="1"/>
  <c r="F2587" i="1"/>
  <c r="H2587" i="1"/>
  <c r="E2588" i="1"/>
  <c r="F2588" i="1"/>
  <c r="H2588" i="1"/>
  <c r="E2589" i="1"/>
  <c r="F2589" i="1"/>
  <c r="H2589" i="1"/>
  <c r="E2590" i="1"/>
  <c r="F2590" i="1"/>
  <c r="H2590" i="1"/>
  <c r="E2591" i="1"/>
  <c r="F2591" i="1"/>
  <c r="H2591" i="1"/>
  <c r="E2592" i="1"/>
  <c r="F2592" i="1"/>
  <c r="H2592" i="1"/>
  <c r="E2593" i="1"/>
  <c r="F2593" i="1"/>
  <c r="H2593" i="1"/>
  <c r="E2594" i="1"/>
  <c r="F2594" i="1"/>
  <c r="H2594" i="1"/>
  <c r="E2595" i="1"/>
  <c r="F2595" i="1"/>
  <c r="H2595" i="1"/>
  <c r="E2596" i="1"/>
  <c r="F2596" i="1"/>
  <c r="H2596" i="1"/>
  <c r="E2597" i="1"/>
  <c r="F2597" i="1"/>
  <c r="H2597" i="1"/>
  <c r="E2598" i="1"/>
  <c r="F2598" i="1"/>
  <c r="H2598" i="1"/>
  <c r="E2599" i="1"/>
  <c r="F2599" i="1"/>
  <c r="H2599" i="1"/>
  <c r="E2600" i="1"/>
  <c r="F2600" i="1"/>
  <c r="H2600" i="1"/>
  <c r="E2601" i="1"/>
  <c r="F2601" i="1"/>
  <c r="H2601" i="1"/>
  <c r="E2602" i="1"/>
  <c r="F2602" i="1"/>
  <c r="H2602" i="1"/>
  <c r="E2603" i="1"/>
  <c r="F2603" i="1"/>
  <c r="H2603" i="1"/>
  <c r="E2604" i="1"/>
  <c r="F2604" i="1"/>
  <c r="H2604" i="1"/>
  <c r="E2605" i="1"/>
  <c r="F2605" i="1"/>
  <c r="H2605" i="1"/>
  <c r="E2606" i="1"/>
  <c r="F2606" i="1"/>
  <c r="H2606" i="1"/>
  <c r="E2607" i="1"/>
  <c r="F2607" i="1"/>
  <c r="H2607" i="1"/>
  <c r="E2608" i="1"/>
  <c r="F2608" i="1"/>
  <c r="H2608" i="1"/>
  <c r="E2609" i="1"/>
  <c r="F2609" i="1"/>
  <c r="H2609" i="1"/>
  <c r="E2610" i="1"/>
  <c r="F2610" i="1"/>
  <c r="H2610" i="1"/>
  <c r="E2611" i="1"/>
  <c r="F2611" i="1"/>
  <c r="H2611" i="1"/>
  <c r="E2612" i="1"/>
  <c r="F2612" i="1"/>
  <c r="H2612" i="1"/>
  <c r="E2613" i="1"/>
  <c r="F2613" i="1"/>
  <c r="H2613" i="1"/>
  <c r="E2614" i="1"/>
  <c r="F2614" i="1"/>
  <c r="H2614" i="1"/>
  <c r="E2615" i="1"/>
  <c r="F2615" i="1"/>
  <c r="H2615" i="1"/>
  <c r="E2616" i="1"/>
  <c r="F2616" i="1"/>
  <c r="H2616" i="1"/>
  <c r="E2617" i="1"/>
  <c r="F2617" i="1"/>
  <c r="H2617" i="1"/>
  <c r="E2618" i="1"/>
  <c r="F2618" i="1"/>
  <c r="H2618" i="1"/>
  <c r="E2619" i="1"/>
  <c r="F2619" i="1"/>
  <c r="H2619" i="1"/>
  <c r="E2620" i="1"/>
  <c r="F2620" i="1"/>
  <c r="H2620" i="1"/>
  <c r="E2621" i="1"/>
  <c r="F2621" i="1"/>
  <c r="H2621" i="1"/>
  <c r="E2622" i="1"/>
  <c r="F2622" i="1"/>
  <c r="H2622" i="1"/>
  <c r="E2623" i="1"/>
  <c r="F2623" i="1"/>
  <c r="H2623" i="1"/>
  <c r="E2624" i="1"/>
  <c r="F2624" i="1"/>
  <c r="H2624" i="1"/>
  <c r="E2625" i="1"/>
  <c r="F2625" i="1"/>
  <c r="H2625" i="1"/>
  <c r="E2626" i="1"/>
  <c r="F2626" i="1"/>
  <c r="H2626" i="1"/>
  <c r="E2627" i="1"/>
  <c r="F2627" i="1"/>
  <c r="H2627" i="1"/>
  <c r="E2628" i="1"/>
  <c r="F2628" i="1"/>
  <c r="H2628" i="1"/>
  <c r="E2629" i="1"/>
  <c r="F2629" i="1"/>
  <c r="H2629" i="1"/>
  <c r="E2630" i="1"/>
  <c r="F2630" i="1"/>
  <c r="H2630" i="1"/>
  <c r="E2631" i="1"/>
  <c r="F2631" i="1"/>
  <c r="H2631" i="1"/>
  <c r="E2632" i="1"/>
  <c r="F2632" i="1"/>
  <c r="H2632" i="1"/>
  <c r="E2633" i="1"/>
  <c r="F2633" i="1"/>
  <c r="H2633" i="1"/>
  <c r="E2634" i="1"/>
  <c r="F2634" i="1"/>
  <c r="H2634" i="1"/>
  <c r="E2635" i="1"/>
  <c r="F2635" i="1"/>
  <c r="H2635" i="1"/>
  <c r="E2636" i="1"/>
  <c r="F2636" i="1"/>
  <c r="H2636" i="1"/>
  <c r="E2637" i="1"/>
  <c r="F2637" i="1"/>
  <c r="H2637" i="1"/>
  <c r="E2638" i="1"/>
  <c r="F2638" i="1"/>
  <c r="H2638" i="1"/>
  <c r="E2639" i="1"/>
  <c r="F2639" i="1"/>
  <c r="H2639" i="1"/>
  <c r="E2640" i="1"/>
  <c r="F2640" i="1"/>
  <c r="H2640" i="1"/>
  <c r="E2641" i="1"/>
  <c r="F2641" i="1"/>
  <c r="H2641" i="1"/>
  <c r="E2642" i="1"/>
  <c r="F2642" i="1"/>
  <c r="H2642" i="1"/>
  <c r="E2643" i="1"/>
  <c r="F2643" i="1"/>
  <c r="H2643" i="1"/>
  <c r="E2644" i="1"/>
  <c r="F2644" i="1"/>
  <c r="H2644" i="1"/>
  <c r="E2645" i="1"/>
  <c r="F2645" i="1"/>
  <c r="H2645" i="1"/>
  <c r="E2646" i="1"/>
  <c r="F2646" i="1"/>
  <c r="H2646" i="1"/>
  <c r="E2647" i="1"/>
  <c r="F2647" i="1"/>
  <c r="H2647" i="1"/>
  <c r="E2648" i="1"/>
  <c r="F2648" i="1"/>
  <c r="H2648" i="1"/>
  <c r="E2649" i="1"/>
  <c r="F2649" i="1"/>
  <c r="H2649" i="1"/>
  <c r="E2650" i="1"/>
  <c r="F2650" i="1"/>
  <c r="H2650" i="1"/>
  <c r="E2651" i="1"/>
  <c r="F2651" i="1"/>
  <c r="H2651" i="1"/>
  <c r="E2652" i="1"/>
  <c r="F2652" i="1"/>
  <c r="H2652" i="1"/>
  <c r="E2653" i="1"/>
  <c r="F2653" i="1"/>
  <c r="H2653" i="1"/>
  <c r="E2654" i="1"/>
  <c r="F2654" i="1"/>
  <c r="H2654" i="1"/>
  <c r="E2655" i="1"/>
  <c r="F2655" i="1"/>
  <c r="H2655" i="1"/>
  <c r="E2656" i="1"/>
  <c r="F2656" i="1"/>
  <c r="H2656" i="1"/>
  <c r="E2657" i="1"/>
  <c r="F2657" i="1"/>
  <c r="H2657" i="1"/>
  <c r="E2658" i="1"/>
  <c r="F2658" i="1"/>
  <c r="H2658" i="1"/>
  <c r="E2659" i="1"/>
  <c r="F2659" i="1"/>
  <c r="H2659" i="1"/>
  <c r="E2660" i="1"/>
  <c r="F2660" i="1"/>
  <c r="H2660" i="1"/>
  <c r="E2661" i="1"/>
  <c r="F2661" i="1"/>
  <c r="H2661" i="1"/>
  <c r="E2662" i="1"/>
  <c r="F2662" i="1"/>
  <c r="H2662" i="1"/>
  <c r="E2663" i="1"/>
  <c r="F2663" i="1"/>
  <c r="H2663" i="1"/>
  <c r="E2664" i="1"/>
  <c r="F2664" i="1"/>
  <c r="H2664" i="1"/>
  <c r="E2665" i="1"/>
  <c r="F2665" i="1"/>
  <c r="H2665" i="1"/>
  <c r="E2666" i="1"/>
  <c r="F2666" i="1"/>
  <c r="H2666" i="1"/>
  <c r="E2667" i="1"/>
  <c r="F2667" i="1"/>
  <c r="H2667" i="1"/>
  <c r="E2668" i="1"/>
  <c r="F2668" i="1"/>
  <c r="H2668" i="1"/>
  <c r="E2669" i="1"/>
  <c r="F2669" i="1"/>
  <c r="H2669" i="1"/>
  <c r="E2670" i="1"/>
  <c r="F2670" i="1"/>
  <c r="H2670" i="1"/>
  <c r="E2671" i="1"/>
  <c r="F2671" i="1"/>
  <c r="H2671" i="1"/>
  <c r="E2672" i="1"/>
  <c r="F2672" i="1"/>
  <c r="H2672" i="1"/>
  <c r="E2673" i="1"/>
  <c r="F2673" i="1"/>
  <c r="H2673" i="1"/>
  <c r="E2674" i="1"/>
  <c r="F2674" i="1"/>
  <c r="H2674" i="1"/>
  <c r="E2675" i="1"/>
  <c r="F2675" i="1"/>
  <c r="H2675" i="1"/>
  <c r="E2676" i="1"/>
  <c r="F2676" i="1"/>
  <c r="H2676" i="1"/>
  <c r="E2677" i="1"/>
  <c r="F2677" i="1"/>
  <c r="H2677" i="1"/>
  <c r="E2678" i="1"/>
  <c r="F2678" i="1"/>
  <c r="H2678" i="1"/>
  <c r="E2679" i="1"/>
  <c r="F2679" i="1"/>
  <c r="H2679" i="1"/>
  <c r="E2680" i="1"/>
  <c r="F2680" i="1"/>
  <c r="H2680" i="1"/>
  <c r="E2681" i="1"/>
  <c r="F2681" i="1"/>
  <c r="H2681" i="1"/>
  <c r="E2682" i="1"/>
  <c r="F2682" i="1"/>
  <c r="H2682" i="1"/>
  <c r="E2683" i="1"/>
  <c r="F2683" i="1"/>
  <c r="H2683" i="1"/>
  <c r="E2684" i="1"/>
  <c r="F2684" i="1"/>
  <c r="H2684" i="1"/>
  <c r="E2685" i="1"/>
  <c r="F2685" i="1"/>
  <c r="H2685" i="1"/>
  <c r="E2686" i="1"/>
  <c r="F2686" i="1"/>
  <c r="H2686" i="1"/>
  <c r="E2687" i="1"/>
  <c r="F2687" i="1"/>
  <c r="H2687" i="1"/>
  <c r="E2688" i="1"/>
  <c r="F2688" i="1"/>
  <c r="H2688" i="1"/>
  <c r="E2689" i="1"/>
  <c r="F2689" i="1"/>
  <c r="H2689" i="1"/>
  <c r="E2690" i="1"/>
  <c r="F2690" i="1"/>
  <c r="H2690" i="1"/>
  <c r="E2691" i="1"/>
  <c r="F2691" i="1"/>
  <c r="H2691" i="1"/>
  <c r="E2692" i="1"/>
  <c r="F2692" i="1"/>
  <c r="H2692" i="1"/>
  <c r="E2693" i="1"/>
  <c r="F2693" i="1"/>
  <c r="H2693" i="1"/>
  <c r="E2694" i="1"/>
  <c r="F2694" i="1"/>
  <c r="H2694" i="1"/>
  <c r="E2695" i="1"/>
  <c r="F2695" i="1"/>
  <c r="H2695" i="1"/>
  <c r="E2696" i="1"/>
  <c r="F2696" i="1"/>
  <c r="H2696" i="1"/>
  <c r="E2697" i="1"/>
  <c r="F2697" i="1"/>
  <c r="H2697" i="1"/>
  <c r="E2698" i="1"/>
  <c r="F2698" i="1"/>
  <c r="H2698" i="1"/>
  <c r="E2699" i="1"/>
  <c r="F2699" i="1"/>
  <c r="H2699" i="1"/>
  <c r="E2700" i="1"/>
  <c r="F2700" i="1"/>
  <c r="H2700" i="1"/>
  <c r="E2701" i="1"/>
  <c r="F2701" i="1"/>
  <c r="H2701" i="1"/>
  <c r="E2702" i="1"/>
  <c r="F2702" i="1"/>
  <c r="H2702" i="1"/>
  <c r="E2703" i="1"/>
  <c r="F2703" i="1"/>
  <c r="H2703" i="1"/>
  <c r="E2704" i="1"/>
  <c r="F2704" i="1"/>
  <c r="H2704" i="1"/>
  <c r="E2705" i="1"/>
  <c r="F2705" i="1"/>
  <c r="H2705" i="1"/>
  <c r="E2706" i="1"/>
  <c r="F2706" i="1"/>
  <c r="H2706" i="1"/>
  <c r="E2707" i="1"/>
  <c r="F2707" i="1"/>
  <c r="H2707" i="1"/>
  <c r="E2708" i="1"/>
  <c r="F2708" i="1"/>
  <c r="H2708" i="1"/>
  <c r="E2709" i="1"/>
  <c r="F2709" i="1"/>
  <c r="H2709" i="1"/>
  <c r="E2710" i="1"/>
  <c r="F2710" i="1"/>
  <c r="H2710" i="1"/>
  <c r="E2711" i="1"/>
  <c r="F2711" i="1"/>
  <c r="H2711" i="1"/>
  <c r="E2712" i="1"/>
  <c r="F2712" i="1"/>
  <c r="H2712" i="1"/>
  <c r="E2713" i="1"/>
  <c r="F2713" i="1"/>
  <c r="H2713" i="1"/>
  <c r="E2714" i="1"/>
  <c r="F2714" i="1"/>
  <c r="H2714" i="1"/>
  <c r="E2715" i="1"/>
  <c r="F2715" i="1"/>
  <c r="H2715" i="1"/>
  <c r="E2716" i="1"/>
  <c r="F2716" i="1"/>
  <c r="H2716" i="1"/>
  <c r="E2717" i="1"/>
  <c r="F2717" i="1"/>
  <c r="H2717" i="1"/>
  <c r="E2718" i="1"/>
  <c r="F2718" i="1"/>
  <c r="H2718" i="1"/>
  <c r="E2719" i="1"/>
  <c r="F2719" i="1"/>
  <c r="H2719" i="1"/>
  <c r="E2720" i="1"/>
  <c r="F2720" i="1"/>
  <c r="H2720" i="1"/>
  <c r="E2721" i="1"/>
  <c r="F2721" i="1"/>
  <c r="H2721" i="1"/>
  <c r="E2722" i="1"/>
  <c r="F2722" i="1"/>
  <c r="H2722" i="1"/>
  <c r="E2723" i="1"/>
  <c r="F2723" i="1"/>
  <c r="H2723" i="1"/>
  <c r="E2724" i="1"/>
  <c r="F2724" i="1"/>
  <c r="H2724" i="1"/>
  <c r="E2725" i="1"/>
  <c r="F2725" i="1"/>
  <c r="H2725" i="1"/>
  <c r="E2726" i="1"/>
  <c r="F2726" i="1"/>
  <c r="H2726" i="1"/>
  <c r="E2727" i="1"/>
  <c r="F2727" i="1"/>
  <c r="H2727" i="1"/>
  <c r="E2728" i="1"/>
  <c r="F2728" i="1"/>
  <c r="H2728" i="1"/>
  <c r="E2729" i="1"/>
  <c r="F2729" i="1"/>
  <c r="H2729" i="1"/>
  <c r="E2730" i="1"/>
  <c r="F2730" i="1"/>
  <c r="H2730" i="1"/>
  <c r="E2731" i="1"/>
  <c r="F2731" i="1"/>
  <c r="H2731" i="1"/>
  <c r="E2732" i="1"/>
  <c r="F2732" i="1"/>
  <c r="H2732" i="1"/>
  <c r="E2733" i="1"/>
  <c r="F2733" i="1"/>
  <c r="H2733" i="1"/>
  <c r="E2734" i="1"/>
  <c r="F2734" i="1"/>
  <c r="H2734" i="1"/>
  <c r="E2735" i="1"/>
  <c r="F2735" i="1"/>
  <c r="H2735" i="1"/>
  <c r="E2736" i="1"/>
  <c r="F2736" i="1"/>
  <c r="H2736" i="1"/>
  <c r="E2737" i="1"/>
  <c r="F2737" i="1"/>
  <c r="H2737" i="1"/>
  <c r="E2738" i="1"/>
  <c r="F2738" i="1"/>
  <c r="H2738" i="1"/>
  <c r="E2739" i="1"/>
  <c r="F2739" i="1"/>
  <c r="H2739" i="1"/>
  <c r="E2740" i="1"/>
  <c r="F2740" i="1"/>
  <c r="H2740" i="1"/>
  <c r="E2741" i="1"/>
  <c r="F2741" i="1"/>
  <c r="H2741" i="1"/>
  <c r="E2742" i="1"/>
  <c r="F2742" i="1"/>
  <c r="H2742" i="1"/>
  <c r="E2743" i="1"/>
  <c r="F2743" i="1"/>
  <c r="H2743" i="1"/>
  <c r="E2744" i="1"/>
  <c r="F2744" i="1"/>
  <c r="H2744" i="1"/>
  <c r="E2745" i="1"/>
  <c r="F2745" i="1"/>
  <c r="H2745" i="1"/>
  <c r="E2746" i="1"/>
  <c r="F2746" i="1"/>
  <c r="H2746" i="1"/>
  <c r="E2747" i="1"/>
  <c r="F2747" i="1"/>
  <c r="H2747" i="1"/>
  <c r="E2748" i="1"/>
  <c r="F2748" i="1"/>
  <c r="H2748" i="1"/>
  <c r="E2749" i="1"/>
  <c r="F2749" i="1"/>
  <c r="H2749" i="1"/>
  <c r="E2750" i="1"/>
  <c r="F2750" i="1"/>
  <c r="H2750" i="1"/>
  <c r="E2751" i="1"/>
  <c r="F2751" i="1"/>
  <c r="H2751" i="1"/>
  <c r="E2752" i="1"/>
  <c r="F2752" i="1"/>
  <c r="H2752" i="1"/>
  <c r="E2753" i="1"/>
  <c r="F2753" i="1"/>
  <c r="H2753" i="1"/>
  <c r="E2754" i="1"/>
  <c r="F2754" i="1"/>
  <c r="H2754" i="1"/>
  <c r="E2755" i="1"/>
  <c r="F2755" i="1"/>
  <c r="H2755" i="1"/>
  <c r="E2756" i="1"/>
  <c r="F2756" i="1"/>
  <c r="H2756" i="1"/>
  <c r="E2757" i="1"/>
  <c r="F2757" i="1"/>
  <c r="H2757" i="1"/>
</calcChain>
</file>

<file path=xl/sharedStrings.xml><?xml version="1.0" encoding="utf-8"?>
<sst xmlns="http://schemas.openxmlformats.org/spreadsheetml/2006/main" count="696" uniqueCount="573">
  <si>
    <t>Name</t>
  </si>
  <si>
    <t>Check #</t>
  </si>
  <si>
    <t>Check Amount</t>
  </si>
  <si>
    <t>Check Date</t>
  </si>
  <si>
    <t>Invoice ID</t>
  </si>
  <si>
    <t>Invoice Desc</t>
  </si>
  <si>
    <t>Invoice Payment</t>
  </si>
  <si>
    <t>GL Description</t>
  </si>
  <si>
    <t>AIRPLEXUS  INC</t>
  </si>
  <si>
    <t>BLUEBONNET PETROLEUM INC</t>
  </si>
  <si>
    <t>CENTURYLINK COMMUNICATIONS  LLC</t>
  </si>
  <si>
    <t>CORRECTIONS SOFTWARE SOLUTIONS LP</t>
  </si>
  <si>
    <t>DISA GLOBAL SOLUTIONS  INC.</t>
  </si>
  <si>
    <t>LEXISNEXIS RISK DATA MANAGEMENT INC</t>
  </si>
  <si>
    <t>OFFICE DEPOT  INC</t>
  </si>
  <si>
    <t>RECOVERY HEALTHCARE CORP</t>
  </si>
  <si>
    <t>GE CAPITAL INFORMATION TECCHNOLOGY SOLUTIONS  INC</t>
  </si>
  <si>
    <t>WEX BANK</t>
  </si>
  <si>
    <t>CHARTER COMMUNICATIONS HOLDINGS  LLC</t>
  </si>
  <si>
    <t>CEQUEL COMMUNICATIONS LLC</t>
  </si>
  <si>
    <t>TIB-THE INDEPENDENT BANKERSBANK</t>
  </si>
  <si>
    <t>UBEO OF EAST TEXAS  INC.</t>
  </si>
  <si>
    <t>3-B EXCAVATION &amp; CONSTRUCTION SERVICES  LLS</t>
  </si>
  <si>
    <t>WILLIAM E. SUMNER</t>
  </si>
  <si>
    <t>973 MATERIALS  LLC</t>
  </si>
  <si>
    <t>A-1 CORING  INC.</t>
  </si>
  <si>
    <t>ARNOLD OIL COMPANY OF AUSTIN LP</t>
  </si>
  <si>
    <t>AAA FIRE &amp; SAFETY EQUIP CO.  INC.</t>
  </si>
  <si>
    <t>HAVERDA ENTERPRISES INC</t>
  </si>
  <si>
    <t>ADAM DAKOTA ROWINS</t>
  </si>
  <si>
    <t>ADAM MUERY</t>
  </si>
  <si>
    <t>ADENA LEWIS</t>
  </si>
  <si>
    <t>DESIGNPD LLC</t>
  </si>
  <si>
    <t>AHERN RENTALS  INC.</t>
  </si>
  <si>
    <t>AIRGAS INC</t>
  </si>
  <si>
    <t>AL OESER</t>
  </si>
  <si>
    <t>ALAMO CITY TRAILER SALES  LLC</t>
  </si>
  <si>
    <t>DRIVE TRAIN  INC</t>
  </si>
  <si>
    <t>ALAN REDUS</t>
  </si>
  <si>
    <t>ALBERT A. MARTINEZ  JR.</t>
  </si>
  <si>
    <t>ALBERT NEAL PFEIFFER</t>
  </si>
  <si>
    <t>ALEJANDRO RODRIGUEZ</t>
  </si>
  <si>
    <t>TIMOTHY HALL</t>
  </si>
  <si>
    <t>AMAZON CAPITAL SERVICES INC</t>
  </si>
  <si>
    <t>AMELIA BROWN</t>
  </si>
  <si>
    <t>AMERICAN ASSN OF NOTARIES</t>
  </si>
  <si>
    <t>AMERISOURCEBERGEN</t>
  </si>
  <si>
    <t>ANDERSON &amp; ANDERSON LAW FIRM PC</t>
  </si>
  <si>
    <t>ANIXTER INC</t>
  </si>
  <si>
    <t>C APPLEMAN ENT INC</t>
  </si>
  <si>
    <t>AQUA BEVERAGE COMPANY/OZARKA</t>
  </si>
  <si>
    <t>AQUA WATER SUPPLY CORPORATION</t>
  </si>
  <si>
    <t>ARA / ST.DAVID'S IMAGING  LP</t>
  </si>
  <si>
    <t>ARSENAL ADVERTISING LLC</t>
  </si>
  <si>
    <t>ARTHUR HURST</t>
  </si>
  <si>
    <t>AT&amp;T</t>
  </si>
  <si>
    <t>AT&amp;T MOBILITY</t>
  </si>
  <si>
    <t>ATLAS PHARMACEUTICALS  LLC</t>
  </si>
  <si>
    <t>THE AUBAINE SUPPLY COMPANY  INC</t>
  </si>
  <si>
    <t>GATEHOUSE MEDIA TEXAS HOLDINGS II  INC.</t>
  </si>
  <si>
    <t>AUSTIN FUEL INJECTION &amp; PERFORMANCE CENTER</t>
  </si>
  <si>
    <t>AUSTIN SOUTHWEST ORTHOPAEDIC GROUP</t>
  </si>
  <si>
    <t>AUTUMN J SMITH</t>
  </si>
  <si>
    <t>JIM ATTRA INC</t>
  </si>
  <si>
    <t>MICHAEL OLDHAM TIRE INC</t>
  </si>
  <si>
    <t>EDUARDO BARRIENTOS</t>
  </si>
  <si>
    <t>BASTROP BAIL BONDS</t>
  </si>
  <si>
    <t>BASTROP CENTRAL APPRAISAL DIST.</t>
  </si>
  <si>
    <t>BASTROP COUNTY SHERIFF'S DEPT</t>
  </si>
  <si>
    <t>DANIEL L HEPKER</t>
  </si>
  <si>
    <t>BASTROP COUNTY CARES</t>
  </si>
  <si>
    <t>BASTROP COUNTY PROBATION DEPT</t>
  </si>
  <si>
    <t>BASTROP MEDICAL CLINIC</t>
  </si>
  <si>
    <t>BASTROP PROVIDENCE  LLC</t>
  </si>
  <si>
    <t>BAYER CORPORATION</t>
  </si>
  <si>
    <t>DAVID H OUTON</t>
  </si>
  <si>
    <t>BEHAVIORAL MEASURES &amp; FORENSIC SERVICES</t>
  </si>
  <si>
    <t>BELLAMONT  LLC</t>
  </si>
  <si>
    <t>BEN E KEITH CO.</t>
  </si>
  <si>
    <t>BENNY BOYD LOCKHART LLC</t>
  </si>
  <si>
    <t>BERAN'S GIN MILL &amp; FEED CO  LP</t>
  </si>
  <si>
    <t>B C FOOD GROUP  LLC</t>
  </si>
  <si>
    <t>BETA TECHNOLOGY INC.</t>
  </si>
  <si>
    <t>BILL'S TRUCK &amp; TRAILER INC</t>
  </si>
  <si>
    <t>BILLY J MITCHEL</t>
  </si>
  <si>
    <t>BIMBO FOODS INC</t>
  </si>
  <si>
    <t>BLAS J. COY  JR.</t>
  </si>
  <si>
    <t>BLUEBONNET AREA CRIME STOPPERS PROGRAM</t>
  </si>
  <si>
    <t>BLUEBONNET ELECTRIC COOPERATIVE  INC.</t>
  </si>
  <si>
    <t>BLUEBONNET ELECTRIC</t>
  </si>
  <si>
    <t>BLUEBONNET TRAILS MHMR</t>
  </si>
  <si>
    <t>BOB BARKER COMPANY  INC.</t>
  </si>
  <si>
    <t>BRAUNTEX MATERIALS INC</t>
  </si>
  <si>
    <t>BRIAN A. REASBECK</t>
  </si>
  <si>
    <t>ROBERT WYPER</t>
  </si>
  <si>
    <t>BUREAU OF VITAL STATISTICS</t>
  </si>
  <si>
    <t>C M PESL</t>
  </si>
  <si>
    <t>CADE BADDERS</t>
  </si>
  <si>
    <t>CAHABA DISASTER RECOVERY  LLC</t>
  </si>
  <si>
    <t>CAPITAL AREA COUNCIL OF GOVERNMENTS</t>
  </si>
  <si>
    <t>MARION G &amp; LINDA K RAINS</t>
  </si>
  <si>
    <t>CAPITOL BEARING SERVICE OF AUSTIN  INC.</t>
  </si>
  <si>
    <t>TIB-THE INDEPENDENT BANKERS BANK</t>
  </si>
  <si>
    <t>CARROLL H RABEL</t>
  </si>
  <si>
    <t>CDW GOVERNMENT INC</t>
  </si>
  <si>
    <t>CENTERPOINT ENERGY</t>
  </si>
  <si>
    <t>CHARLES W CARVER</t>
  </si>
  <si>
    <t>CHRIS MATT DILLON</t>
  </si>
  <si>
    <t>CHRISTINE FILES</t>
  </si>
  <si>
    <t>CINTAS</t>
  </si>
  <si>
    <t>CINTAS CORPORATION</t>
  </si>
  <si>
    <t>CINTAS CORPORATION #86</t>
  </si>
  <si>
    <t>CITIBANK</t>
  </si>
  <si>
    <t>CITY OF AUSTIN</t>
  </si>
  <si>
    <t>CITY OF BASTROP</t>
  </si>
  <si>
    <t>CITY OF SMITHVILLE</t>
  </si>
  <si>
    <t>CLARENCE W HOFFMAN</t>
  </si>
  <si>
    <t>CLAY WANECK</t>
  </si>
  <si>
    <t>CLINICAL PATHOLOGY LABORATORIES INC</t>
  </si>
  <si>
    <t>CML SECURITY  LLC</t>
  </si>
  <si>
    <t>CODY WANECK</t>
  </si>
  <si>
    <t>COMMUNITY COFFEE COMPANY LLC</t>
  </si>
  <si>
    <t>COMMUNITY HEALTH CENTERS</t>
  </si>
  <si>
    <t>MIGUEL ANTONIO CUYUGAN CASAS</t>
  </si>
  <si>
    <t>CONTECH ENGINEERED SOLUTIONS INC</t>
  </si>
  <si>
    <t>CONVERGENCE CABLING  INC.</t>
  </si>
  <si>
    <t>COUNTY OF BEXAR - SHERIFF</t>
  </si>
  <si>
    <t>STATE OF TEXAS</t>
  </si>
  <si>
    <t>BUTLER ANIMAL HEALTH HOLDING COMPANY  LLC</t>
  </si>
  <si>
    <t>CUSTOM PRODUCTS CORPORATION</t>
  </si>
  <si>
    <t>DALLAS COUNTY CONSTABLE PCT 1</t>
  </si>
  <si>
    <t>DANIEL ACKER</t>
  </si>
  <si>
    <t>DARRELL URBAN</t>
  </si>
  <si>
    <t>DAVE ERNST MUNDINE</t>
  </si>
  <si>
    <t>DAVID B BROOKS</t>
  </si>
  <si>
    <t>DAVID GONZALEZ</t>
  </si>
  <si>
    <t>DAVID M COLLINS</t>
  </si>
  <si>
    <t>DEBBIE BARRINGTON</t>
  </si>
  <si>
    <t>DELL</t>
  </si>
  <si>
    <t>DENTON COOPER</t>
  </si>
  <si>
    <t>DENTRUST DENTAL TX PC</t>
  </si>
  <si>
    <t>DEVON BEHRENS</t>
  </si>
  <si>
    <t>DICKENS LOCKSMITH INC</t>
  </si>
  <si>
    <t>DIGITAL DOLPHIN SUPPLIES LLC</t>
  </si>
  <si>
    <t>DEPARTMENT OF INFORMATION RESOURCES</t>
  </si>
  <si>
    <t>THE REINALT - THOMAS CORPORATION</t>
  </si>
  <si>
    <t>DONALD HANCOCK</t>
  </si>
  <si>
    <t>DONNIE SCHULZ</t>
  </si>
  <si>
    <t>DONNIE STARK</t>
  </si>
  <si>
    <t>DOUBLE D INTERNATIONAL FOOD CO.  INC.</t>
  </si>
  <si>
    <t>DOUBLE TUFF TRUCK TARPS INC</t>
  </si>
  <si>
    <t>DRONESENSE  INC.</t>
  </si>
  <si>
    <t>DUNNE &amp; JUAREZ L.L.C.</t>
  </si>
  <si>
    <t>EARLE WEISS</t>
  </si>
  <si>
    <t>ECOLAB INC</t>
  </si>
  <si>
    <t>EDDIE DODD</t>
  </si>
  <si>
    <t>ELECTION SYSTEMS &amp; SOFTWARE INC</t>
  </si>
  <si>
    <t>MILLER CONSULTATIONS &amp; ELECTIONS INC</t>
  </si>
  <si>
    <t>BLACKLANDS PUBLICATIONS INC</t>
  </si>
  <si>
    <t>CITY OF ELGIN UTILITIES</t>
  </si>
  <si>
    <t>ELLIOTT ELECTRIC SUPPLY INC</t>
  </si>
  <si>
    <t>ERGON ASPHALT &amp; EMULSIONS INC</t>
  </si>
  <si>
    <t>ERS-TX SOCIAL SECURITY PROGRAM</t>
  </si>
  <si>
    <t>EUGENE C BLOMSTROM</t>
  </si>
  <si>
    <t>EWALD KUBOTA  INC.</t>
  </si>
  <si>
    <t>LINDA G. APOSTALO</t>
  </si>
  <si>
    <t>FACILITY SOLUTIONS GROUP  INC.</t>
  </si>
  <si>
    <t>BASTROP COUNTY WOMEN'S SHELTER</t>
  </si>
  <si>
    <t>FAYETTE MEDICAL SUPPLY</t>
  </si>
  <si>
    <t>FEDERAL EXPRESS</t>
  </si>
  <si>
    <t>FLEETPRIDE</t>
  </si>
  <si>
    <t>FLORENCE BEHAVIN</t>
  </si>
  <si>
    <t>FORENSIC ANALYTICAL SCIENCES INC.</t>
  </si>
  <si>
    <t>FORREST L. SANDERSON</t>
  </si>
  <si>
    <t>FRANCES HUNTER</t>
  </si>
  <si>
    <t>FRANK MEUTH</t>
  </si>
  <si>
    <t>AUSTIN TRUCK AND EQUIPMENT  LTD</t>
  </si>
  <si>
    <t>EUGENE W BRIGGS JR</t>
  </si>
  <si>
    <t>GALLS PARENT HOLDINGS LLC</t>
  </si>
  <si>
    <t>GARLAND/DBS  INC.</t>
  </si>
  <si>
    <t>GARY DUNCAN</t>
  </si>
  <si>
    <t>GARY KING</t>
  </si>
  <si>
    <t>GOVERNMENTAL COLLECTORS ASSOCIATION OF TEXAS</t>
  </si>
  <si>
    <t>GLOCK PROFESSIONAL  INC.</t>
  </si>
  <si>
    <t>GRAINGER INC</t>
  </si>
  <si>
    <t>GREATER ELGIN CHAMBER OF COMMERCE</t>
  </si>
  <si>
    <t>GT DISTRIBUTORS  INC.</t>
  </si>
  <si>
    <t>GUADALUPE COUNTY SHERIFF</t>
  </si>
  <si>
    <t>GULF COAST PAPER CO. INC.</t>
  </si>
  <si>
    <t>VERTEX ENERGY  INC.</t>
  </si>
  <si>
    <t>HALFF ASSOCIATES</t>
  </si>
  <si>
    <t>HEADSETS.COM INC.</t>
  </si>
  <si>
    <t>HERBERT J BARTSCH JR</t>
  </si>
  <si>
    <t>HERSHCAP BACKHOE &amp; DITCHING  INC.</t>
  </si>
  <si>
    <t>HI-LINE</t>
  </si>
  <si>
    <t>BASCOM L HODGES JR</t>
  </si>
  <si>
    <t>HODGSON G ECKEL</t>
  </si>
  <si>
    <t>HOLLY TUCKER</t>
  </si>
  <si>
    <t>BD HOLT CO</t>
  </si>
  <si>
    <t>CITIBANK (SOUTH DAKOTA)N.A./THE HOME DEPOT</t>
  </si>
  <si>
    <t>NORTHWEST CASCADE INC</t>
  </si>
  <si>
    <t>AMERICAS EQUINE WAREHOUSE  INC.</t>
  </si>
  <si>
    <t>RS EQUIPMENT CO</t>
  </si>
  <si>
    <t>GREGORY LUCAS</t>
  </si>
  <si>
    <t>HUNTER TEDFORD</t>
  </si>
  <si>
    <t>I PLOW.COM LLC</t>
  </si>
  <si>
    <t>IDEXX DISTRIBUTION INC</t>
  </si>
  <si>
    <t>INDIGENT HEALTHCARE SOLUTIONS</t>
  </si>
  <si>
    <t>INLAND TRUCK PARTS COMPANY</t>
  </si>
  <si>
    <t>IRON MOUNTAIN RECORDS MGMT INC</t>
  </si>
  <si>
    <t>J D LANGLEY</t>
  </si>
  <si>
    <t>JACK WILSON</t>
  </si>
  <si>
    <t>JAMES O. BURKE</t>
  </si>
  <si>
    <t>JAY'S TIRE &amp; AUTOMOTIVE REPAIR INC</t>
  </si>
  <si>
    <t>JENKINS &amp; JENKINS LLP</t>
  </si>
  <si>
    <t>JAMES MORGAN</t>
  </si>
  <si>
    <t>JOHN C KUHN</t>
  </si>
  <si>
    <t>JOHN MICKELSON</t>
  </si>
  <si>
    <t>JOHNNY JOHNSTON</t>
  </si>
  <si>
    <t>JORDAN BATTERSBY  MCDONALD</t>
  </si>
  <si>
    <t>BILLY JOSHUA GILL</t>
  </si>
  <si>
    <t>JULIE SOMMERFELD</t>
  </si>
  <si>
    <t>JUSTIN HOLDER</t>
  </si>
  <si>
    <t>JUSTIN MATTHEW FOHN</t>
  </si>
  <si>
    <t>KAYCI SCHULTZ WATSON</t>
  </si>
  <si>
    <t>KENNETH E. LIMUEL JR</t>
  </si>
  <si>
    <t>KENNETH GONSOULIN</t>
  </si>
  <si>
    <t>="16</t>
  </si>
  <si>
    <t>181  11/19/19"</t>
  </si>
  <si>
    <t>KENNETH R. ALBRECHT</t>
  </si>
  <si>
    <t>KENT BROUSSARD TOWER RENTAL INC</t>
  </si>
  <si>
    <t>KING'S PORTABLE THRONES</t>
  </si>
  <si>
    <t>KLEIBER FORD TRACTOR  INC.</t>
  </si>
  <si>
    <t>KNIGHT SECURITY SYSTEMS LLC</t>
  </si>
  <si>
    <t>KOETTER FIRE PROTECTION OF AUSTIN  LLC</t>
  </si>
  <si>
    <t>KRISTIN L MILES</t>
  </si>
  <si>
    <t>LONGHORN INTERNATIONAL TRUCKS LTD</t>
  </si>
  <si>
    <t>THE LA GRANGE PARTS HOUSE INC</t>
  </si>
  <si>
    <t>LABATT INSTITUTIONAL SUPPLY CO</t>
  </si>
  <si>
    <t>LAURA ROBERTSON</t>
  </si>
  <si>
    <t>LEE COUNTY WATER SUPPLY CORP</t>
  </si>
  <si>
    <t>LENNOX INDUSTRIES INC</t>
  </si>
  <si>
    <t>AUSTIN LT  INC.</t>
  </si>
  <si>
    <t>LEXISNEXIS RISK DATA MGMT INC</t>
  </si>
  <si>
    <t>LIBERTY TIRE RECYCLING</t>
  </si>
  <si>
    <t>LINDA HARMON-TAX ASSESSOR</t>
  </si>
  <si>
    <t>LLANO COUNTY SHERIFF</t>
  </si>
  <si>
    <t>LONE STAR CIRCLE OF CARE</t>
  </si>
  <si>
    <t>LONNIE LAWRENCE DAVIS JR</t>
  </si>
  <si>
    <t>LORI STIFFLEMIRE</t>
  </si>
  <si>
    <t>SCOTT BRYANT</t>
  </si>
  <si>
    <t>LYN TURNER</t>
  </si>
  <si>
    <t>MAGIC TOUCH CLEANING SYSTEMS LLC</t>
  </si>
  <si>
    <t>MARK LEDESMA</t>
  </si>
  <si>
    <t>MARK T. MALONE  M.D. P.A</t>
  </si>
  <si>
    <t>MARY BETH SCOTT</t>
  </si>
  <si>
    <t>MATHESON TRI-GAS INC</t>
  </si>
  <si>
    <t>McCOURT EQUIPMENT  INC.</t>
  </si>
  <si>
    <t>McCOY'S BUILDING SUPPLY CENTER</t>
  </si>
  <si>
    <t>McCREARY  VESELKA  BRAGG &amp; ALLEN P</t>
  </si>
  <si>
    <t>McKESSON MEDICAL-SURGIVAL GOVERNMENT SOLUTIONS LLC</t>
  </si>
  <si>
    <t>MEDIMPACT HEALTHCARE SYSTEMS INC</t>
  </si>
  <si>
    <t>MEGAN FAITH ANDERSON</t>
  </si>
  <si>
    <t>MEGAN WELCH</t>
  </si>
  <si>
    <t>MELVIN EVANS</t>
  </si>
  <si>
    <t>MENTALIX INC</t>
  </si>
  <si>
    <t>MICHELE FRITSCHE C.S.R.</t>
  </si>
  <si>
    <t>MIDTEX MATERIALS</t>
  </si>
  <si>
    <t>MIKE WEISSKOPF</t>
  </si>
  <si>
    <t>RYAN SCOTT PORTALES</t>
  </si>
  <si>
    <t>CIARA FAITH CASTELLANOS</t>
  </si>
  <si>
    <t>MICHELLE E MEDINA-DODSON</t>
  </si>
  <si>
    <t>MARIA NEREIDA JAIMES</t>
  </si>
  <si>
    <t>BILLY ROYCE YOUNG</t>
  </si>
  <si>
    <t>MATTHEW BRENT CHRISPEN</t>
  </si>
  <si>
    <t>MARTINA MATETICH BURNS</t>
  </si>
  <si>
    <t>MARIO EDUARDO SANCHEZ</t>
  </si>
  <si>
    <t>MARY JANE VILLARREAL</t>
  </si>
  <si>
    <t>TAMMY SUE HILBIG</t>
  </si>
  <si>
    <t>LINDSAY MICHELLE PATTERSON</t>
  </si>
  <si>
    <t>ALICE AZZANO MACHU</t>
  </si>
  <si>
    <t>CHARLES ANTHONY DAMMANN</t>
  </si>
  <si>
    <t>SHIELA CLOUD HOGAN</t>
  </si>
  <si>
    <t>CATHERINE BENNITT LOMBARDO</t>
  </si>
  <si>
    <t>MELODIE MARIE BILLINGS</t>
  </si>
  <si>
    <t>AMANDA NICOLE BRANTLEY</t>
  </si>
  <si>
    <t>JENNIFER LOUISE FULLER</t>
  </si>
  <si>
    <t>LESLIE EDWARD ROUTON</t>
  </si>
  <si>
    <t>HENRY OCHOA</t>
  </si>
  <si>
    <t>GEORGE CLIFTON WILKINS</t>
  </si>
  <si>
    <t>VIVIAN HANNEMANN CRAWFORD</t>
  </si>
  <si>
    <t>JACQUELINE ELIZAB COX-CORREA</t>
  </si>
  <si>
    <t>BRADLEY DAVID CALL</t>
  </si>
  <si>
    <t>JELISA DIONNE JOHNS</t>
  </si>
  <si>
    <t>REBEKAH KAY HERRICK</t>
  </si>
  <si>
    <t>MELANIE PUGH FRISKE</t>
  </si>
  <si>
    <t>JOSEPH PRESTON BULAK</t>
  </si>
  <si>
    <t>OSCAR AGUIRRE</t>
  </si>
  <si>
    <t>JACQUELINE P GARRETT</t>
  </si>
  <si>
    <t>SHANIGAN ORILLEY BAKER</t>
  </si>
  <si>
    <t>RACHEL MARTINEZ</t>
  </si>
  <si>
    <t>BROOKE KAY MOORE</t>
  </si>
  <si>
    <t>JEANETTE WILLIAMS CLARK</t>
  </si>
  <si>
    <t>PAUL ANTHONY PARNELL</t>
  </si>
  <si>
    <t>LEO EDWARD GAERTNER</t>
  </si>
  <si>
    <t>MARK STEVEN BRANSFORD</t>
  </si>
  <si>
    <t>SZENDE SZABO SMITH</t>
  </si>
  <si>
    <t>JOHN WILLIAM HALL</t>
  </si>
  <si>
    <t>BRETT ANTHONY FRANCIS</t>
  </si>
  <si>
    <t>KENNETH ALLEN CROCKER JR</t>
  </si>
  <si>
    <t>TIFFANY DENEE COX</t>
  </si>
  <si>
    <t>CELIA DIAZ</t>
  </si>
  <si>
    <t>SETH MAKAYNE PIERCE</t>
  </si>
  <si>
    <t>KEN ALLEN HICKS</t>
  </si>
  <si>
    <t>WILLIAM CLAYTON SCHUELKE</t>
  </si>
  <si>
    <t>ARLENE ANDRADE</t>
  </si>
  <si>
    <t>TIMOTHY WAYNE KILPATRICK</t>
  </si>
  <si>
    <t>PRECILLA R ROBERTSON</t>
  </si>
  <si>
    <t>VICKI POPE WOFFORD</t>
  </si>
  <si>
    <t>LEE ALLAN HESELMEYER</t>
  </si>
  <si>
    <t>CHARLIE RAY BLASA</t>
  </si>
  <si>
    <t>DALTON GENE ELLIOTT JR</t>
  </si>
  <si>
    <t>RHONDA GAYLE JOHNSTON</t>
  </si>
  <si>
    <t>DUSTIN KEITH YATES</t>
  </si>
  <si>
    <t>JERRY DAVID FLYNN</t>
  </si>
  <si>
    <t>BILL THOMAS TALBERT</t>
  </si>
  <si>
    <t>SHANNON MARISA MARANDA</t>
  </si>
  <si>
    <t>MAGDA YVONNE PINEDA</t>
  </si>
  <si>
    <t>SHERYL LYNNE UPTMOR</t>
  </si>
  <si>
    <t>JESSICA GUEVARA CORDERO</t>
  </si>
  <si>
    <t>AMANDA ELAINE MARTINEZ</t>
  </si>
  <si>
    <t>CLAY ROYAL BARKER SR</t>
  </si>
  <si>
    <t>LAURA EVONNE MCCARTY</t>
  </si>
  <si>
    <t>Family Crisis Center</t>
  </si>
  <si>
    <t>Children's Advocacy Center</t>
  </si>
  <si>
    <t>COURT APPOINTED SPECIAL ADVOCA</t>
  </si>
  <si>
    <t>Child Protective Services</t>
  </si>
  <si>
    <t>MONICA ROSE BARTSCH</t>
  </si>
  <si>
    <t>MICHAEL JOHN WELCH</t>
  </si>
  <si>
    <t>RONALD DEAN SHULMAN</t>
  </si>
  <si>
    <t>GORDEN JAMES BROUSSARD</t>
  </si>
  <si>
    <t>JANE HUBBARD WRIGHT</t>
  </si>
  <si>
    <t>ZACHARY POWELL ARMOUR</t>
  </si>
  <si>
    <t>DYLAN AUSTIN BRITO</t>
  </si>
  <si>
    <t>SAM BRIAN WILHELM</t>
  </si>
  <si>
    <t>CHARLES WALTER TARKET</t>
  </si>
  <si>
    <t>DARRELL LESLIE CARROLL</t>
  </si>
  <si>
    <t>MALINDA JEAN BENNETT</t>
  </si>
  <si>
    <t>RAMIRO ALONZO JR</t>
  </si>
  <si>
    <t>ROSCHELLE RENAE WILLIAMS</t>
  </si>
  <si>
    <t>HOWARD GENE HOLMES JR</t>
  </si>
  <si>
    <t>ROSEMARIE FRANCIS GRIMM</t>
  </si>
  <si>
    <t>JENIFFER LEE CONCIENNE</t>
  </si>
  <si>
    <t>JASON PHILIP MYERS</t>
  </si>
  <si>
    <t>EDDY RAY SCOTT</t>
  </si>
  <si>
    <t>MICHELLE DENISE NICHOLSON</t>
  </si>
  <si>
    <t>ROY LYNN MCCRARY SR</t>
  </si>
  <si>
    <t>URAL DEAN WADE</t>
  </si>
  <si>
    <t>ARRON JEREMY AGUILAR</t>
  </si>
  <si>
    <t>CORA PANIAGUA GIBSON</t>
  </si>
  <si>
    <t>CAROLIN LOUISE MITCHELL</t>
  </si>
  <si>
    <t>GARY ARMON CURRIE</t>
  </si>
  <si>
    <t>LINDA DIANA RITTER</t>
  </si>
  <si>
    <t>DAVID LANCE EMBLER JR</t>
  </si>
  <si>
    <t>ERIC DANIEL ALMARAZ</t>
  </si>
  <si>
    <t>PEDRO BEGA JR</t>
  </si>
  <si>
    <t>MACKENZIE GATES BROWN</t>
  </si>
  <si>
    <t>JORGE ALBERTO ALFARO</t>
  </si>
  <si>
    <t>JAMES L NEALY</t>
  </si>
  <si>
    <t>FRANK CLIFFORD GREEN</t>
  </si>
  <si>
    <t>CYNTHIA VYVJALA STICKLE</t>
  </si>
  <si>
    <t>JORDAN MAKENZIE CRABB</t>
  </si>
  <si>
    <t>JACOB ANTHONY COOK</t>
  </si>
  <si>
    <t>DAMIAN EZRA CLARK</t>
  </si>
  <si>
    <t>PEGGY DENISE HARMON</t>
  </si>
  <si>
    <t>TIFFANY AMANDA ELLIS</t>
  </si>
  <si>
    <t>CHRISTOPHER MICHAEL ISAAC</t>
  </si>
  <si>
    <t>BYRON ALVIN MITCHELL</t>
  </si>
  <si>
    <t>JHARRON DEWAYNE KELLOUGH</t>
  </si>
  <si>
    <t>KEISHA LANELL GASH</t>
  </si>
  <si>
    <t>DEBBIE LYNN GIBBS</t>
  </si>
  <si>
    <t>CHRISTIE DAWN OTTO</t>
  </si>
  <si>
    <t>LONNY RAY BOSTIC</t>
  </si>
  <si>
    <t>JAMIE DEE FORD</t>
  </si>
  <si>
    <t>GERALDINE ANN MCCOY</t>
  </si>
  <si>
    <t>PAMELA PIPER CRABB</t>
  </si>
  <si>
    <t>SHERILYN KAATZ KISAMORE</t>
  </si>
  <si>
    <t>RUSSELL JAY ASH</t>
  </si>
  <si>
    <t>STACY ROY CARPENTER JR</t>
  </si>
  <si>
    <t>SCOTT JAY QUINTANILLA</t>
  </si>
  <si>
    <t>JON HAROLD KEENER</t>
  </si>
  <si>
    <t>DONNA JAYE MEZERA</t>
  </si>
  <si>
    <t>JEFFERY LEE TUFFENTSAMER</t>
  </si>
  <si>
    <t>SCOTT TYLER TUCKER</t>
  </si>
  <si>
    <t>MOTOROLA SOLUTIONS  IN.C</t>
  </si>
  <si>
    <t>MOUNTAIN WEST DERM-AUSTIN PLLC</t>
  </si>
  <si>
    <t>EK&amp;R ENTERPRISES  INC</t>
  </si>
  <si>
    <t>MUSTANG MACHINERY COMPANY LTD</t>
  </si>
  <si>
    <t>NALCO COMPANY LLC</t>
  </si>
  <si>
    <t>NALLEY HVAC MECHANICAL LLC</t>
  </si>
  <si>
    <t>NATIONAL FOOD GROUP INC</t>
  </si>
  <si>
    <t>O'REILLY AUTOMOTIVE  INC.</t>
  </si>
  <si>
    <t>DEAN FOODS COMPANY</t>
  </si>
  <si>
    <t>OFFICE DEPOT</t>
  </si>
  <si>
    <t>ON SITE SERVICES</t>
  </si>
  <si>
    <t>ROGER C. OSBORN</t>
  </si>
  <si>
    <t>OUTLAW TRUCK OUTFITTERS</t>
  </si>
  <si>
    <t>P SQUARED EMULSION PLANTS  LLC</t>
  </si>
  <si>
    <t>SL PARKER PARTNERSHIP LLC</t>
  </si>
  <si>
    <t>PATRICK ELECTRIC SERVICE</t>
  </si>
  <si>
    <t>PATTERSON  VETERINARY SUPPLY INC</t>
  </si>
  <si>
    <t>CLEVELAND MACK SALES INC</t>
  </si>
  <si>
    <t>PFM ASSET MANAGEMENT LLC</t>
  </si>
  <si>
    <t>PHILIP R DUCLOUX</t>
  </si>
  <si>
    <t>CLYDE HAYWOOD SR</t>
  </si>
  <si>
    <t>PITNEY BOWES GLOBAL FINANCIAL SERVICES</t>
  </si>
  <si>
    <t>PM WILSON &amp; ASSOCIATES PLLC</t>
  </si>
  <si>
    <t>POST OAK HARDWARE  INC.</t>
  </si>
  <si>
    <t>POSTMASTER</t>
  </si>
  <si>
    <t>JERRY POWELL</t>
  </si>
  <si>
    <t>PRODUCTION SPECIALTY INCORPORATED</t>
  </si>
  <si>
    <t>PRODUCTIVITY CENTER INC</t>
  </si>
  <si>
    <t>PROGRESSIVE - RESTITUTION ACCT</t>
  </si>
  <si>
    <t>PTS OF AMERICA  LLC</t>
  </si>
  <si>
    <t>FREEDMAN TRUCK SERVICE INC</t>
  </si>
  <si>
    <t>RANDALL COURS</t>
  </si>
  <si>
    <t>RANDY MC MILLAN</t>
  </si>
  <si>
    <t>RC HEALTH SERVICES  INC.</t>
  </si>
  <si>
    <t>NESTLE WATERS N AMERICA INC</t>
  </si>
  <si>
    <t>NRG ENERGY INC</t>
  </si>
  <si>
    <t>REPUBLIC TRUCK SALES   PARTS  &amp; REPAIRS LLC</t>
  </si>
  <si>
    <t>REYNOLDS &amp; KEINARTH</t>
  </si>
  <si>
    <t>ROADRUNNER RADIOLOGY EQUIP LLC</t>
  </si>
  <si>
    <t>ROBBIE R RAEMSCH</t>
  </si>
  <si>
    <t>ROBERT MADDEN INDUSTRIES LTD</t>
  </si>
  <si>
    <t>ROBERT PORTER</t>
  </si>
  <si>
    <t>ROCKY ROAD PRINTING</t>
  </si>
  <si>
    <t>RODNEY NIETO</t>
  </si>
  <si>
    <t>ROMCO EQUIPMENT CO.</t>
  </si>
  <si>
    <t>ROSE PIETSCH COUNTY CLERK</t>
  </si>
  <si>
    <t>RUSH CHEVROLET LLC</t>
  </si>
  <si>
    <t>SAFELITE FULFILLMENT INC</t>
  </si>
  <si>
    <t>SAMES BASTROP FORD INC</t>
  </si>
  <si>
    <t>SAMMY LERMA III MD</t>
  </si>
  <si>
    <t>SAMMY REESE</t>
  </si>
  <si>
    <t>SARAH STRONG</t>
  </si>
  <si>
    <t>SCOTT MERRIMAN INC</t>
  </si>
  <si>
    <t>SCOTT YOUNG</t>
  </si>
  <si>
    <t>SECURUS TECHNOLOGIES INC</t>
  </si>
  <si>
    <t>SETON HEALTHCARE SPONSORED PROJECTS</t>
  </si>
  <si>
    <t>SHARON HANCOCK</t>
  </si>
  <si>
    <t>="14</t>
  </si>
  <si>
    <t>962  11/18/19"</t>
  </si>
  <si>
    <t>FERRELLGAS  LP</t>
  </si>
  <si>
    <t>SHI GOVERNMENT SOLUTIONS INC.</t>
  </si>
  <si>
    <t>SHOPPA'S FARM SUPPLY</t>
  </si>
  <si>
    <t>SHRED-IT US HOLDCO  INC</t>
  </si>
  <si>
    <t>FEMINELLA ENTERPRISES  LLC</t>
  </si>
  <si>
    <t>RONALD JOHN CALDWELL JR</t>
  </si>
  <si>
    <t>SINGLETON ASSOCIATES  PA</t>
  </si>
  <si>
    <t>SKYLINE EQUIPMENT INC.</t>
  </si>
  <si>
    <t>SMITH STORES  INC.</t>
  </si>
  <si>
    <t>SMITHVILLE AREA CHAMBER OF COMMERCE</t>
  </si>
  <si>
    <t>SMITHVILLE AUTO PARTS  INC</t>
  </si>
  <si>
    <t>SOLARWINDS</t>
  </si>
  <si>
    <t>SORENSON HOLDINGS  LLC</t>
  </si>
  <si>
    <t>SOUTHERN TIRE MART LLC</t>
  </si>
  <si>
    <t>DS WATERS OF AMERICA INC</t>
  </si>
  <si>
    <t>ST DAVID'S HEALTHCARE PARTNERSHIP</t>
  </si>
  <si>
    <t>ST. DAVIDS HEART &amp; VASCULAR  PLLC</t>
  </si>
  <si>
    <t>ST. MARK'S MEDICAL CENTER</t>
  </si>
  <si>
    <t>STAPLES  INC.</t>
  </si>
  <si>
    <t>STEGER &amp; BIZZELL ENGINEERING  INC</t>
  </si>
  <si>
    <t>STEPHEN R BECK</t>
  </si>
  <si>
    <t>STERICYCLE  INC.</t>
  </si>
  <si>
    <t>STERLING HANEY</t>
  </si>
  <si>
    <t>STEVE GRANADO</t>
  </si>
  <si>
    <t>STEVEN BRATCHER</t>
  </si>
  <si>
    <t>MATTHEW LEE SULLINS</t>
  </si>
  <si>
    <t>SUN COAST RESOURCES</t>
  </si>
  <si>
    <t>T4 DISTRIBUTION  LLC</t>
  </si>
  <si>
    <t>TEXAS ASSN OF CONVENTION &amp; VISITORS BUREAU</t>
  </si>
  <si>
    <t>TAVCO SERVICES INC</t>
  </si>
  <si>
    <t>TAYLOR IRON MACHINE WORKS INC.</t>
  </si>
  <si>
    <t>TEXAS COMMISSION ON LAW ENFORCEMENT</t>
  </si>
  <si>
    <t>TEXAS DISTRICT &amp; COUNTY ATTORNEYS ASSOCIATION</t>
  </si>
  <si>
    <t>TEJAS ELEVATOR COMPANY</t>
  </si>
  <si>
    <t>TERENCE R. CALDWELL</t>
  </si>
  <si>
    <t>AIR RELIEF TECHNOLOGIES  INC</t>
  </si>
  <si>
    <t>JOHN J FIETSAM INC</t>
  </si>
  <si>
    <t>TEX-CON OIL CO</t>
  </si>
  <si>
    <t>TEXAN AMBULATORY SURGERY CENTER  LP</t>
  </si>
  <si>
    <t>TEXAN EYE  P.A.</t>
  </si>
  <si>
    <t>TEXAS AGGREGATES  LLC</t>
  </si>
  <si>
    <t>TEXAS ASSOCIATES INSURORS AGENCY</t>
  </si>
  <si>
    <t>TEXAS ASSOCIATION OF ELECTIONS ADMINISTRATORS</t>
  </si>
  <si>
    <t>TEXAS ASSOCIATION OF COUNTIES</t>
  </si>
  <si>
    <t>CONSELMAN RETAIL ENTERPRISES LLC</t>
  </si>
  <si>
    <t>TEXAS COMMISSION ON ENVIRONMENTAL QUALITY</t>
  </si>
  <si>
    <t>TEXAS DEPARTMENT OF AGRICULTURE</t>
  </si>
  <si>
    <t>TEXAS DEPARTMENT OF FAMILY PROTECTIVE SERVICES</t>
  </si>
  <si>
    <t>TEXAS DEPT OF PUBLIC SAFETY</t>
  </si>
  <si>
    <t>349  11/1/19"</t>
  </si>
  <si>
    <t>TEXAS ECONOMIC DEVELOPMENT COUNCIL</t>
  </si>
  <si>
    <t>B D HOLT</t>
  </si>
  <si>
    <t>TEXAS MATERIALS GROUP  INC.</t>
  </si>
  <si>
    <t>TEXAS PARKS &amp; WILDLIFE DEPARTMENT</t>
  </si>
  <si>
    <t>G. ANDERS TOOL TRADERS  INC.</t>
  </si>
  <si>
    <t>TEXAS VISION CLINIC  PLLC</t>
  </si>
  <si>
    <t>THE BRANDT COMPANIES  LLC</t>
  </si>
  <si>
    <t>BUG MASTER EXTERMINATING SERVICES  LTD</t>
  </si>
  <si>
    <t>JAMES ANDREW CASEY</t>
  </si>
  <si>
    <t>RICHARD NELSON MOORE</t>
  </si>
  <si>
    <t>THE PRODUCT CENTER</t>
  </si>
  <si>
    <t>THE TRAVELERS INDEMNITY COMPANY</t>
  </si>
  <si>
    <t>THOMAS STITELER</t>
  </si>
  <si>
    <t>WEST PUBLISHING CORPORATION</t>
  </si>
  <si>
    <t>WORK QUEST</t>
  </si>
  <si>
    <t>TIM MAHONEY  ATTORNEY AT LAW  PC</t>
  </si>
  <si>
    <t>TWE-ADVANCE/NEWHOUSE PARTNERSHIP</t>
  </si>
  <si>
    <t>TOMIKA NOWLIN</t>
  </si>
  <si>
    <t>TRACTOR SUPPLY CREDIT PLAN</t>
  </si>
  <si>
    <t>TRAVIS COUNTY CONSTABLE PCT 5</t>
  </si>
  <si>
    <t>TRAVIS COUNTY EMERGENCY PHYSICIANS PA</t>
  </si>
  <si>
    <t>TRAVIS COUNTY MEDICAL EXAMINER</t>
  </si>
  <si>
    <t>KAUFFMAN TIRE</t>
  </si>
  <si>
    <t>SETON FAMILY OF DOCTORS</t>
  </si>
  <si>
    <t>TEXAS FRAME &amp; ALIGNMENT</t>
  </si>
  <si>
    <t>TTIA</t>
  </si>
  <si>
    <t>TULL FARLEY</t>
  </si>
  <si>
    <t>TYLER TECHNOLOGIES INC</t>
  </si>
  <si>
    <t>ULINE  INC.</t>
  </si>
  <si>
    <t>COUFAL-PRATER EQUIPMENT  LLC</t>
  </si>
  <si>
    <t>SETON FAMILY OF HOSPITALS</t>
  </si>
  <si>
    <t>VARIPHY  INC</t>
  </si>
  <si>
    <t>VINCENT J. UHDE</t>
  </si>
  <si>
    <t>TEXAS DEPARTMENT OF STATE HEALTH SERVICES</t>
  </si>
  <si>
    <t>US BANK NA</t>
  </si>
  <si>
    <t>VULCAN CONSTRUCTION MATERIALS  LP</t>
  </si>
  <si>
    <t>W A BAHOT</t>
  </si>
  <si>
    <t>WALLER COUNTY ASPHALT INC</t>
  </si>
  <si>
    <t>WASTE CONNECTIONS LONE STAR. INC.</t>
  </si>
  <si>
    <t>WASTE MANAGEMENT OF TEXAS  INC</t>
  </si>
  <si>
    <t>WATCH GUARD VIDEO</t>
  </si>
  <si>
    <t>WIND KNOT INCORPORATED</t>
  </si>
  <si>
    <t>MAO PHARMACY INC</t>
  </si>
  <si>
    <t>WJC CONSTRUCTORS SERVICES  LLC</t>
  </si>
  <si>
    <t>WOOLERY CUSTOM FENCE CO</t>
  </si>
  <si>
    <t>ZOETIS US LLC</t>
  </si>
  <si>
    <t>ZURICH DIRECT UNDERWRITERS</t>
  </si>
  <si>
    <t>="13</t>
  </si>
  <si>
    <t>573  11/13/19"</t>
  </si>
  <si>
    <t>CHASCO CONSTRUCTORS LTD LLP</t>
  </si>
  <si>
    <t>DATA PROJECTIONS  INC.</t>
  </si>
  <si>
    <t>LANGFORD COMMUNITY MGMT INC</t>
  </si>
  <si>
    <t>ALLSTATE-AMERICAN HERITAGE LIFE INS CO</t>
  </si>
  <si>
    <t>AmWINS Group Benefits  Inc.</t>
  </si>
  <si>
    <t>BASTROP COUNTY ADULT PROBATION</t>
  </si>
  <si>
    <t>COLONIAL LIFE &amp; ACCIDENT INS. CO.</t>
  </si>
  <si>
    <t>CPI QUALIFIED PLAN CONSULTANTS  INC.</t>
  </si>
  <si>
    <t>DEBORAH B LANGEHENNIG</t>
  </si>
  <si>
    <t>GUARDIAN</t>
  </si>
  <si>
    <t>IRS-PAYROLL TAXES</t>
  </si>
  <si>
    <t>GERALD FLORES OLIVO</t>
  </si>
  <si>
    <t>PHI AIR MEDICAL  LLC</t>
  </si>
  <si>
    <t>TAC HEALTH BENEFITS POOL</t>
  </si>
  <si>
    <t>TOTAL ADMINISTRATIVE SERVICES CORPORATION</t>
  </si>
  <si>
    <t>TEXAS ATTY.GENERAL'S OFFICE</t>
  </si>
  <si>
    <t>TEXAS CNTY &amp; DIST RETIREMENT SYS</t>
  </si>
  <si>
    <t>TEXAS LEGAL PROTECTION PLAN INC</t>
  </si>
  <si>
    <t>U.S. DEPT OF EDUCATION - FINANCIAL  ASST</t>
  </si>
  <si>
    <t>U.S. DEPT OF EDUCATION AWG</t>
  </si>
  <si>
    <t>Amount 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</si>
</sst>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45"/>
  <sheetViews>
    <sheetView tabSelected="1" workbookViewId="0"/>
  </sheetViews>
  <sheetFormatPr defaultRowHeight="15" x14ac:dyDescent="0.25"/>
  <cols>
    <col min="1" max="1" width="56.7109375" bestFit="1" customWidth="1"/>
    <col min="2" max="2" width="7.7109375" bestFit="1" customWidth="1"/>
    <col min="3" max="3" width="14" style="2" bestFit="1" customWidth="1"/>
    <col min="4" max="4" width="10.85546875" bestFit="1" customWidth="1"/>
    <col min="5" max="5" width="20.5703125" bestFit="1" customWidth="1"/>
    <col min="6" max="6" width="36" bestFit="1" customWidth="1"/>
    <col min="7" max="7" width="24.140625" style="2" bestFit="1" customWidth="1"/>
    <col min="8" max="8" width="36" bestFit="1" customWidth="1"/>
  </cols>
  <sheetData>
    <row r="1" spans="1:8" x14ac:dyDescent="0.25">
      <c r="A1" t="s">
        <v>0</v>
      </c>
      <c r="B1" t="s">
        <v>1</v>
      </c>
      <c r="C1" s="2" t="s">
        <v>2</v>
      </c>
      <c r="D1" t="s">
        <v>3</v>
      </c>
      <c r="E1" t="s">
        <v>4</v>
      </c>
      <c r="F1" t="s">
        <v>5</v>
      </c>
      <c r="G1" s="2" t="s">
        <v>6</v>
      </c>
      <c r="H1" t="s">
        <v>7</v>
      </c>
    </row>
    <row r="2" spans="1:8" x14ac:dyDescent="0.25">
      <c r="A2" t="s">
        <v>8</v>
      </c>
      <c r="B2">
        <v>1896</v>
      </c>
      <c r="C2" s="2">
        <v>190.25</v>
      </c>
      <c r="D2" s="1">
        <v>43809</v>
      </c>
      <c r="E2" t="str">
        <f>"48887"</f>
        <v>48887</v>
      </c>
      <c r="F2" t="str">
        <f>"BUSINESS INTERNET"</f>
        <v>BUSINESS INTERNET</v>
      </c>
      <c r="G2" s="2">
        <v>145.5</v>
      </c>
      <c r="H2" t="str">
        <f>"BUSINESS INTERNET"</f>
        <v>BUSINESS INTERNET</v>
      </c>
    </row>
    <row r="3" spans="1:8" x14ac:dyDescent="0.25">
      <c r="E3" t="str">
        <f>"48888"</f>
        <v>48888</v>
      </c>
      <c r="F3" t="str">
        <f>"INTERNET ACCESS"</f>
        <v>INTERNET ACCESS</v>
      </c>
      <c r="G3" s="2">
        <v>44.75</v>
      </c>
      <c r="H3" t="str">
        <f>"AIRPLEXUS  INC"</f>
        <v>AIRPLEXUS  INC</v>
      </c>
    </row>
    <row r="4" spans="1:8" x14ac:dyDescent="0.25">
      <c r="A4" t="s">
        <v>9</v>
      </c>
      <c r="B4">
        <v>2688</v>
      </c>
      <c r="C4" s="2">
        <v>26.17</v>
      </c>
      <c r="D4" s="1">
        <v>43808</v>
      </c>
      <c r="E4" t="str">
        <f>"134024"</f>
        <v>134024</v>
      </c>
      <c r="F4" t="str">
        <f>"VEHICLE FUEL-BASIC"</f>
        <v>VEHICLE FUEL-BASIC</v>
      </c>
      <c r="G4" s="2">
        <v>26.17</v>
      </c>
      <c r="H4" t="str">
        <f>"VEHICLE FUEL-BASIC"</f>
        <v>VEHICLE FUEL-BASIC</v>
      </c>
    </row>
    <row r="5" spans="1:8" x14ac:dyDescent="0.25">
      <c r="A5" t="s">
        <v>10</v>
      </c>
      <c r="B5">
        <v>2689</v>
      </c>
      <c r="C5" s="2">
        <v>15.76</v>
      </c>
      <c r="D5" s="1">
        <v>43808</v>
      </c>
      <c r="E5" t="str">
        <f>"1481616954"</f>
        <v>1481616954</v>
      </c>
      <c r="F5" t="str">
        <f>"ACCT#36550462/PHONE SVC"</f>
        <v>ACCT#36550462/PHONE SVC</v>
      </c>
      <c r="G5" s="2">
        <v>15.76</v>
      </c>
      <c r="H5" t="str">
        <f>"ACCT#36550462/PHONE SVC"</f>
        <v>ACCT#36550462/PHONE SVC</v>
      </c>
    </row>
    <row r="6" spans="1:8" x14ac:dyDescent="0.25">
      <c r="A6" t="s">
        <v>11</v>
      </c>
      <c r="B6">
        <v>1897</v>
      </c>
      <c r="C6" s="2">
        <v>3980</v>
      </c>
      <c r="D6" s="1">
        <v>43809</v>
      </c>
      <c r="E6" t="str">
        <f>"47395"</f>
        <v>47395</v>
      </c>
      <c r="F6" t="str">
        <f>"PROF SVCS-JANUARY 2020"</f>
        <v>PROF SVCS-JANUARY 2020</v>
      </c>
      <c r="G6" s="2">
        <v>3980</v>
      </c>
      <c r="H6" t="str">
        <f>"PROF SVCS-JANUARY 2020"</f>
        <v>PROF SVCS-JANUARY 2020</v>
      </c>
    </row>
    <row r="7" spans="1:8" x14ac:dyDescent="0.25">
      <c r="A7" t="s">
        <v>12</v>
      </c>
      <c r="B7">
        <v>2696</v>
      </c>
      <c r="C7" s="2">
        <v>77</v>
      </c>
      <c r="D7" s="1">
        <v>43822</v>
      </c>
      <c r="E7" t="str">
        <f>"84518"</f>
        <v>84518</v>
      </c>
      <c r="F7" t="str">
        <f>"CLIENT ID:21254/U/A CONF-BASIC"</f>
        <v>CLIENT ID:21254/U/A CONF-BASIC</v>
      </c>
      <c r="G7" s="2">
        <v>53</v>
      </c>
      <c r="H7" t="str">
        <f>"CLIENT ID:21254/U/A CONF-BASIC"</f>
        <v>CLIENT ID:21254/U/A CONF-BASIC</v>
      </c>
    </row>
    <row r="8" spans="1:8" x14ac:dyDescent="0.25">
      <c r="E8" t="str">
        <f>"84519"</f>
        <v>84519</v>
      </c>
      <c r="F8" t="str">
        <f>"CLIENT ID:21256/U/A CONF BASIC"</f>
        <v>CLIENT ID:21256/U/A CONF BASIC</v>
      </c>
      <c r="G8" s="2">
        <v>12</v>
      </c>
      <c r="H8" t="str">
        <f>"CLIENT ID:21256/U/A CONF BASIC"</f>
        <v>CLIENT ID:21256/U/A CONF BASIC</v>
      </c>
    </row>
    <row r="9" spans="1:8" x14ac:dyDescent="0.25">
      <c r="E9" t="str">
        <f>"84520"</f>
        <v>84520</v>
      </c>
      <c r="F9" t="str">
        <f>"CLIENT ID:21263/U/A CONF-BASIC"</f>
        <v>CLIENT ID:21263/U/A CONF-BASIC</v>
      </c>
      <c r="G9" s="2">
        <v>12</v>
      </c>
      <c r="H9" t="str">
        <f>"CLIENT ID:21263/U/A CONF-BASIC"</f>
        <v>CLIENT ID:21263/U/A CONF-BASIC</v>
      </c>
    </row>
    <row r="10" spans="1:8" x14ac:dyDescent="0.25">
      <c r="A10" t="s">
        <v>13</v>
      </c>
      <c r="B10">
        <v>2690</v>
      </c>
      <c r="C10" s="2">
        <v>50</v>
      </c>
      <c r="D10" s="1">
        <v>43808</v>
      </c>
      <c r="E10" t="str">
        <f>"1223984-20191130"</f>
        <v>1223984-20191130</v>
      </c>
      <c r="F10" t="str">
        <f>"BILL ID:1223984/CSCD"</f>
        <v>BILL ID:1223984/CSCD</v>
      </c>
      <c r="G10" s="2">
        <v>50</v>
      </c>
      <c r="H10" t="str">
        <f>"BILL ID:1223984/CSCD"</f>
        <v>BILL ID:1223984/CSCD</v>
      </c>
    </row>
    <row r="11" spans="1:8" x14ac:dyDescent="0.25">
      <c r="A11" t="s">
        <v>14</v>
      </c>
      <c r="B11">
        <v>2691</v>
      </c>
      <c r="C11" s="2">
        <v>463.79</v>
      </c>
      <c r="D11" s="1">
        <v>43808</v>
      </c>
      <c r="E11" t="str">
        <f>"403323344001"</f>
        <v>403323344001</v>
      </c>
      <c r="F11" t="str">
        <f>"ACCT#60805099/OFFICE SUPPLIES"</f>
        <v>ACCT#60805099/OFFICE SUPPLIES</v>
      </c>
      <c r="G11" s="2">
        <v>89.97</v>
      </c>
      <c r="H11" t="str">
        <f>"ACCT#60805099/OFFICE SUPPLIES"</f>
        <v>ACCT#60805099/OFFICE SUPPLIES</v>
      </c>
    </row>
    <row r="12" spans="1:8" x14ac:dyDescent="0.25">
      <c r="E12" t="str">
        <f>"403329381001"</f>
        <v>403329381001</v>
      </c>
      <c r="F12" t="str">
        <f>"ACCT#60805099/OFFICE SUPPLIES"</f>
        <v>ACCT#60805099/OFFICE SUPPLIES</v>
      </c>
      <c r="G12" s="2">
        <v>137.15</v>
      </c>
      <c r="H12" t="str">
        <f>"ACCT#60805099/OFFICE SUPPLIES"</f>
        <v>ACCT#60805099/OFFICE SUPPLIES</v>
      </c>
    </row>
    <row r="13" spans="1:8" x14ac:dyDescent="0.25">
      <c r="E13" t="str">
        <f>"406608718001"</f>
        <v>406608718001</v>
      </c>
      <c r="F13" t="str">
        <f>"ACCT#60805099/OFFICE SUPPLIES"</f>
        <v>ACCT#60805099/OFFICE SUPPLIES</v>
      </c>
      <c r="G13" s="2">
        <v>236.67</v>
      </c>
      <c r="H13" t="str">
        <f>"ACCT#60805099/OFFICE SUPPLIES"</f>
        <v>ACCT#60805099/OFFICE SUPPLIES</v>
      </c>
    </row>
    <row r="14" spans="1:8" x14ac:dyDescent="0.25">
      <c r="A14" t="s">
        <v>14</v>
      </c>
      <c r="B14">
        <v>2697</v>
      </c>
      <c r="C14" s="2">
        <v>354.74</v>
      </c>
      <c r="D14" s="1">
        <v>43822</v>
      </c>
      <c r="E14" t="str">
        <f>"408101463001"</f>
        <v>408101463001</v>
      </c>
      <c r="F14" t="str">
        <f>"ACCT#60805099/BILL ID:3755073"</f>
        <v>ACCT#60805099/BILL ID:3755073</v>
      </c>
      <c r="G14" s="2">
        <v>49.89</v>
      </c>
      <c r="H14" t="str">
        <f>"ACCT#60805099/BILL ID:3755073"</f>
        <v>ACCT#60805099/BILL ID:3755073</v>
      </c>
    </row>
    <row r="15" spans="1:8" x14ac:dyDescent="0.25">
      <c r="E15" t="str">
        <f>"408102133001"</f>
        <v>408102133001</v>
      </c>
      <c r="F15" t="str">
        <f>"ACCT#60805099/BILL ID:3755073"</f>
        <v>ACCT#60805099/BILL ID:3755073</v>
      </c>
      <c r="G15" s="2">
        <v>150.87</v>
      </c>
      <c r="H15" t="str">
        <f>"ACCT#60805099/BILL ID:3755073"</f>
        <v>ACCT#60805099/BILL ID:3755073</v>
      </c>
    </row>
    <row r="16" spans="1:8" x14ac:dyDescent="0.25">
      <c r="E16" t="str">
        <f>"412767518001"</f>
        <v>412767518001</v>
      </c>
      <c r="F16" t="str">
        <f>"ACCT#60805099/BILL ID:3755073"</f>
        <v>ACCT#60805099/BILL ID:3755073</v>
      </c>
      <c r="G16" s="2">
        <v>126.1</v>
      </c>
      <c r="H16" t="str">
        <f>"ACCT#60805099/BILL ID:3755073"</f>
        <v>ACCT#60805099/BILL ID:3755073</v>
      </c>
    </row>
    <row r="17" spans="1:8" x14ac:dyDescent="0.25">
      <c r="E17" t="str">
        <f>"412767711001"</f>
        <v>412767711001</v>
      </c>
      <c r="F17" t="str">
        <f>"ACCT#60805099/BILL ID:3755073"</f>
        <v>ACCT#60805099/BILL ID:3755073</v>
      </c>
      <c r="G17" s="2">
        <v>10.89</v>
      </c>
      <c r="H17" t="str">
        <f>"ACCT#60805099/BILL ID:3755073"</f>
        <v>ACCT#60805099/BILL ID:3755073</v>
      </c>
    </row>
    <row r="18" spans="1:8" x14ac:dyDescent="0.25">
      <c r="E18" t="str">
        <f>"412767721001"</f>
        <v>412767721001</v>
      </c>
      <c r="F18" t="str">
        <f>"ACCT#60805099/BILL ID:3755073"</f>
        <v>ACCT#60805099/BILL ID:3755073</v>
      </c>
      <c r="G18" s="2">
        <v>16.989999999999998</v>
      </c>
      <c r="H18" t="str">
        <f>"ACCT#60805099/BILL ID:3755073"</f>
        <v>ACCT#60805099/BILL ID:3755073</v>
      </c>
    </row>
    <row r="19" spans="1:8" x14ac:dyDescent="0.25">
      <c r="A19" t="s">
        <v>15</v>
      </c>
      <c r="B19">
        <v>2698</v>
      </c>
      <c r="C19" s="2">
        <v>664</v>
      </c>
      <c r="D19" s="1">
        <v>43822</v>
      </c>
      <c r="E19" t="str">
        <f>"9315976"</f>
        <v>9315976</v>
      </c>
      <c r="F19" t="str">
        <f>"ACCT#2079410704/ONLINE COUNSEL"</f>
        <v>ACCT#2079410704/ONLINE COUNSEL</v>
      </c>
      <c r="G19" s="2">
        <v>664</v>
      </c>
      <c r="H19" t="str">
        <f>"ACCT#2079410704/ONLINE COUNSEL"</f>
        <v>ACCT#2079410704/ONLINE COUNSEL</v>
      </c>
    </row>
    <row r="20" spans="1:8" x14ac:dyDescent="0.25">
      <c r="E20" t="str">
        <f>""</f>
        <v/>
      </c>
      <c r="F20" t="str">
        <f>""</f>
        <v/>
      </c>
      <c r="H20" t="str">
        <f>"ACCT#2079410704/ONLINE COUNSEL"</f>
        <v>ACCT#2079410704/ONLINE COUNSEL</v>
      </c>
    </row>
    <row r="21" spans="1:8" x14ac:dyDescent="0.25">
      <c r="A21" t="s">
        <v>16</v>
      </c>
      <c r="B21">
        <v>2692</v>
      </c>
      <c r="C21" s="2">
        <v>346</v>
      </c>
      <c r="D21" s="1">
        <v>43808</v>
      </c>
      <c r="E21" t="str">
        <f>"103001229"</f>
        <v>103001229</v>
      </c>
      <c r="F21" t="str">
        <f>"ACCT#969045-1009520A9"</f>
        <v>ACCT#969045-1009520A9</v>
      </c>
      <c r="G21" s="2">
        <v>178</v>
      </c>
      <c r="H21" t="str">
        <f>"ACCT#969045-1009520A9"</f>
        <v>ACCT#969045-1009520A9</v>
      </c>
    </row>
    <row r="22" spans="1:8" x14ac:dyDescent="0.25">
      <c r="E22" t="str">
        <f>"103002077"</f>
        <v>103002077</v>
      </c>
      <c r="F22" t="str">
        <f>"ACCT#1581891-1029681ML"</f>
        <v>ACCT#1581891-1029681ML</v>
      </c>
      <c r="G22" s="2">
        <v>168</v>
      </c>
      <c r="H22" t="str">
        <f>"ACCT#1581891-1029681ML"</f>
        <v>ACCT#1581891-1029681ML</v>
      </c>
    </row>
    <row r="23" spans="1:8" x14ac:dyDescent="0.25">
      <c r="A23" t="s">
        <v>17</v>
      </c>
      <c r="B23">
        <v>320</v>
      </c>
      <c r="C23" s="2">
        <v>239.24</v>
      </c>
      <c r="D23" s="1">
        <v>43822</v>
      </c>
      <c r="E23" t="str">
        <f>"62768114"</f>
        <v>62768114</v>
      </c>
      <c r="F23" t="str">
        <f>"ACCT#BASTROP CSCD"</f>
        <v>ACCT#BASTROP CSCD</v>
      </c>
      <c r="G23" s="2">
        <v>239.24</v>
      </c>
      <c r="H23" t="str">
        <f>"ACCT#BASTROP CSCD"</f>
        <v>ACCT#BASTROP CSCD</v>
      </c>
    </row>
    <row r="24" spans="1:8" x14ac:dyDescent="0.25">
      <c r="E24" t="str">
        <f>""</f>
        <v/>
      </c>
      <c r="F24" t="str">
        <f>""</f>
        <v/>
      </c>
      <c r="H24" t="str">
        <f>"ACCT#BASTROP CSCD"</f>
        <v>ACCT#BASTROP CSCD</v>
      </c>
    </row>
    <row r="25" spans="1:8" x14ac:dyDescent="0.25">
      <c r="E25" t="str">
        <f>""</f>
        <v/>
      </c>
      <c r="F25" t="str">
        <f>""</f>
        <v/>
      </c>
      <c r="H25" t="str">
        <f>"ACCT#BASTROP CSCD"</f>
        <v>ACCT#BASTROP CSCD</v>
      </c>
    </row>
    <row r="26" spans="1:8" x14ac:dyDescent="0.25">
      <c r="E26" t="str">
        <f>""</f>
        <v/>
      </c>
      <c r="F26" t="str">
        <f>""</f>
        <v/>
      </c>
      <c r="H26" t="str">
        <f>"ACCT#BASTROP CSCD"</f>
        <v>ACCT#BASTROP CSCD</v>
      </c>
    </row>
    <row r="27" spans="1:8" x14ac:dyDescent="0.25">
      <c r="A27" t="s">
        <v>18</v>
      </c>
      <c r="B27">
        <v>2693</v>
      </c>
      <c r="C27" s="2">
        <v>407.13</v>
      </c>
      <c r="D27" s="1">
        <v>43808</v>
      </c>
      <c r="E27" t="str">
        <f>"0047972120119"</f>
        <v>0047972120119</v>
      </c>
      <c r="F27" t="str">
        <f>"ACCT#8260 16 111 0047972"</f>
        <v>ACCT#8260 16 111 0047972</v>
      </c>
      <c r="G27" s="2">
        <v>407.13</v>
      </c>
      <c r="H27" t="str">
        <f>"ACCT#8260 16 111 0047972"</f>
        <v>ACCT#8260 16 111 0047972</v>
      </c>
    </row>
    <row r="28" spans="1:8" x14ac:dyDescent="0.25">
      <c r="A28" t="s">
        <v>19</v>
      </c>
      <c r="B28">
        <v>2694</v>
      </c>
      <c r="C28" s="2">
        <v>239.04</v>
      </c>
      <c r="D28" s="1">
        <v>43808</v>
      </c>
      <c r="E28" t="str">
        <f>"201912043778"</f>
        <v>201912043778</v>
      </c>
      <c r="F28" t="str">
        <f>"ACCT#07705-105938-01-4"</f>
        <v>ACCT#07705-105938-01-4</v>
      </c>
      <c r="G28" s="2">
        <v>239.04</v>
      </c>
      <c r="H28" t="str">
        <f>"ACCT#07705-105938-01-4"</f>
        <v>ACCT#07705-105938-01-4</v>
      </c>
    </row>
    <row r="29" spans="1:8" x14ac:dyDescent="0.25">
      <c r="A29" t="s">
        <v>20</v>
      </c>
      <c r="B29">
        <v>321</v>
      </c>
      <c r="C29" s="2">
        <v>464.31</v>
      </c>
      <c r="D29" s="1">
        <v>43822</v>
      </c>
      <c r="E29" t="str">
        <f>"201912184287"</f>
        <v>201912184287</v>
      </c>
      <c r="F29" t="str">
        <f>"ACCT#0132"</f>
        <v>ACCT#0132</v>
      </c>
      <c r="G29" s="2">
        <v>464.31</v>
      </c>
      <c r="H29" t="str">
        <f t="shared" ref="H29:H34" si="0">"ACCT#0132"</f>
        <v>ACCT#0132</v>
      </c>
    </row>
    <row r="30" spans="1:8" x14ac:dyDescent="0.25">
      <c r="E30" t="str">
        <f>""</f>
        <v/>
      </c>
      <c r="F30" t="str">
        <f>""</f>
        <v/>
      </c>
      <c r="H30" t="str">
        <f t="shared" si="0"/>
        <v>ACCT#0132</v>
      </c>
    </row>
    <row r="31" spans="1:8" x14ac:dyDescent="0.25">
      <c r="E31" t="str">
        <f>""</f>
        <v/>
      </c>
      <c r="F31" t="str">
        <f>""</f>
        <v/>
      </c>
      <c r="H31" t="str">
        <f t="shared" si="0"/>
        <v>ACCT#0132</v>
      </c>
    </row>
    <row r="32" spans="1:8" x14ac:dyDescent="0.25">
      <c r="E32" t="str">
        <f>""</f>
        <v/>
      </c>
      <c r="F32" t="str">
        <f>""</f>
        <v/>
      </c>
      <c r="H32" t="str">
        <f t="shared" si="0"/>
        <v>ACCT#0132</v>
      </c>
    </row>
    <row r="33" spans="1:8" x14ac:dyDescent="0.25">
      <c r="E33" t="str">
        <f>""</f>
        <v/>
      </c>
      <c r="F33" t="str">
        <f>""</f>
        <v/>
      </c>
      <c r="H33" t="str">
        <f t="shared" si="0"/>
        <v>ACCT#0132</v>
      </c>
    </row>
    <row r="34" spans="1:8" x14ac:dyDescent="0.25">
      <c r="E34" t="str">
        <f>""</f>
        <v/>
      </c>
      <c r="F34" t="str">
        <f>""</f>
        <v/>
      </c>
      <c r="H34" t="str">
        <f t="shared" si="0"/>
        <v>ACCT#0132</v>
      </c>
    </row>
    <row r="35" spans="1:8" x14ac:dyDescent="0.25">
      <c r="A35" t="s">
        <v>21</v>
      </c>
      <c r="B35">
        <v>2695</v>
      </c>
      <c r="C35" s="2">
        <v>195</v>
      </c>
      <c r="D35" s="1">
        <v>43808</v>
      </c>
      <c r="E35" t="str">
        <f>"25977206"</f>
        <v>25977206</v>
      </c>
      <c r="F35" t="str">
        <f>"AGREEMENT#012-1173727-000"</f>
        <v>AGREEMENT#012-1173727-000</v>
      </c>
      <c r="G35" s="2">
        <v>195</v>
      </c>
      <c r="H35" t="str">
        <f>"AGREEMENT#012-1173727-000"</f>
        <v>AGREEMENT#012-1173727-000</v>
      </c>
    </row>
    <row r="36" spans="1:8" x14ac:dyDescent="0.25">
      <c r="A36" t="s">
        <v>22</v>
      </c>
      <c r="B36">
        <v>129911</v>
      </c>
      <c r="C36" s="2">
        <v>1900</v>
      </c>
      <c r="D36" s="1">
        <v>43808</v>
      </c>
      <c r="E36" t="str">
        <f>"1225"</f>
        <v>1225</v>
      </c>
      <c r="F36" t="str">
        <f>"Fence - NRCS Debris Proj"</f>
        <v>Fence - NRCS Debris Proj</v>
      </c>
      <c r="G36" s="2">
        <v>1900</v>
      </c>
      <c r="H36" t="str">
        <f>"Fence - NRCS Debris Proj"</f>
        <v>Fence - NRCS Debris Proj</v>
      </c>
    </row>
    <row r="37" spans="1:8" x14ac:dyDescent="0.25">
      <c r="A37" t="s">
        <v>23</v>
      </c>
      <c r="B37">
        <v>1853</v>
      </c>
      <c r="C37" s="2">
        <v>19019.53</v>
      </c>
      <c r="D37" s="1">
        <v>43809</v>
      </c>
      <c r="E37" t="str">
        <f>"201912023655"</f>
        <v>201912023655</v>
      </c>
      <c r="F37" t="str">
        <f>"HAULING EXPS 11/25-11/27/PCT#2"</f>
        <v>HAULING EXPS 11/25-11/27/PCT#2</v>
      </c>
      <c r="G37" s="2">
        <v>6317.88</v>
      </c>
      <c r="H37" t="str">
        <f>"HAULING EXPS 11/25-11/27/PCT#2"</f>
        <v>HAULING EXPS 11/25-11/27/PCT#2</v>
      </c>
    </row>
    <row r="38" spans="1:8" x14ac:dyDescent="0.25">
      <c r="E38" t="str">
        <f>"201912023656"</f>
        <v>201912023656</v>
      </c>
      <c r="F38" t="str">
        <f>"HAULING EXPS 11/18-11/22/PCT#2"</f>
        <v>HAULING EXPS 11/18-11/22/PCT#2</v>
      </c>
      <c r="G38" s="2">
        <v>12701.65</v>
      </c>
      <c r="H38" t="str">
        <f>"HAULING EXPS 11/18-11/22/PCT#2"</f>
        <v>HAULING EXPS 11/18-11/22/PCT#2</v>
      </c>
    </row>
    <row r="39" spans="1:8" x14ac:dyDescent="0.25">
      <c r="A39" t="s">
        <v>23</v>
      </c>
      <c r="B39">
        <v>1924</v>
      </c>
      <c r="C39" s="2">
        <v>41824.26</v>
      </c>
      <c r="D39" s="1">
        <v>43823</v>
      </c>
      <c r="E39" t="str">
        <f>"1180"</f>
        <v>1180</v>
      </c>
      <c r="F39" t="str">
        <f>"HAULING/PCT#2"</f>
        <v>HAULING/PCT#2</v>
      </c>
      <c r="G39" s="2">
        <v>41824.26</v>
      </c>
      <c r="H39" t="str">
        <f>"HAULING/PCT#2"</f>
        <v>HAULING/PCT#2</v>
      </c>
    </row>
    <row r="40" spans="1:8" x14ac:dyDescent="0.25">
      <c r="A40" t="s">
        <v>24</v>
      </c>
      <c r="B40">
        <v>1900</v>
      </c>
      <c r="C40" s="2">
        <v>90999.28</v>
      </c>
      <c r="D40" s="1">
        <v>43823</v>
      </c>
      <c r="E40" t="str">
        <f>"9725-001-112573"</f>
        <v>9725-001-112573</v>
      </c>
      <c r="F40" t="str">
        <f>"ACCT#9725-001/PCT#2"</f>
        <v>ACCT#9725-001/PCT#2</v>
      </c>
      <c r="G40" s="2">
        <v>3199.73</v>
      </c>
      <c r="H40" t="str">
        <f>"ACCT#9725-001/PCT#2"</f>
        <v>ACCT#9725-001/PCT#2</v>
      </c>
    </row>
    <row r="41" spans="1:8" x14ac:dyDescent="0.25">
      <c r="E41" t="str">
        <f>"9725-001-112792"</f>
        <v>9725-001-112792</v>
      </c>
      <c r="F41" t="str">
        <f t="shared" ref="F41:F50" si="1">"ACCT#9725-007/REC BASE/PCT#2"</f>
        <v>ACCT#9725-007/REC BASE/PCT#2</v>
      </c>
      <c r="G41" s="2">
        <v>7407.96</v>
      </c>
      <c r="H41" t="str">
        <f t="shared" ref="H41:H50" si="2">"ACCT#9725-007/REC BASE/PCT#2"</f>
        <v>ACCT#9725-007/REC BASE/PCT#2</v>
      </c>
    </row>
    <row r="42" spans="1:8" x14ac:dyDescent="0.25">
      <c r="E42" t="str">
        <f>"9725-001-112819"</f>
        <v>9725-001-112819</v>
      </c>
      <c r="F42" t="str">
        <f t="shared" si="1"/>
        <v>ACCT#9725-007/REC BASE/PCT#2</v>
      </c>
      <c r="G42" s="2">
        <v>5880.89</v>
      </c>
      <c r="H42" t="str">
        <f t="shared" si="2"/>
        <v>ACCT#9725-007/REC BASE/PCT#2</v>
      </c>
    </row>
    <row r="43" spans="1:8" x14ac:dyDescent="0.25">
      <c r="E43" t="str">
        <f>"9725-001-112850"</f>
        <v>9725-001-112850</v>
      </c>
      <c r="F43" t="str">
        <f t="shared" si="1"/>
        <v>ACCT#9725-007/REC BASE/PCT#2</v>
      </c>
      <c r="G43" s="2">
        <v>5810.99</v>
      </c>
      <c r="H43" t="str">
        <f t="shared" si="2"/>
        <v>ACCT#9725-007/REC BASE/PCT#2</v>
      </c>
    </row>
    <row r="44" spans="1:8" x14ac:dyDescent="0.25">
      <c r="E44" t="str">
        <f>"9725-001-112877"</f>
        <v>9725-001-112877</v>
      </c>
      <c r="F44" t="str">
        <f t="shared" si="1"/>
        <v>ACCT#9725-007/REC BASE/PCT#2</v>
      </c>
      <c r="G44" s="2">
        <v>6707.42</v>
      </c>
      <c r="H44" t="str">
        <f t="shared" si="2"/>
        <v>ACCT#9725-007/REC BASE/PCT#2</v>
      </c>
    </row>
    <row r="45" spans="1:8" x14ac:dyDescent="0.25">
      <c r="E45" t="str">
        <f>"9725-001-112904"</f>
        <v>9725-001-112904</v>
      </c>
      <c r="F45" t="str">
        <f t="shared" si="1"/>
        <v>ACCT#9725-007/REC BASE/PCT#2</v>
      </c>
      <c r="G45" s="2">
        <v>6683.19</v>
      </c>
      <c r="H45" t="str">
        <f t="shared" si="2"/>
        <v>ACCT#9725-007/REC BASE/PCT#2</v>
      </c>
    </row>
    <row r="46" spans="1:8" x14ac:dyDescent="0.25">
      <c r="E46" t="str">
        <f>"9725-001-112929"</f>
        <v>9725-001-112929</v>
      </c>
      <c r="F46" t="str">
        <f t="shared" si="1"/>
        <v>ACCT#9725-007/REC BASE/PCT#2</v>
      </c>
      <c r="G46" s="2">
        <v>4184.5200000000004</v>
      </c>
      <c r="H46" t="str">
        <f t="shared" si="2"/>
        <v>ACCT#9725-007/REC BASE/PCT#2</v>
      </c>
    </row>
    <row r="47" spans="1:8" x14ac:dyDescent="0.25">
      <c r="E47" t="str">
        <f>"9725-001-112961"</f>
        <v>9725-001-112961</v>
      </c>
      <c r="F47" t="str">
        <f t="shared" si="1"/>
        <v>ACCT#9725-007/REC BASE/PCT#2</v>
      </c>
      <c r="G47" s="2">
        <v>3525.92</v>
      </c>
      <c r="H47" t="str">
        <f t="shared" si="2"/>
        <v>ACCT#9725-007/REC BASE/PCT#2</v>
      </c>
    </row>
    <row r="48" spans="1:8" x14ac:dyDescent="0.25">
      <c r="E48" t="str">
        <f>"9725-001-112982"</f>
        <v>9725-001-112982</v>
      </c>
      <c r="F48" t="str">
        <f t="shared" si="1"/>
        <v>ACCT#9725-007/REC BASE/PCT#2</v>
      </c>
      <c r="G48" s="2">
        <v>7339.12</v>
      </c>
      <c r="H48" t="str">
        <f t="shared" si="2"/>
        <v>ACCT#9725-007/REC BASE/PCT#2</v>
      </c>
    </row>
    <row r="49" spans="1:8" x14ac:dyDescent="0.25">
      <c r="E49" t="str">
        <f>"9725-001-113003"</f>
        <v>9725-001-113003</v>
      </c>
      <c r="F49" t="str">
        <f t="shared" si="1"/>
        <v>ACCT#9725-007/REC BASE/PCT#2</v>
      </c>
      <c r="G49" s="2">
        <v>8902.2999999999993</v>
      </c>
      <c r="H49" t="str">
        <f t="shared" si="2"/>
        <v>ACCT#9725-007/REC BASE/PCT#2</v>
      </c>
    </row>
    <row r="50" spans="1:8" x14ac:dyDescent="0.25">
      <c r="E50" t="str">
        <f>"9725-001-113034"</f>
        <v>9725-001-113034</v>
      </c>
      <c r="F50" t="str">
        <f t="shared" si="1"/>
        <v>ACCT#9725-007/REC BASE/PCT#2</v>
      </c>
      <c r="G50" s="2">
        <v>5448.06</v>
      </c>
      <c r="H50" t="str">
        <f t="shared" si="2"/>
        <v>ACCT#9725-007/REC BASE/PCT#2</v>
      </c>
    </row>
    <row r="51" spans="1:8" x14ac:dyDescent="0.25">
      <c r="E51" t="str">
        <f>"9725-007-112658"</f>
        <v>9725-007-112658</v>
      </c>
      <c r="F51" t="str">
        <f>"ACCT#9725-007/REC BASE/PCT#4"</f>
        <v>ACCT#9725-007/REC BASE/PCT#4</v>
      </c>
      <c r="G51" s="2">
        <v>2736.67</v>
      </c>
      <c r="H51" t="str">
        <f>"ACCT#9725-007/REC BASE/PCT#4"</f>
        <v>ACCT#9725-007/REC BASE/PCT#4</v>
      </c>
    </row>
    <row r="52" spans="1:8" x14ac:dyDescent="0.25">
      <c r="E52" t="str">
        <f>"9725-007-112806"</f>
        <v>9725-007-112806</v>
      </c>
      <c r="F52" t="str">
        <f>"ACCT#9725-007/REC BASE/PCT#4"</f>
        <v>ACCT#9725-007/REC BASE/PCT#4</v>
      </c>
      <c r="G52" s="2">
        <v>3958.2</v>
      </c>
      <c r="H52" t="str">
        <f>"ACCT#9725-007/REC BASE/PCT#4"</f>
        <v>ACCT#9725-007/REC BASE/PCT#4</v>
      </c>
    </row>
    <row r="53" spans="1:8" x14ac:dyDescent="0.25">
      <c r="E53" t="str">
        <f>"9725-007-112834"</f>
        <v>9725-007-112834</v>
      </c>
      <c r="F53" t="str">
        <f>"ACCT#9725-007/PCT#4"</f>
        <v>ACCT#9725-007/PCT#4</v>
      </c>
      <c r="G53" s="2">
        <v>4678.1400000000003</v>
      </c>
      <c r="H53" t="str">
        <f>"ACCT#9725-007/PCT#4"</f>
        <v>ACCT#9725-007/PCT#4</v>
      </c>
    </row>
    <row r="54" spans="1:8" x14ac:dyDescent="0.25">
      <c r="E54" t="str">
        <f>"9725-007-112861"</f>
        <v>9725-007-112861</v>
      </c>
      <c r="F54" t="str">
        <f t="shared" ref="F54:F60" si="3">"ACCT#9725-007/REC BASE/PCT#4"</f>
        <v>ACCT#9725-007/REC BASE/PCT#4</v>
      </c>
      <c r="G54" s="2">
        <v>3151.34</v>
      </c>
      <c r="H54" t="str">
        <f>"ACCT#9725-007-112861/PCT#4"</f>
        <v>ACCT#9725-007-112861/PCT#4</v>
      </c>
    </row>
    <row r="55" spans="1:8" x14ac:dyDescent="0.25">
      <c r="E55" t="str">
        <f>"9725-007-112893"</f>
        <v>9725-007-112893</v>
      </c>
      <c r="F55" t="str">
        <f t="shared" si="3"/>
        <v>ACCT#9725-007/REC BASE/PCT#4</v>
      </c>
      <c r="G55" s="2">
        <v>1672.85</v>
      </c>
      <c r="H55" t="str">
        <f t="shared" ref="H55:H60" si="4">"ACCT#9725-007/REC BASE/PCT#4"</f>
        <v>ACCT#9725-007/REC BASE/PCT#4</v>
      </c>
    </row>
    <row r="56" spans="1:8" x14ac:dyDescent="0.25">
      <c r="E56" t="str">
        <f>"9725-007-112917"</f>
        <v>9725-007-112917</v>
      </c>
      <c r="F56" t="str">
        <f t="shared" si="3"/>
        <v>ACCT#9725-007/REC BASE/PCT#4</v>
      </c>
      <c r="G56" s="2">
        <v>214.29</v>
      </c>
      <c r="H56" t="str">
        <f t="shared" si="4"/>
        <v>ACCT#9725-007/REC BASE/PCT#4</v>
      </c>
    </row>
    <row r="57" spans="1:8" x14ac:dyDescent="0.25">
      <c r="E57" t="str">
        <f>"9725-007-112943"</f>
        <v>9725-007-112943</v>
      </c>
      <c r="F57" t="str">
        <f t="shared" si="3"/>
        <v>ACCT#9725-007/REC BASE/PCT#4</v>
      </c>
      <c r="G57" s="2">
        <v>1556.9</v>
      </c>
      <c r="H57" t="str">
        <f t="shared" si="4"/>
        <v>ACCT#9725-007/REC BASE/PCT#4</v>
      </c>
    </row>
    <row r="58" spans="1:8" x14ac:dyDescent="0.25">
      <c r="E58" t="str">
        <f>"9725-007-112970"</f>
        <v>9725-007-112970</v>
      </c>
      <c r="F58" t="str">
        <f t="shared" si="3"/>
        <v>ACCT#9725-007/REC BASE/PCT#4</v>
      </c>
      <c r="G58" s="2">
        <v>2765.63</v>
      </c>
      <c r="H58" t="str">
        <f t="shared" si="4"/>
        <v>ACCT#9725-007/REC BASE/PCT#4</v>
      </c>
    </row>
    <row r="59" spans="1:8" x14ac:dyDescent="0.25">
      <c r="E59" t="str">
        <f>"9725-007-113015"</f>
        <v>9725-007-113015</v>
      </c>
      <c r="F59" t="str">
        <f t="shared" si="3"/>
        <v>ACCT#9725-007/REC BASE/PCT#4</v>
      </c>
      <c r="G59" s="2">
        <v>1609.41</v>
      </c>
      <c r="H59" t="str">
        <f t="shared" si="4"/>
        <v>ACCT#9725-007/REC BASE/PCT#4</v>
      </c>
    </row>
    <row r="60" spans="1:8" x14ac:dyDescent="0.25">
      <c r="E60" t="str">
        <f>"9725-007-113049"</f>
        <v>9725-007-113049</v>
      </c>
      <c r="F60" t="str">
        <f t="shared" si="3"/>
        <v>ACCT#9725-007/REC BASE/PCT#4</v>
      </c>
      <c r="G60" s="2">
        <v>3361</v>
      </c>
      <c r="H60" t="str">
        <f t="shared" si="4"/>
        <v>ACCT#9725-007/REC BASE/PCT#4</v>
      </c>
    </row>
    <row r="61" spans="1:8" x14ac:dyDescent="0.25">
      <c r="E61" t="str">
        <f>"9725-007-113049-P2"</f>
        <v>9725-007-113049-P2</v>
      </c>
      <c r="F61" t="str">
        <f>"ACCT#9725-007/REC BASE/PCT#2"</f>
        <v>ACCT#9725-007/REC BASE/PCT#2</v>
      </c>
      <c r="G61" s="2">
        <v>204.75</v>
      </c>
      <c r="H61" t="str">
        <f>"ACCT#9725-007/REC BASE/PCT#2"</f>
        <v>ACCT#9725-007/REC BASE/PCT#2</v>
      </c>
    </row>
    <row r="62" spans="1:8" x14ac:dyDescent="0.25">
      <c r="A62" t="s">
        <v>24</v>
      </c>
      <c r="B62">
        <v>129912</v>
      </c>
      <c r="C62" s="2">
        <v>36271.96</v>
      </c>
      <c r="D62" s="1">
        <v>43808</v>
      </c>
      <c r="E62" t="str">
        <f>"9725-001-112550"</f>
        <v>9725-001-112550</v>
      </c>
      <c r="F62" t="str">
        <f t="shared" ref="F62:F68" si="5">"ACCT#9725-001/REC BASE/PCT#2"</f>
        <v>ACCT#9725-001/REC BASE/PCT#2</v>
      </c>
      <c r="G62" s="2">
        <v>4035</v>
      </c>
      <c r="H62" t="str">
        <f t="shared" ref="H62:H68" si="6">"ACCT#9725-001/REC BASE/PCT#2"</f>
        <v>ACCT#9725-001/REC BASE/PCT#2</v>
      </c>
    </row>
    <row r="63" spans="1:8" x14ac:dyDescent="0.25">
      <c r="E63" t="str">
        <f>"9725-001-112616"</f>
        <v>9725-001-112616</v>
      </c>
      <c r="F63" t="str">
        <f t="shared" si="5"/>
        <v>ACCT#9725-001/REC BASE/PCT#2</v>
      </c>
      <c r="G63" s="2">
        <v>2509.44</v>
      </c>
      <c r="H63" t="str">
        <f t="shared" si="6"/>
        <v>ACCT#9725-001/REC BASE/PCT#2</v>
      </c>
    </row>
    <row r="64" spans="1:8" x14ac:dyDescent="0.25">
      <c r="E64" t="str">
        <f>"9725-001-112645"</f>
        <v>9725-001-112645</v>
      </c>
      <c r="F64" t="str">
        <f t="shared" si="5"/>
        <v>ACCT#9725-001/REC BASE/PCT#2</v>
      </c>
      <c r="G64" s="2">
        <v>5482.21</v>
      </c>
      <c r="H64" t="str">
        <f t="shared" si="6"/>
        <v>ACCT#9725-001/REC BASE/PCT#2</v>
      </c>
    </row>
    <row r="65" spans="1:8" x14ac:dyDescent="0.25">
      <c r="E65" t="str">
        <f>"9725-001-112674"</f>
        <v>9725-001-112674</v>
      </c>
      <c r="F65" t="str">
        <f t="shared" si="5"/>
        <v>ACCT#9725-001/REC BASE/PCT#2</v>
      </c>
      <c r="G65" s="2">
        <v>4036.48</v>
      </c>
      <c r="H65" t="str">
        <f t="shared" si="6"/>
        <v>ACCT#9725-001/REC BASE/PCT#2</v>
      </c>
    </row>
    <row r="66" spans="1:8" x14ac:dyDescent="0.25">
      <c r="E66" t="str">
        <f>"9725-001-112702"</f>
        <v>9725-001-112702</v>
      </c>
      <c r="F66" t="str">
        <f t="shared" si="5"/>
        <v>ACCT#9725-001/REC BASE/PCT#2</v>
      </c>
      <c r="G66" s="2">
        <v>2645.31</v>
      </c>
      <c r="H66" t="str">
        <f t="shared" si="6"/>
        <v>ACCT#9725-001/REC BASE/PCT#2</v>
      </c>
    </row>
    <row r="67" spans="1:8" x14ac:dyDescent="0.25">
      <c r="E67" t="str">
        <f>"9725-001-112739"</f>
        <v>9725-001-112739</v>
      </c>
      <c r="F67" t="str">
        <f t="shared" si="5"/>
        <v>ACCT#9725-001/REC BASE/PCT#2</v>
      </c>
      <c r="G67" s="2">
        <v>3247.31</v>
      </c>
      <c r="H67" t="str">
        <f t="shared" si="6"/>
        <v>ACCT#9725-001/REC BASE/PCT#2</v>
      </c>
    </row>
    <row r="68" spans="1:8" x14ac:dyDescent="0.25">
      <c r="E68" t="str">
        <f>"9725-001-112771"</f>
        <v>9725-001-112771</v>
      </c>
      <c r="F68" t="str">
        <f t="shared" si="5"/>
        <v>ACCT#9725-001/REC BASE/PCT#2</v>
      </c>
      <c r="G68" s="2">
        <v>5500.29</v>
      </c>
      <c r="H68" t="str">
        <f t="shared" si="6"/>
        <v>ACCT#9725-001/REC BASE/PCT#2</v>
      </c>
    </row>
    <row r="69" spans="1:8" x14ac:dyDescent="0.25">
      <c r="E69" t="str">
        <f>"9725-007-112586"</f>
        <v>9725-007-112586</v>
      </c>
      <c r="F69" t="str">
        <f t="shared" ref="F69:F74" si="7">"ACCT#9725-007/REC BASE/PCT#4"</f>
        <v>ACCT#9725-007/REC BASE/PCT#4</v>
      </c>
      <c r="G69" s="2">
        <v>2237.48</v>
      </c>
      <c r="H69" t="str">
        <f t="shared" ref="H69:H74" si="8">"ACCT#9725-007/REC BASE/PCT#4"</f>
        <v>ACCT#9725-007/REC BASE/PCT#4</v>
      </c>
    </row>
    <row r="70" spans="1:8" x14ac:dyDescent="0.25">
      <c r="E70" t="str">
        <f>"9725-007-112631"</f>
        <v>9725-007-112631</v>
      </c>
      <c r="F70" t="str">
        <f t="shared" si="7"/>
        <v>ACCT#9725-007/REC BASE/PCT#4</v>
      </c>
      <c r="G70" s="2">
        <v>1607.28</v>
      </c>
      <c r="H70" t="str">
        <f t="shared" si="8"/>
        <v>ACCT#9725-007/REC BASE/PCT#4</v>
      </c>
    </row>
    <row r="71" spans="1:8" x14ac:dyDescent="0.25">
      <c r="E71" t="str">
        <f>"9725-007-112688"</f>
        <v>9725-007-112688</v>
      </c>
      <c r="F71" t="str">
        <f t="shared" si="7"/>
        <v>ACCT#9725-007/REC BASE/PCT#4</v>
      </c>
      <c r="G71" s="2">
        <v>602.44000000000005</v>
      </c>
      <c r="H71" t="str">
        <f t="shared" si="8"/>
        <v>ACCT#9725-007/REC BASE/PCT#4</v>
      </c>
    </row>
    <row r="72" spans="1:8" x14ac:dyDescent="0.25">
      <c r="E72" t="str">
        <f>"9725-007-112715"</f>
        <v>9725-007-112715</v>
      </c>
      <c r="F72" t="str">
        <f t="shared" si="7"/>
        <v>ACCT#9725-007/REC BASE/PCT#4</v>
      </c>
      <c r="G72" s="2">
        <v>478.55</v>
      </c>
      <c r="H72" t="str">
        <f t="shared" si="8"/>
        <v>ACCT#9725-007/REC BASE/PCT#4</v>
      </c>
    </row>
    <row r="73" spans="1:8" x14ac:dyDescent="0.25">
      <c r="E73" t="str">
        <f>"9725-007-112755"</f>
        <v>9725-007-112755</v>
      </c>
      <c r="F73" t="str">
        <f t="shared" si="7"/>
        <v>ACCT#9725-007/REC BASE/PCT#4</v>
      </c>
      <c r="G73" s="2">
        <v>1729.36</v>
      </c>
      <c r="H73" t="str">
        <f t="shared" si="8"/>
        <v>ACCT#9725-007/REC BASE/PCT#4</v>
      </c>
    </row>
    <row r="74" spans="1:8" x14ac:dyDescent="0.25">
      <c r="E74" t="str">
        <f>"9725-007-112779"</f>
        <v>9725-007-112779</v>
      </c>
      <c r="F74" t="str">
        <f t="shared" si="7"/>
        <v>ACCT#9725-007/REC BASE/PCT#4</v>
      </c>
      <c r="G74" s="2">
        <v>2160.81</v>
      </c>
      <c r="H74" t="str">
        <f t="shared" si="8"/>
        <v>ACCT#9725-007/REC BASE/PCT#4</v>
      </c>
    </row>
    <row r="75" spans="1:8" x14ac:dyDescent="0.25">
      <c r="A75" t="s">
        <v>25</v>
      </c>
      <c r="B75">
        <v>129913</v>
      </c>
      <c r="C75" s="2">
        <v>1500</v>
      </c>
      <c r="D75" s="1">
        <v>43808</v>
      </c>
      <c r="E75" t="str">
        <f>"201912033733"</f>
        <v>201912033733</v>
      </c>
      <c r="F75" t="str">
        <f>"A-1 CORING  INC."</f>
        <v>A-1 CORING  INC.</v>
      </c>
      <c r="G75" s="2">
        <v>1500</v>
      </c>
      <c r="H75" t="str">
        <f>"Coring"</f>
        <v>Coring</v>
      </c>
    </row>
    <row r="76" spans="1:8" x14ac:dyDescent="0.25">
      <c r="A76" t="s">
        <v>26</v>
      </c>
      <c r="B76">
        <v>129914</v>
      </c>
      <c r="C76" s="2">
        <v>481.87</v>
      </c>
      <c r="D76" s="1">
        <v>43808</v>
      </c>
      <c r="E76" t="str">
        <f>"371272"</f>
        <v>371272</v>
      </c>
      <c r="F76" t="str">
        <f>"CUST ID:16500/PCT#4"</f>
        <v>CUST ID:16500/PCT#4</v>
      </c>
      <c r="G76" s="2">
        <v>481.87</v>
      </c>
      <c r="H76" t="str">
        <f>"CUST ID:16500/PCT#4"</f>
        <v>CUST ID:16500/PCT#4</v>
      </c>
    </row>
    <row r="77" spans="1:8" x14ac:dyDescent="0.25">
      <c r="A77" t="s">
        <v>27</v>
      </c>
      <c r="B77">
        <v>129915</v>
      </c>
      <c r="C77" s="2">
        <v>526</v>
      </c>
      <c r="D77" s="1">
        <v>43808</v>
      </c>
      <c r="E77" t="str">
        <f>"321123"</f>
        <v>321123</v>
      </c>
      <c r="F77" t="str">
        <f>"ANNUAL FIRE EXTINGUISHER MAINT"</f>
        <v>ANNUAL FIRE EXTINGUISHER MAINT</v>
      </c>
      <c r="G77" s="2">
        <v>35</v>
      </c>
      <c r="H77" t="str">
        <f>"ANNUAL FIRE EXTINGUISHER MAINT"</f>
        <v>ANNUAL FIRE EXTINGUISHER MAINT</v>
      </c>
    </row>
    <row r="78" spans="1:8" x14ac:dyDescent="0.25">
      <c r="E78" t="str">
        <f>"INV321081"</f>
        <v>INV321081</v>
      </c>
      <c r="F78" t="str">
        <f>"INV321081"</f>
        <v>INV321081</v>
      </c>
      <c r="G78" s="2">
        <v>491</v>
      </c>
      <c r="H78" t="str">
        <f>"INV321081"</f>
        <v>INV321081</v>
      </c>
    </row>
    <row r="79" spans="1:8" x14ac:dyDescent="0.25">
      <c r="A79" t="s">
        <v>28</v>
      </c>
      <c r="B79">
        <v>130131</v>
      </c>
      <c r="C79" s="2">
        <v>101.87</v>
      </c>
      <c r="D79" s="1">
        <v>43822</v>
      </c>
      <c r="E79" t="str">
        <f>"109272"</f>
        <v>109272</v>
      </c>
      <c r="F79" t="str">
        <f>"ALL PURPOSE COVERALL"</f>
        <v>ALL PURPOSE COVERALL</v>
      </c>
      <c r="G79" s="2">
        <v>101.87</v>
      </c>
      <c r="H79" t="str">
        <f>"ALL PURPOSE COVERALL"</f>
        <v>ALL PURPOSE COVERALL</v>
      </c>
    </row>
    <row r="80" spans="1:8" x14ac:dyDescent="0.25">
      <c r="A80" t="s">
        <v>29</v>
      </c>
      <c r="B80">
        <v>130074</v>
      </c>
      <c r="C80" s="2">
        <v>795</v>
      </c>
      <c r="D80" s="1">
        <v>43810</v>
      </c>
      <c r="E80" t="str">
        <f>"201912113885"</f>
        <v>201912113885</v>
      </c>
      <c r="F80" t="str">
        <f>"19-19857 - REISSUE"</f>
        <v>19-19857 - REISSUE</v>
      </c>
      <c r="G80" s="2">
        <v>142.5</v>
      </c>
      <c r="H80" t="str">
        <f>"19-19857 - REISSUE"</f>
        <v>19-19857 - REISSUE</v>
      </c>
    </row>
    <row r="81" spans="1:8" x14ac:dyDescent="0.25">
      <c r="E81" t="str">
        <f>"201912113886"</f>
        <v>201912113886</v>
      </c>
      <c r="F81" t="str">
        <f>"19-19864 - REISSUE"</f>
        <v>19-19864 - REISSUE</v>
      </c>
      <c r="G81" s="2">
        <v>175</v>
      </c>
      <c r="H81" t="str">
        <f>"19-19864 - REISSUE"</f>
        <v>19-19864 - REISSUE</v>
      </c>
    </row>
    <row r="82" spans="1:8" x14ac:dyDescent="0.25">
      <c r="E82" t="str">
        <f>"201912113887"</f>
        <v>201912113887</v>
      </c>
      <c r="F82" t="str">
        <f>"19-19713 - REISSUE"</f>
        <v>19-19713 - REISSUE</v>
      </c>
      <c r="G82" s="2">
        <v>75</v>
      </c>
      <c r="H82" t="str">
        <f>"19-19713 - REISSUE"</f>
        <v>19-19713 - REISSUE</v>
      </c>
    </row>
    <row r="83" spans="1:8" x14ac:dyDescent="0.25">
      <c r="E83" t="str">
        <f>"201912113888"</f>
        <v>201912113888</v>
      </c>
      <c r="F83" t="str">
        <f>"19-19558 - REISSUE"</f>
        <v>19-19558 - REISSUE</v>
      </c>
      <c r="G83" s="2">
        <v>287.5</v>
      </c>
      <c r="H83" t="str">
        <f>"19-19558 - REISSUE"</f>
        <v>19-19558 - REISSUE</v>
      </c>
    </row>
    <row r="84" spans="1:8" x14ac:dyDescent="0.25">
      <c r="E84" t="str">
        <f>"201912113889"</f>
        <v>201912113889</v>
      </c>
      <c r="F84" t="str">
        <f>"19-19811 - REISSUE"</f>
        <v>19-19811 - REISSUE</v>
      </c>
      <c r="G84" s="2">
        <v>115</v>
      </c>
      <c r="H84" t="str">
        <f>"19-19811 - REISSUE"</f>
        <v>19-19811 - REISSUE</v>
      </c>
    </row>
    <row r="85" spans="1:8" x14ac:dyDescent="0.25">
      <c r="A85" t="s">
        <v>29</v>
      </c>
      <c r="B85">
        <v>130132</v>
      </c>
      <c r="C85" s="2">
        <v>652.5</v>
      </c>
      <c r="D85" s="1">
        <v>43822</v>
      </c>
      <c r="E85" t="str">
        <f>"201912174192"</f>
        <v>201912174192</v>
      </c>
      <c r="F85" t="str">
        <f>"19-19558"</f>
        <v>19-19558</v>
      </c>
      <c r="G85" s="2">
        <v>152.5</v>
      </c>
      <c r="H85" t="str">
        <f>"19-19558"</f>
        <v>19-19558</v>
      </c>
    </row>
    <row r="86" spans="1:8" x14ac:dyDescent="0.25">
      <c r="E86" t="str">
        <f>"201912174193"</f>
        <v>201912174193</v>
      </c>
      <c r="F86" t="str">
        <f>"19-19864"</f>
        <v>19-19864</v>
      </c>
      <c r="G86" s="2">
        <v>37.5</v>
      </c>
      <c r="H86" t="str">
        <f>"19-19864"</f>
        <v>19-19864</v>
      </c>
    </row>
    <row r="87" spans="1:8" x14ac:dyDescent="0.25">
      <c r="E87" t="str">
        <f>"201912174194"</f>
        <v>201912174194</v>
      </c>
      <c r="F87" t="str">
        <f>"19-19423"</f>
        <v>19-19423</v>
      </c>
      <c r="G87" s="2">
        <v>115</v>
      </c>
      <c r="H87" t="str">
        <f>"19-19423"</f>
        <v>19-19423</v>
      </c>
    </row>
    <row r="88" spans="1:8" x14ac:dyDescent="0.25">
      <c r="E88" t="str">
        <f>"201912174195"</f>
        <v>201912174195</v>
      </c>
      <c r="F88" t="str">
        <f>"19-19963"</f>
        <v>19-19963</v>
      </c>
      <c r="G88" s="2">
        <v>310</v>
      </c>
      <c r="H88" t="str">
        <f>"19-19963"</f>
        <v>19-19963</v>
      </c>
    </row>
    <row r="89" spans="1:8" x14ac:dyDescent="0.25">
      <c r="E89" t="str">
        <f>"201912174196"</f>
        <v>201912174196</v>
      </c>
      <c r="F89" t="str">
        <f>"19-19811"</f>
        <v>19-19811</v>
      </c>
      <c r="G89" s="2">
        <v>37.5</v>
      </c>
      <c r="H89" t="str">
        <f>"19-19811"</f>
        <v>19-19811</v>
      </c>
    </row>
    <row r="90" spans="1:8" x14ac:dyDescent="0.25">
      <c r="A90" t="s">
        <v>30</v>
      </c>
      <c r="B90">
        <v>130133</v>
      </c>
      <c r="C90" s="2">
        <v>1600</v>
      </c>
      <c r="D90" s="1">
        <v>43822</v>
      </c>
      <c r="E90" t="str">
        <f>"201912174145"</f>
        <v>201912174145</v>
      </c>
      <c r="F90" t="str">
        <f>"16 973  16 932"</f>
        <v>16 973  16 932</v>
      </c>
      <c r="G90" s="2">
        <v>1600</v>
      </c>
      <c r="H90" t="str">
        <f>"16 973  16 932"</f>
        <v>16 973  16 932</v>
      </c>
    </row>
    <row r="91" spans="1:8" x14ac:dyDescent="0.25">
      <c r="A91" t="s">
        <v>31</v>
      </c>
      <c r="B91">
        <v>1909</v>
      </c>
      <c r="C91" s="2">
        <v>119.99</v>
      </c>
      <c r="D91" s="1">
        <v>43823</v>
      </c>
      <c r="E91" t="str">
        <f>"201912174146"</f>
        <v>201912174146</v>
      </c>
      <c r="F91" t="str">
        <f>"REIMBURSE TEXIAN RALLY/MAIL"</f>
        <v>REIMBURSE TEXIAN RALLY/MAIL</v>
      </c>
      <c r="G91" s="2">
        <v>119.99</v>
      </c>
      <c r="H91" t="str">
        <f>"REIMBURSE TEXIAN RALLY/MAIL"</f>
        <v>REIMBURSE TEXIAN RALLY/MAIL</v>
      </c>
    </row>
    <row r="92" spans="1:8" x14ac:dyDescent="0.25">
      <c r="A92" t="s">
        <v>32</v>
      </c>
      <c r="B92">
        <v>129916</v>
      </c>
      <c r="C92" s="2">
        <v>2394</v>
      </c>
      <c r="D92" s="1">
        <v>43808</v>
      </c>
      <c r="E92" t="str">
        <f>"1944"</f>
        <v>1944</v>
      </c>
      <c r="F92" t="str">
        <f>"INV 1944"</f>
        <v>INV 1944</v>
      </c>
      <c r="G92" s="2">
        <v>2394</v>
      </c>
      <c r="H92" t="str">
        <f>"INV 1944"</f>
        <v>INV 1944</v>
      </c>
    </row>
    <row r="93" spans="1:8" x14ac:dyDescent="0.25">
      <c r="A93" t="s">
        <v>33</v>
      </c>
      <c r="B93">
        <v>130134</v>
      </c>
      <c r="C93" s="2">
        <v>2544.09</v>
      </c>
      <c r="D93" s="1">
        <v>43822</v>
      </c>
      <c r="E93" t="str">
        <f>"212862967-001"</f>
        <v>212862967-001</v>
      </c>
      <c r="F93" t="str">
        <f>"inv# 21286297-001"</f>
        <v>inv# 21286297-001</v>
      </c>
      <c r="G93" s="2">
        <v>1505.55</v>
      </c>
      <c r="H93" t="str">
        <f>"EQP# 157243"</f>
        <v>EQP# 157243</v>
      </c>
    </row>
    <row r="94" spans="1:8" x14ac:dyDescent="0.25">
      <c r="E94" t="str">
        <f>""</f>
        <v/>
      </c>
      <c r="F94" t="str">
        <f>""</f>
        <v/>
      </c>
      <c r="H94" t="str">
        <f>"EQP# 159656"</f>
        <v>EQP# 159656</v>
      </c>
    </row>
    <row r="95" spans="1:8" x14ac:dyDescent="0.25">
      <c r="E95" t="str">
        <f>""</f>
        <v/>
      </c>
      <c r="F95" t="str">
        <f>""</f>
        <v/>
      </c>
      <c r="H95" t="str">
        <f>"EQP# 0251007"</f>
        <v>EQP# 0251007</v>
      </c>
    </row>
    <row r="96" spans="1:8" x14ac:dyDescent="0.25">
      <c r="E96" t="str">
        <f>""</f>
        <v/>
      </c>
      <c r="F96" t="str">
        <f>""</f>
        <v/>
      </c>
      <c r="H96" t="str">
        <f>"ITem# 160642"</f>
        <v>ITem# 160642</v>
      </c>
    </row>
    <row r="97" spans="1:8" x14ac:dyDescent="0.25">
      <c r="E97" t="str">
        <f>""</f>
        <v/>
      </c>
      <c r="F97" t="str">
        <f>""</f>
        <v/>
      </c>
      <c r="H97" t="str">
        <f>"Item# TDHET"</f>
        <v>Item# TDHET</v>
      </c>
    </row>
    <row r="98" spans="1:8" x14ac:dyDescent="0.25">
      <c r="E98" t="str">
        <f>""</f>
        <v/>
      </c>
      <c r="F98" t="str">
        <f>""</f>
        <v/>
      </c>
      <c r="H98" t="str">
        <f>"Delivery Charge"</f>
        <v>Delivery Charge</v>
      </c>
    </row>
    <row r="99" spans="1:8" x14ac:dyDescent="0.25">
      <c r="E99" t="str">
        <f>""</f>
        <v/>
      </c>
      <c r="F99" t="str">
        <f>""</f>
        <v/>
      </c>
      <c r="H99" t="str">
        <f>"Pickup Charge"</f>
        <v>Pickup Charge</v>
      </c>
    </row>
    <row r="100" spans="1:8" x14ac:dyDescent="0.25">
      <c r="E100" t="str">
        <f>""</f>
        <v/>
      </c>
      <c r="F100" t="str">
        <f>""</f>
        <v/>
      </c>
      <c r="H100" t="str">
        <f>"Rental Protection"</f>
        <v>Rental Protection</v>
      </c>
    </row>
    <row r="101" spans="1:8" x14ac:dyDescent="0.25">
      <c r="E101" t="str">
        <f>"21414392-001"</f>
        <v>21414392-001</v>
      </c>
      <c r="F101" t="str">
        <f>"inv# 21414392-001"</f>
        <v>inv# 21414392-001</v>
      </c>
      <c r="G101" s="2">
        <v>1038.54</v>
      </c>
      <c r="H101" t="str">
        <f>"EQP# 182813"</f>
        <v>EQP# 182813</v>
      </c>
    </row>
    <row r="102" spans="1:8" x14ac:dyDescent="0.25">
      <c r="E102" t="str">
        <f>""</f>
        <v/>
      </c>
      <c r="F102" t="str">
        <f>""</f>
        <v/>
      </c>
      <c r="H102" t="str">
        <f>"item# 160642"</f>
        <v>item# 160642</v>
      </c>
    </row>
    <row r="103" spans="1:8" x14ac:dyDescent="0.25">
      <c r="E103" t="str">
        <f>""</f>
        <v/>
      </c>
      <c r="F103" t="str">
        <f>""</f>
        <v/>
      </c>
      <c r="H103" t="str">
        <f>"ITem# TDHET"</f>
        <v>ITem# TDHET</v>
      </c>
    </row>
    <row r="104" spans="1:8" x14ac:dyDescent="0.25">
      <c r="E104" t="str">
        <f>""</f>
        <v/>
      </c>
      <c r="F104" t="str">
        <f>""</f>
        <v/>
      </c>
      <c r="H104" t="str">
        <f>"Rental Protection"</f>
        <v>Rental Protection</v>
      </c>
    </row>
    <row r="105" spans="1:8" x14ac:dyDescent="0.25">
      <c r="A105" t="s">
        <v>34</v>
      </c>
      <c r="B105">
        <v>129917</v>
      </c>
      <c r="C105" s="2">
        <v>32.4</v>
      </c>
      <c r="D105" s="1">
        <v>43808</v>
      </c>
      <c r="E105" t="str">
        <f>"9095454165"</f>
        <v>9095454165</v>
      </c>
      <c r="F105" t="str">
        <f>"PAYER#2278443/ORD#1085308212"</f>
        <v>PAYER#2278443/ORD#1085308212</v>
      </c>
      <c r="G105" s="2">
        <v>32.4</v>
      </c>
      <c r="H105" t="str">
        <f>"PAYER#2278443/ORD#1085308212"</f>
        <v>PAYER#2278443/ORD#1085308212</v>
      </c>
    </row>
    <row r="106" spans="1:8" x14ac:dyDescent="0.25">
      <c r="A106" t="s">
        <v>35</v>
      </c>
      <c r="B106">
        <v>129918</v>
      </c>
      <c r="C106" s="2">
        <v>120</v>
      </c>
      <c r="D106" s="1">
        <v>43808</v>
      </c>
      <c r="E106" t="str">
        <f>"201911273542"</f>
        <v>201911273542</v>
      </c>
      <c r="F106" t="str">
        <f>"FERAL HOGS"</f>
        <v>FERAL HOGS</v>
      </c>
      <c r="G106" s="2">
        <v>120</v>
      </c>
      <c r="H106" t="str">
        <f>"FERAL HOGS"</f>
        <v>FERAL HOGS</v>
      </c>
    </row>
    <row r="107" spans="1:8" x14ac:dyDescent="0.25">
      <c r="A107" t="s">
        <v>36</v>
      </c>
      <c r="B107">
        <v>130135</v>
      </c>
      <c r="C107" s="2">
        <v>150.32</v>
      </c>
      <c r="D107" s="1">
        <v>43822</v>
      </c>
      <c r="E107" t="str">
        <f>"PI-0007276"</f>
        <v>PI-0007276</v>
      </c>
      <c r="F107" t="str">
        <f>"PARTS / PRECINCT #3"</f>
        <v>PARTS / PRECINCT #3</v>
      </c>
      <c r="G107" s="2">
        <v>150.32</v>
      </c>
      <c r="H107" t="str">
        <f>"PARTS / PRECINCT #3"</f>
        <v>PARTS / PRECINCT #3</v>
      </c>
    </row>
    <row r="108" spans="1:8" x14ac:dyDescent="0.25">
      <c r="A108" t="s">
        <v>37</v>
      </c>
      <c r="B108">
        <v>129919</v>
      </c>
      <c r="C108" s="2">
        <v>4991.6499999999996</v>
      </c>
      <c r="D108" s="1">
        <v>43808</v>
      </c>
      <c r="E108" t="str">
        <f>"67791"</f>
        <v>67791</v>
      </c>
      <c r="F108" t="str">
        <f>"LABOR/PARTS/FRT/PCT#3"</f>
        <v>LABOR/PARTS/FRT/PCT#3</v>
      </c>
      <c r="G108" s="2">
        <v>4991.6499999999996</v>
      </c>
      <c r="H108" t="str">
        <f>"LABOR/PARTS/FRT/PCT#3"</f>
        <v>LABOR/PARTS/FRT/PCT#3</v>
      </c>
    </row>
    <row r="109" spans="1:8" x14ac:dyDescent="0.25">
      <c r="A109" t="s">
        <v>38</v>
      </c>
      <c r="B109">
        <v>129920</v>
      </c>
      <c r="C109" s="2">
        <v>50</v>
      </c>
      <c r="D109" s="1">
        <v>43808</v>
      </c>
      <c r="E109" t="str">
        <f>"201911273543"</f>
        <v>201911273543</v>
      </c>
      <c r="F109" t="str">
        <f>"FERAL HOGS"</f>
        <v>FERAL HOGS</v>
      </c>
      <c r="G109" s="2">
        <v>50</v>
      </c>
      <c r="H109" t="str">
        <f>"FERAL HOGS"</f>
        <v>FERAL HOGS</v>
      </c>
    </row>
    <row r="110" spans="1:8" x14ac:dyDescent="0.25">
      <c r="A110" t="s">
        <v>39</v>
      </c>
      <c r="B110">
        <v>130136</v>
      </c>
      <c r="C110" s="2">
        <v>50</v>
      </c>
      <c r="D110" s="1">
        <v>43822</v>
      </c>
      <c r="E110" t="str">
        <f>"201912113902"</f>
        <v>201912113902</v>
      </c>
      <c r="F110" t="str">
        <f>"FERAL HOGS"</f>
        <v>FERAL HOGS</v>
      </c>
      <c r="G110" s="2">
        <v>50</v>
      </c>
      <c r="H110" t="str">
        <f>"FERAL HOGS"</f>
        <v>FERAL HOGS</v>
      </c>
    </row>
    <row r="111" spans="1:8" x14ac:dyDescent="0.25">
      <c r="A111" t="s">
        <v>40</v>
      </c>
      <c r="B111">
        <v>1875</v>
      </c>
      <c r="C111" s="2">
        <v>1400</v>
      </c>
      <c r="D111" s="1">
        <v>43809</v>
      </c>
      <c r="E111" t="str">
        <f>"201911273580"</f>
        <v>201911273580</v>
      </c>
      <c r="F111" t="str">
        <f>"1363-21"</f>
        <v>1363-21</v>
      </c>
      <c r="G111" s="2">
        <v>100</v>
      </c>
      <c r="H111" t="str">
        <f>"1363-21"</f>
        <v>1363-21</v>
      </c>
    </row>
    <row r="112" spans="1:8" x14ac:dyDescent="0.25">
      <c r="E112" t="str">
        <f>"201911273581"</f>
        <v>201911273581</v>
      </c>
      <c r="F112" t="str">
        <f>"1354-21"</f>
        <v>1354-21</v>
      </c>
      <c r="G112" s="2">
        <v>100</v>
      </c>
      <c r="H112" t="str">
        <f>"1354-21"</f>
        <v>1354-21</v>
      </c>
    </row>
    <row r="113" spans="1:8" x14ac:dyDescent="0.25">
      <c r="E113" t="str">
        <f>"201911273582"</f>
        <v>201911273582</v>
      </c>
      <c r="F113" t="str">
        <f>"423-6943"</f>
        <v>423-6943</v>
      </c>
      <c r="G113" s="2">
        <v>100</v>
      </c>
      <c r="H113" t="str">
        <f>"423-6943"</f>
        <v>423-6943</v>
      </c>
    </row>
    <row r="114" spans="1:8" x14ac:dyDescent="0.25">
      <c r="E114" t="str">
        <f>"201911273583"</f>
        <v>201911273583</v>
      </c>
      <c r="F114" t="str">
        <f>"1361-335"</f>
        <v>1361-335</v>
      </c>
      <c r="G114" s="2">
        <v>100</v>
      </c>
      <c r="H114" t="str">
        <f>"1361-335"</f>
        <v>1361-335</v>
      </c>
    </row>
    <row r="115" spans="1:8" x14ac:dyDescent="0.25">
      <c r="E115" t="str">
        <f>"201911273584"</f>
        <v>201911273584</v>
      </c>
      <c r="F115" t="str">
        <f>"423-6947"</f>
        <v>423-6947</v>
      </c>
      <c r="G115" s="2">
        <v>100</v>
      </c>
      <c r="H115" t="str">
        <f>"423-6947"</f>
        <v>423-6947</v>
      </c>
    </row>
    <row r="116" spans="1:8" x14ac:dyDescent="0.25">
      <c r="E116" t="str">
        <f>"201911273585"</f>
        <v>201911273585</v>
      </c>
      <c r="F116" t="str">
        <f>"1367-335"</f>
        <v>1367-335</v>
      </c>
      <c r="G116" s="2">
        <v>100</v>
      </c>
      <c r="H116" t="str">
        <f>"1367-335"</f>
        <v>1367-335</v>
      </c>
    </row>
    <row r="117" spans="1:8" x14ac:dyDescent="0.25">
      <c r="E117" t="str">
        <f>"201911273586"</f>
        <v>201911273586</v>
      </c>
      <c r="F117" t="str">
        <f>"16 849"</f>
        <v>16 849</v>
      </c>
      <c r="G117" s="2">
        <v>400</v>
      </c>
      <c r="H117" t="str">
        <f>"16 849"</f>
        <v>16 849</v>
      </c>
    </row>
    <row r="118" spans="1:8" x14ac:dyDescent="0.25">
      <c r="E118" t="str">
        <f>"201911273587"</f>
        <v>201911273587</v>
      </c>
      <c r="F118" t="str">
        <f>"16 490"</f>
        <v>16 490</v>
      </c>
      <c r="G118" s="2">
        <v>400</v>
      </c>
      <c r="H118" t="str">
        <f>"16 490"</f>
        <v>16 490</v>
      </c>
    </row>
    <row r="119" spans="1:8" x14ac:dyDescent="0.25">
      <c r="A119" t="s">
        <v>40</v>
      </c>
      <c r="B119">
        <v>1948</v>
      </c>
      <c r="C119" s="2">
        <v>375</v>
      </c>
      <c r="D119" s="1">
        <v>43823</v>
      </c>
      <c r="E119" t="str">
        <f>"201912174156"</f>
        <v>201912174156</v>
      </c>
      <c r="F119" t="str">
        <f>"56 920  57209"</f>
        <v>56 920  57209</v>
      </c>
      <c r="G119" s="2">
        <v>375</v>
      </c>
      <c r="H119" t="str">
        <f>"56 920  57209"</f>
        <v>56 920  57209</v>
      </c>
    </row>
    <row r="120" spans="1:8" x14ac:dyDescent="0.25">
      <c r="A120" t="s">
        <v>41</v>
      </c>
      <c r="B120">
        <v>1845</v>
      </c>
      <c r="C120" s="2">
        <v>338.28</v>
      </c>
      <c r="D120" s="1">
        <v>43809</v>
      </c>
      <c r="E120" t="str">
        <f>"201912033760"</f>
        <v>201912033760</v>
      </c>
      <c r="F120" t="str">
        <f>"57 211  55 790  56 847"</f>
        <v>57 211  55 790  56 847</v>
      </c>
      <c r="G120" s="2">
        <v>338.28</v>
      </c>
      <c r="H120" t="str">
        <f>"57 211  55 790  56 847"</f>
        <v>57 211  55 790  56 847</v>
      </c>
    </row>
    <row r="121" spans="1:8" x14ac:dyDescent="0.25">
      <c r="A121" t="s">
        <v>42</v>
      </c>
      <c r="B121">
        <v>1836</v>
      </c>
      <c r="C121" s="2">
        <v>8344.19</v>
      </c>
      <c r="D121" s="1">
        <v>43809</v>
      </c>
      <c r="E121" t="str">
        <f>"201912033679"</f>
        <v>201912033679</v>
      </c>
      <c r="F121" t="str">
        <f>"HAULING EXPS 11/18-11/27/PCT#4"</f>
        <v>HAULING EXPS 11/18-11/27/PCT#4</v>
      </c>
      <c r="G121" s="2">
        <v>3494.89</v>
      </c>
      <c r="H121" t="str">
        <f>"HAULING EXPS 11/18-11/27/PCT#4"</f>
        <v>HAULING EXPS 11/18-11/27/PCT#4</v>
      </c>
    </row>
    <row r="122" spans="1:8" x14ac:dyDescent="0.25">
      <c r="E122" t="str">
        <f>"201912033680"</f>
        <v>201912033680</v>
      </c>
      <c r="F122" t="str">
        <f>"HAULING EXPS 11/18-11/27/PCT#4"</f>
        <v>HAULING EXPS 11/18-11/27/PCT#4</v>
      </c>
      <c r="G122" s="2">
        <v>4849.3</v>
      </c>
      <c r="H122" t="str">
        <f>"HAULING EXPS 11/18-11/27/PCT#4"</f>
        <v>HAULING EXPS 11/18-11/27/PCT#4</v>
      </c>
    </row>
    <row r="123" spans="1:8" x14ac:dyDescent="0.25">
      <c r="A123" t="s">
        <v>42</v>
      </c>
      <c r="B123">
        <v>1905</v>
      </c>
      <c r="C123" s="2">
        <v>15007.73</v>
      </c>
      <c r="D123" s="1">
        <v>43823</v>
      </c>
      <c r="E123" t="str">
        <f>"201912164128"</f>
        <v>201912164128</v>
      </c>
      <c r="F123" t="str">
        <f>"HAULING/PCT#4"</f>
        <v>HAULING/PCT#4</v>
      </c>
      <c r="G123" s="2">
        <v>6545.5</v>
      </c>
      <c r="H123" t="str">
        <f>"HAULING/PCT#4"</f>
        <v>HAULING/PCT#4</v>
      </c>
    </row>
    <row r="124" spans="1:8" x14ac:dyDescent="0.25">
      <c r="E124" t="str">
        <f>"201912164129"</f>
        <v>201912164129</v>
      </c>
      <c r="F124" t="str">
        <f>"HAULING/PCT#4"</f>
        <v>HAULING/PCT#4</v>
      </c>
      <c r="G124" s="2">
        <v>8462.23</v>
      </c>
      <c r="H124" t="str">
        <f>"HAULING/PCT#4"</f>
        <v>HAULING/PCT#4</v>
      </c>
    </row>
    <row r="125" spans="1:8" x14ac:dyDescent="0.25">
      <c r="A125" t="s">
        <v>43</v>
      </c>
      <c r="B125">
        <v>1854</v>
      </c>
      <c r="C125" s="2">
        <v>3051.33</v>
      </c>
      <c r="D125" s="1">
        <v>43809</v>
      </c>
      <c r="E125" t="str">
        <f>"11HX-GDRG-PPL6"</f>
        <v>11HX-GDRG-PPL6</v>
      </c>
      <c r="F125" t="str">
        <f>"Utility Cart"</f>
        <v>Utility Cart</v>
      </c>
      <c r="G125" s="2">
        <v>240.4</v>
      </c>
      <c r="H125" t="str">
        <f>"Utility Cart"</f>
        <v>Utility Cart</v>
      </c>
    </row>
    <row r="126" spans="1:8" x14ac:dyDescent="0.25">
      <c r="E126" t="str">
        <f>"196L-X1D7-QNGL"</f>
        <v>196L-X1D7-QNGL</v>
      </c>
      <c r="F126" t="str">
        <f>"VESA MOUNT"</f>
        <v>VESA MOUNT</v>
      </c>
      <c r="G126" s="2">
        <v>37.53</v>
      </c>
      <c r="H126" t="str">
        <f>"VESA MOUNT"</f>
        <v>VESA MOUNT</v>
      </c>
    </row>
    <row r="127" spans="1:8" x14ac:dyDescent="0.25">
      <c r="E127" t="str">
        <f>""</f>
        <v/>
      </c>
      <c r="F127" t="str">
        <f>""</f>
        <v/>
      </c>
      <c r="H127" t="str">
        <f>"SHIPPING"</f>
        <v>SHIPPING</v>
      </c>
    </row>
    <row r="128" spans="1:8" x14ac:dyDescent="0.25">
      <c r="E128" t="str">
        <f>"1VCY-DNL6-VGVJ"</f>
        <v>1VCY-DNL6-VGVJ</v>
      </c>
      <c r="F128" t="str">
        <f>"Boots for Rachel"</f>
        <v>Boots for Rachel</v>
      </c>
      <c r="G128" s="2">
        <v>159.94999999999999</v>
      </c>
      <c r="H128" t="str">
        <f>"Boots for Rachel"</f>
        <v>Boots for Rachel</v>
      </c>
    </row>
    <row r="129" spans="1:8" x14ac:dyDescent="0.25">
      <c r="E129" t="str">
        <f>"1X3Y-FX9R-LNVV"</f>
        <v>1X3Y-FX9R-LNVV</v>
      </c>
      <c r="F129" t="str">
        <f>"Misc Parts for Maintenace"</f>
        <v>Misc Parts for Maintenace</v>
      </c>
      <c r="G129" s="2">
        <v>1230.24</v>
      </c>
      <c r="H129" t="str">
        <f>"Halide Lamp"</f>
        <v>Halide Lamp</v>
      </c>
    </row>
    <row r="130" spans="1:8" x14ac:dyDescent="0.25">
      <c r="E130" t="str">
        <f>""</f>
        <v/>
      </c>
      <c r="F130" t="str">
        <f>""</f>
        <v/>
      </c>
      <c r="H130" t="str">
        <f>"Sloan EBV-1022-A"</f>
        <v>Sloan EBV-1022-A</v>
      </c>
    </row>
    <row r="131" spans="1:8" x14ac:dyDescent="0.25">
      <c r="E131" t="str">
        <f>""</f>
        <v/>
      </c>
      <c r="F131" t="str">
        <f>""</f>
        <v/>
      </c>
      <c r="H131" t="str">
        <f>"O-Rings"</f>
        <v>O-Rings</v>
      </c>
    </row>
    <row r="132" spans="1:8" x14ac:dyDescent="0.25">
      <c r="E132" t="str">
        <f>""</f>
        <v/>
      </c>
      <c r="F132" t="str">
        <f>""</f>
        <v/>
      </c>
      <c r="H132" t="str">
        <f>"PLC Compact LED"</f>
        <v>PLC Compact LED</v>
      </c>
    </row>
    <row r="133" spans="1:8" x14ac:dyDescent="0.25">
      <c r="E133" t="str">
        <f>""</f>
        <v/>
      </c>
      <c r="F133" t="str">
        <f>""</f>
        <v/>
      </c>
      <c r="H133" t="str">
        <f>"TriPod"</f>
        <v>TriPod</v>
      </c>
    </row>
    <row r="134" spans="1:8" x14ac:dyDescent="0.25">
      <c r="E134" t="str">
        <f>""</f>
        <v/>
      </c>
      <c r="F134" t="str">
        <f>""</f>
        <v/>
      </c>
      <c r="H134" t="str">
        <f>"Phottex"</f>
        <v>Phottex</v>
      </c>
    </row>
    <row r="135" spans="1:8" x14ac:dyDescent="0.25">
      <c r="E135" t="str">
        <f>"1XX7-9XQM-NKCG"</f>
        <v>1XX7-9XQM-NKCG</v>
      </c>
      <c r="F135" t="str">
        <f>"DOT Z1 &amp; Keyboard"</f>
        <v>DOT Z1 &amp; Keyboard</v>
      </c>
      <c r="G135" s="2">
        <v>1383.21</v>
      </c>
      <c r="H135" t="str">
        <f>"MK270 Wireless Keybo"</f>
        <v>MK270 Wireless Keybo</v>
      </c>
    </row>
    <row r="136" spans="1:8" x14ac:dyDescent="0.25">
      <c r="E136" t="str">
        <f>""</f>
        <v/>
      </c>
      <c r="F136" t="str">
        <f>""</f>
        <v/>
      </c>
      <c r="H136" t="str">
        <f>"Shipping"</f>
        <v>Shipping</v>
      </c>
    </row>
    <row r="137" spans="1:8" x14ac:dyDescent="0.25">
      <c r="E137" t="str">
        <f>""</f>
        <v/>
      </c>
      <c r="F137" t="str">
        <f>""</f>
        <v/>
      </c>
      <c r="H137" t="str">
        <f>"DOT Z1"</f>
        <v>DOT Z1</v>
      </c>
    </row>
    <row r="138" spans="1:8" x14ac:dyDescent="0.25">
      <c r="E138" t="str">
        <f>""</f>
        <v/>
      </c>
      <c r="F138" t="str">
        <f>""</f>
        <v/>
      </c>
      <c r="H138" t="str">
        <f>"Shipping"</f>
        <v>Shipping</v>
      </c>
    </row>
    <row r="139" spans="1:8" x14ac:dyDescent="0.25">
      <c r="A139" t="s">
        <v>43</v>
      </c>
      <c r="B139">
        <v>1926</v>
      </c>
      <c r="C139" s="2">
        <v>4619.04</v>
      </c>
      <c r="D139" s="1">
        <v>43823</v>
      </c>
      <c r="E139" t="str">
        <f>"11QL-Y9Q-Q3WJ"</f>
        <v>11QL-Y9Q-Q3WJ</v>
      </c>
      <c r="F139" t="str">
        <f>"Logitech Logi Focus Flexi"</f>
        <v>Logitech Logi Focus Flexi</v>
      </c>
      <c r="G139" s="2">
        <v>26.99</v>
      </c>
      <c r="H139" t="str">
        <f>"Logitech Logi Focus"</f>
        <v>Logitech Logi Focus</v>
      </c>
    </row>
    <row r="140" spans="1:8" x14ac:dyDescent="0.25">
      <c r="E140" t="str">
        <f>""</f>
        <v/>
      </c>
      <c r="F140" t="str">
        <f>""</f>
        <v/>
      </c>
      <c r="H140" t="str">
        <f>"Discount"</f>
        <v>Discount</v>
      </c>
    </row>
    <row r="141" spans="1:8" x14ac:dyDescent="0.25">
      <c r="E141" t="str">
        <f>"11V9-QV9R-6XHN"</f>
        <v>11V9-QV9R-6XHN</v>
      </c>
      <c r="F141" t="str">
        <f>"Desk Risers"</f>
        <v>Desk Risers</v>
      </c>
      <c r="G141" s="2">
        <v>559.98</v>
      </c>
      <c r="H141" t="str">
        <f>"FlexiSpot M2B Standi"</f>
        <v>FlexiSpot M2B Standi</v>
      </c>
    </row>
    <row r="142" spans="1:8" x14ac:dyDescent="0.25">
      <c r="E142" t="str">
        <f>"14M6-VPDT-YKN4"</f>
        <v>14M6-VPDT-YKN4</v>
      </c>
      <c r="F142" t="str">
        <f>"Desk Order"</f>
        <v>Desk Order</v>
      </c>
      <c r="G142" s="2">
        <v>2244.02</v>
      </c>
      <c r="H142" t="str">
        <f>"Desk Order"</f>
        <v>Desk Order</v>
      </c>
    </row>
    <row r="143" spans="1:8" x14ac:dyDescent="0.25">
      <c r="E143" t="str">
        <f>"17G1-NQMV-J3J7"</f>
        <v>17G1-NQMV-J3J7</v>
      </c>
      <c r="F143" t="str">
        <f>"Office Chair"</f>
        <v>Office Chair</v>
      </c>
      <c r="G143" s="2">
        <v>262</v>
      </c>
      <c r="H143" t="str">
        <f>"Lay-Z Boy"</f>
        <v>Lay-Z Boy</v>
      </c>
    </row>
    <row r="144" spans="1:8" x14ac:dyDescent="0.25">
      <c r="E144" t="str">
        <f>"1DKR-77L9-TFQH"</f>
        <v>1DKR-77L9-TFQH</v>
      </c>
      <c r="F144" t="str">
        <f>"BCAS Cat Carriers"</f>
        <v>BCAS Cat Carriers</v>
      </c>
      <c r="G144" s="2">
        <v>164</v>
      </c>
      <c r="H144" t="str">
        <f>"BCAS Cat Carriers"</f>
        <v>BCAS Cat Carriers</v>
      </c>
    </row>
    <row r="145" spans="1:8" x14ac:dyDescent="0.25">
      <c r="E145" t="str">
        <f>"1GXM-TPYQ-QK37"</f>
        <v>1GXM-TPYQ-QK37</v>
      </c>
      <c r="F145" t="str">
        <f>"CupFone"</f>
        <v>CupFone</v>
      </c>
      <c r="G145" s="2">
        <v>105.9</v>
      </c>
      <c r="H145" t="str">
        <f>"CupFone"</f>
        <v>CupFone</v>
      </c>
    </row>
    <row r="146" spans="1:8" x14ac:dyDescent="0.25">
      <c r="E146" t="str">
        <f>"1P4L-HJ17-TXLK"</f>
        <v>1P4L-HJ17-TXLK</v>
      </c>
      <c r="F146" t="str">
        <f>"ARB Compressor"</f>
        <v>ARB Compressor</v>
      </c>
      <c r="G146" s="2">
        <v>1084.46</v>
      </c>
      <c r="H146" t="str">
        <f>"ARB CKMTA12 '12V' On"</f>
        <v>ARB CKMTA12 '12V' On</v>
      </c>
    </row>
    <row r="147" spans="1:8" x14ac:dyDescent="0.25">
      <c r="E147" t="str">
        <f>"1WFG-JLLL-T6PV"</f>
        <v>1WFG-JLLL-T6PV</v>
      </c>
      <c r="F147" t="str">
        <f>"AMAZON CAPITAL SERVICES INC"</f>
        <v>AMAZON CAPITAL SERVICES INC</v>
      </c>
      <c r="G147" s="2">
        <v>96.99</v>
      </c>
      <c r="H147" t="str">
        <f>"Adjustable Desk"</f>
        <v>Adjustable Desk</v>
      </c>
    </row>
    <row r="148" spans="1:8" x14ac:dyDescent="0.25">
      <c r="E148" t="str">
        <f>"1YD6-J3C3-H4CH"</f>
        <v>1YD6-J3C3-H4CH</v>
      </c>
      <c r="F148" t="str">
        <f>"Spigot"</f>
        <v>Spigot</v>
      </c>
      <c r="G148" s="2">
        <v>74.7</v>
      </c>
      <c r="H148" t="str">
        <f>"Spigot (Fits All IGL"</f>
        <v>Spigot (Fits All IGL</v>
      </c>
    </row>
    <row r="149" spans="1:8" x14ac:dyDescent="0.25">
      <c r="A149" t="s">
        <v>44</v>
      </c>
      <c r="B149">
        <v>130137</v>
      </c>
      <c r="C149" s="2">
        <v>89.9</v>
      </c>
      <c r="D149" s="1">
        <v>43822</v>
      </c>
      <c r="E149" t="str">
        <f>"201912113899"</f>
        <v>201912113899</v>
      </c>
      <c r="F149" t="str">
        <f>"REIMBURSE MILEAGE"</f>
        <v>REIMBURSE MILEAGE</v>
      </c>
      <c r="G149" s="2">
        <v>89.9</v>
      </c>
      <c r="H149" t="str">
        <f>"REIMBURSE MILEAGE"</f>
        <v>REIMBURSE MILEAGE</v>
      </c>
    </row>
    <row r="150" spans="1:8" x14ac:dyDescent="0.25">
      <c r="A150" t="s">
        <v>45</v>
      </c>
      <c r="B150">
        <v>129905</v>
      </c>
      <c r="C150" s="2">
        <v>96.9</v>
      </c>
      <c r="D150" s="1">
        <v>43802</v>
      </c>
      <c r="E150" t="str">
        <f>"201912033696"</f>
        <v>201912033696</v>
      </c>
      <c r="F150" t="str">
        <f>"STEPHANIE LEE - NOTARY"</f>
        <v>STEPHANIE LEE - NOTARY</v>
      </c>
      <c r="G150" s="2">
        <v>96.9</v>
      </c>
      <c r="H150" t="str">
        <f>"STEPHANIE LEE - NOTARY"</f>
        <v>STEPHANIE LEE - NOTARY</v>
      </c>
    </row>
    <row r="151" spans="1:8" x14ac:dyDescent="0.25">
      <c r="A151" t="s">
        <v>46</v>
      </c>
      <c r="B151">
        <v>129921</v>
      </c>
      <c r="C151" s="2">
        <v>3412.61</v>
      </c>
      <c r="D151" s="1">
        <v>43808</v>
      </c>
      <c r="E151" t="str">
        <f>"963038809"</f>
        <v>963038809</v>
      </c>
      <c r="F151" t="str">
        <f>"INV 963038809"</f>
        <v>INV 963038809</v>
      </c>
      <c r="G151" s="2">
        <v>3412.61</v>
      </c>
      <c r="H151" t="str">
        <f>"INV 963038809"</f>
        <v>INV 963038809</v>
      </c>
    </row>
    <row r="152" spans="1:8" x14ac:dyDescent="0.25">
      <c r="A152" t="s">
        <v>47</v>
      </c>
      <c r="B152">
        <v>1891</v>
      </c>
      <c r="C152" s="2">
        <v>800</v>
      </c>
      <c r="D152" s="1">
        <v>43809</v>
      </c>
      <c r="E152" t="str">
        <f>"201911273535"</f>
        <v>201911273535</v>
      </c>
      <c r="F152" t="str">
        <f>"1347-21"</f>
        <v>1347-21</v>
      </c>
      <c r="G152" s="2">
        <v>100</v>
      </c>
      <c r="H152" t="str">
        <f>"1347-21"</f>
        <v>1347-21</v>
      </c>
    </row>
    <row r="153" spans="1:8" x14ac:dyDescent="0.25">
      <c r="E153" t="str">
        <f>"201911273536"</f>
        <v>201911273536</v>
      </c>
      <c r="F153" t="str">
        <f>"16 876"</f>
        <v>16 876</v>
      </c>
      <c r="G153" s="2">
        <v>400</v>
      </c>
      <c r="H153" t="str">
        <f>"16 876"</f>
        <v>16 876</v>
      </c>
    </row>
    <row r="154" spans="1:8" x14ac:dyDescent="0.25">
      <c r="E154" t="str">
        <f>"201911273537"</f>
        <v>201911273537</v>
      </c>
      <c r="F154" t="str">
        <f>"1346-21"</f>
        <v>1346-21</v>
      </c>
      <c r="G154" s="2">
        <v>100</v>
      </c>
      <c r="H154" t="str">
        <f>"1346-21"</f>
        <v>1346-21</v>
      </c>
    </row>
    <row r="155" spans="1:8" x14ac:dyDescent="0.25">
      <c r="E155" t="str">
        <f>"201911273538"</f>
        <v>201911273538</v>
      </c>
      <c r="F155" t="str">
        <f>"1353-21  423-6942"</f>
        <v>1353-21  423-6942</v>
      </c>
      <c r="G155" s="2">
        <v>200</v>
      </c>
      <c r="H155" t="str">
        <f>"1353-21  423-6942"</f>
        <v>1353-21  423-6942</v>
      </c>
    </row>
    <row r="156" spans="1:8" x14ac:dyDescent="0.25">
      <c r="A156" t="s">
        <v>47</v>
      </c>
      <c r="B156">
        <v>1963</v>
      </c>
      <c r="C156" s="2">
        <v>3840</v>
      </c>
      <c r="D156" s="1">
        <v>43823</v>
      </c>
      <c r="E156" t="str">
        <f>"201912103871"</f>
        <v>201912103871</v>
      </c>
      <c r="F156" t="str">
        <f>"16 819  17 052"</f>
        <v>16 819  17 052</v>
      </c>
      <c r="G156" s="2">
        <v>600</v>
      </c>
      <c r="H156" t="str">
        <f>"16 819  17 052"</f>
        <v>16 819  17 052</v>
      </c>
    </row>
    <row r="157" spans="1:8" x14ac:dyDescent="0.25">
      <c r="E157" t="str">
        <f>"201912123975"</f>
        <v>201912123975</v>
      </c>
      <c r="F157" t="str">
        <f>"16 929"</f>
        <v>16 929</v>
      </c>
      <c r="G157" s="2">
        <v>400</v>
      </c>
      <c r="H157" t="str">
        <f>"16 929"</f>
        <v>16 929</v>
      </c>
    </row>
    <row r="158" spans="1:8" x14ac:dyDescent="0.25">
      <c r="E158" t="str">
        <f>"201912174157"</f>
        <v>201912174157</v>
      </c>
      <c r="F158" t="str">
        <f>"402128-5"</f>
        <v>402128-5</v>
      </c>
      <c r="G158" s="2">
        <v>250</v>
      </c>
      <c r="H158" t="str">
        <f>"402128-5"</f>
        <v>402128-5</v>
      </c>
    </row>
    <row r="159" spans="1:8" x14ac:dyDescent="0.25">
      <c r="E159" t="str">
        <f>"201912174158"</f>
        <v>201912174158</v>
      </c>
      <c r="F159" t="str">
        <f>"AC*2018*0406A/B"</f>
        <v>AC*2018*0406A/B</v>
      </c>
      <c r="G159" s="2">
        <v>375</v>
      </c>
      <c r="H159" t="str">
        <f>"AC*2018*0406A/B"</f>
        <v>AC*2018*0406A/B</v>
      </c>
    </row>
    <row r="160" spans="1:8" x14ac:dyDescent="0.25">
      <c r="E160" t="str">
        <f>"201912174198"</f>
        <v>201912174198</v>
      </c>
      <c r="F160" t="str">
        <f>"19-19857"</f>
        <v>19-19857</v>
      </c>
      <c r="G160" s="2">
        <v>197.5</v>
      </c>
      <c r="H160" t="str">
        <f>"19-19857"</f>
        <v>19-19857</v>
      </c>
    </row>
    <row r="161" spans="1:8" x14ac:dyDescent="0.25">
      <c r="E161" t="str">
        <f>"201912174199"</f>
        <v>201912174199</v>
      </c>
      <c r="F161" t="str">
        <f>"16-17978"</f>
        <v>16-17978</v>
      </c>
      <c r="G161" s="2">
        <v>272.5</v>
      </c>
      <c r="H161" t="str">
        <f>"16-17978"</f>
        <v>16-17978</v>
      </c>
    </row>
    <row r="162" spans="1:8" x14ac:dyDescent="0.25">
      <c r="E162" t="str">
        <f>"201912174200"</f>
        <v>201912174200</v>
      </c>
      <c r="F162" t="str">
        <f>"19-19684"</f>
        <v>19-19684</v>
      </c>
      <c r="G162" s="2">
        <v>100</v>
      </c>
      <c r="H162" t="str">
        <f>"19-19684"</f>
        <v>19-19684</v>
      </c>
    </row>
    <row r="163" spans="1:8" x14ac:dyDescent="0.25">
      <c r="E163" t="str">
        <f>"201912174201"</f>
        <v>201912174201</v>
      </c>
      <c r="F163" t="str">
        <f>"19-19893"</f>
        <v>19-19893</v>
      </c>
      <c r="G163" s="2">
        <v>430</v>
      </c>
      <c r="H163" t="str">
        <f>"19-19893"</f>
        <v>19-19893</v>
      </c>
    </row>
    <row r="164" spans="1:8" x14ac:dyDescent="0.25">
      <c r="E164" t="str">
        <f>"201912174202"</f>
        <v>201912174202</v>
      </c>
      <c r="F164" t="str">
        <f>"19-19914"</f>
        <v>19-19914</v>
      </c>
      <c r="G164" s="2">
        <v>582.5</v>
      </c>
      <c r="H164" t="str">
        <f>"19-19914"</f>
        <v>19-19914</v>
      </c>
    </row>
    <row r="165" spans="1:8" x14ac:dyDescent="0.25">
      <c r="E165" t="str">
        <f>"201912174203"</f>
        <v>201912174203</v>
      </c>
      <c r="F165" t="str">
        <f>"15-17399"</f>
        <v>15-17399</v>
      </c>
      <c r="G165" s="2">
        <v>632.5</v>
      </c>
      <c r="H165" t="str">
        <f>"15-17399"</f>
        <v>15-17399</v>
      </c>
    </row>
    <row r="166" spans="1:8" x14ac:dyDescent="0.25">
      <c r="A166" t="s">
        <v>48</v>
      </c>
      <c r="B166">
        <v>130138</v>
      </c>
      <c r="C166" s="2">
        <v>1777.64</v>
      </c>
      <c r="D166" s="1">
        <v>43822</v>
      </c>
      <c r="E166" t="str">
        <f>"43T051867"</f>
        <v>43T051867</v>
      </c>
      <c r="F166" t="str">
        <f>"INV 43T051867"</f>
        <v>INV 43T051867</v>
      </c>
      <c r="G166" s="2">
        <v>516</v>
      </c>
      <c r="H166" t="str">
        <f>"INV 43T051867"</f>
        <v>INV 43T051867</v>
      </c>
    </row>
    <row r="167" spans="1:8" x14ac:dyDescent="0.25">
      <c r="E167" t="str">
        <f>"504108299"</f>
        <v>504108299</v>
      </c>
      <c r="F167" t="str">
        <f>"Panduit Cat 6 Cables"</f>
        <v>Panduit Cat 6 Cables</v>
      </c>
      <c r="G167" s="2">
        <v>1261.6400000000001</v>
      </c>
      <c r="H167" t="str">
        <f>"MM05-PA7P-06"</f>
        <v>MM05-PA7P-06</v>
      </c>
    </row>
    <row r="168" spans="1:8" x14ac:dyDescent="0.25">
      <c r="E168" t="str">
        <f>""</f>
        <v/>
      </c>
      <c r="F168" t="str">
        <f>""</f>
        <v/>
      </c>
      <c r="H168" t="str">
        <f>"MM07-PA7P-06"</f>
        <v>MM07-PA7P-06</v>
      </c>
    </row>
    <row r="169" spans="1:8" x14ac:dyDescent="0.25">
      <c r="E169" t="str">
        <f>""</f>
        <v/>
      </c>
      <c r="F169" t="str">
        <f>""</f>
        <v/>
      </c>
      <c r="H169" t="str">
        <f>"MM10-PA7P-06"</f>
        <v>MM10-PA7P-06</v>
      </c>
    </row>
    <row r="170" spans="1:8" x14ac:dyDescent="0.25">
      <c r="E170" t="str">
        <f>""</f>
        <v/>
      </c>
      <c r="F170" t="str">
        <f>""</f>
        <v/>
      </c>
      <c r="H170" t="str">
        <f>"MM15-PA7P-06"</f>
        <v>MM15-PA7P-06</v>
      </c>
    </row>
    <row r="171" spans="1:8" x14ac:dyDescent="0.25">
      <c r="E171" t="str">
        <f>""</f>
        <v/>
      </c>
      <c r="F171" t="str">
        <f>""</f>
        <v/>
      </c>
      <c r="H171" t="str">
        <f>"MM25-PA7P-06"</f>
        <v>MM25-PA7P-06</v>
      </c>
    </row>
    <row r="172" spans="1:8" x14ac:dyDescent="0.25">
      <c r="E172" t="str">
        <f>""</f>
        <v/>
      </c>
      <c r="F172" t="str">
        <f>""</f>
        <v/>
      </c>
      <c r="H172" t="str">
        <f>"14ZZZ-FREIGHT"</f>
        <v>14ZZZ-FREIGHT</v>
      </c>
    </row>
    <row r="173" spans="1:8" x14ac:dyDescent="0.25">
      <c r="A173" t="s">
        <v>49</v>
      </c>
      <c r="B173">
        <v>129922</v>
      </c>
      <c r="C173" s="2">
        <v>49.15</v>
      </c>
      <c r="D173" s="1">
        <v>43808</v>
      </c>
      <c r="E173" t="str">
        <f>"1911-469225"</f>
        <v>1911-469225</v>
      </c>
      <c r="F173" t="str">
        <f>"ACCT#3-3053/PCT#2"</f>
        <v>ACCT#3-3053/PCT#2</v>
      </c>
      <c r="G173" s="2">
        <v>49.15</v>
      </c>
      <c r="H173" t="str">
        <f>"ACCT#3-3053/PCT#2"</f>
        <v>ACCT#3-3053/PCT#2</v>
      </c>
    </row>
    <row r="174" spans="1:8" x14ac:dyDescent="0.25">
      <c r="A174" t="s">
        <v>50</v>
      </c>
      <c r="B174">
        <v>129923</v>
      </c>
      <c r="C174" s="2">
        <v>743.68</v>
      </c>
      <c r="D174" s="1">
        <v>43808</v>
      </c>
      <c r="E174" t="str">
        <f>"201912033669"</f>
        <v>201912033669</v>
      </c>
      <c r="F174" t="str">
        <f>"ACCT#010311/COUNTY CT AT LAW"</f>
        <v>ACCT#010311/COUNTY CT AT LAW</v>
      </c>
      <c r="G174" s="2">
        <v>26</v>
      </c>
      <c r="H174" t="str">
        <f>"ACCT#010311/COUNTY CT AT LAW"</f>
        <v>ACCT#010311/COUNTY CT AT LAW</v>
      </c>
    </row>
    <row r="175" spans="1:8" x14ac:dyDescent="0.25">
      <c r="E175" t="str">
        <f>"201912033670"</f>
        <v>201912033670</v>
      </c>
      <c r="F175" t="str">
        <f>"ACCT#011033/IT DEPT"</f>
        <v>ACCT#011033/IT DEPT</v>
      </c>
      <c r="G175" s="2">
        <v>69</v>
      </c>
      <c r="H175" t="str">
        <f>"ACCT#011033/IT DEPT"</f>
        <v>ACCT#011033/IT DEPT</v>
      </c>
    </row>
    <row r="176" spans="1:8" x14ac:dyDescent="0.25">
      <c r="E176" t="str">
        <f>"201912033671"</f>
        <v>201912033671</v>
      </c>
      <c r="F176" t="str">
        <f>"ACCT#011280/COUNTY CLERK"</f>
        <v>ACCT#011280/COUNTY CLERK</v>
      </c>
      <c r="G176" s="2">
        <v>46.5</v>
      </c>
      <c r="H176" t="str">
        <f>"ACCT#011280/COUNTY CLERK"</f>
        <v>ACCT#011280/COUNTY CLERK</v>
      </c>
    </row>
    <row r="177" spans="1:8" x14ac:dyDescent="0.25">
      <c r="E177" t="str">
        <f>"201912033672"</f>
        <v>201912033672</v>
      </c>
      <c r="F177" t="str">
        <f>"ACCT#012231/DIST JUDGE OFFICE"</f>
        <v>ACCT#012231/DIST JUDGE OFFICE</v>
      </c>
      <c r="G177" s="2">
        <v>10</v>
      </c>
      <c r="H177" t="str">
        <f>"ACCT#012231/DIST JUDGE OFFICE"</f>
        <v>ACCT#012231/DIST JUDGE OFFICE</v>
      </c>
    </row>
    <row r="178" spans="1:8" x14ac:dyDescent="0.25">
      <c r="E178" t="str">
        <f>"201912033673"</f>
        <v>201912033673</v>
      </c>
      <c r="F178" t="str">
        <f>"ACCT#015476/PURCHASING DEPT"</f>
        <v>ACCT#015476/PURCHASING DEPT</v>
      </c>
      <c r="G178" s="2">
        <v>7.48</v>
      </c>
      <c r="H178" t="str">
        <f>"ACCT#015476/PURCHASING DEPT"</f>
        <v>ACCT#015476/PURCHASING DEPT</v>
      </c>
    </row>
    <row r="179" spans="1:8" x14ac:dyDescent="0.25">
      <c r="E179" t="str">
        <f>"201912033676"</f>
        <v>201912033676</v>
      </c>
      <c r="F179" t="str">
        <f>"ACCT#015199/JP #1"</f>
        <v>ACCT#015199/JP #1</v>
      </c>
      <c r="G179" s="2">
        <v>9</v>
      </c>
      <c r="H179" t="str">
        <f>"ACCT#015199/JP #1"</f>
        <v>ACCT#015199/JP #1</v>
      </c>
    </row>
    <row r="180" spans="1:8" x14ac:dyDescent="0.25">
      <c r="E180" t="str">
        <f>"201912033677"</f>
        <v>201912033677</v>
      </c>
      <c r="F180" t="str">
        <f>"ACCT#012259/DIST CLERK"</f>
        <v>ACCT#012259/DIST CLERK</v>
      </c>
      <c r="G180" s="2">
        <v>159</v>
      </c>
      <c r="H180" t="str">
        <f>"ACCT#012259/DIST CLERK"</f>
        <v>ACCT#012259/DIST CLERK</v>
      </c>
    </row>
    <row r="181" spans="1:8" x14ac:dyDescent="0.25">
      <c r="E181" t="str">
        <f>"201912033678"</f>
        <v>201912033678</v>
      </c>
      <c r="F181" t="str">
        <f>"ACCT#010835/COMMISSIONERS P1"</f>
        <v>ACCT#010835/COMMISSIONERS P1</v>
      </c>
      <c r="G181" s="2">
        <v>9</v>
      </c>
      <c r="H181" t="str">
        <f>"ACCT#010835/COMMISSIONERS P1"</f>
        <v>ACCT#010835/COMMISSIONERS P1</v>
      </c>
    </row>
    <row r="182" spans="1:8" x14ac:dyDescent="0.25">
      <c r="E182" t="str">
        <f>"201912033683"</f>
        <v>201912033683</v>
      </c>
      <c r="F182" t="str">
        <f>"ACCT#010238/GENERAL SVCS"</f>
        <v>ACCT#010238/GENERAL SVCS</v>
      </c>
      <c r="G182" s="2">
        <v>60.98</v>
      </c>
      <c r="H182" t="str">
        <f>"ACCT#010238/GENERAL SVCS"</f>
        <v>ACCT#010238/GENERAL SVCS</v>
      </c>
    </row>
    <row r="183" spans="1:8" x14ac:dyDescent="0.25">
      <c r="E183" t="str">
        <f>"201912033684"</f>
        <v>201912033684</v>
      </c>
      <c r="F183" t="str">
        <f>"ACCT#010057/AUDITOR"</f>
        <v>ACCT#010057/AUDITOR</v>
      </c>
      <c r="G183" s="2">
        <v>9</v>
      </c>
      <c r="H183" t="str">
        <f>"ACCT#010057/AUDITOR"</f>
        <v>ACCT#010057/AUDITOR</v>
      </c>
    </row>
    <row r="184" spans="1:8" x14ac:dyDescent="0.25">
      <c r="E184" t="str">
        <f>"201912033687"</f>
        <v>201912033687</v>
      </c>
      <c r="F184" t="str">
        <f>"ACCT#012803/BASTROP CO JUDGE"</f>
        <v>ACCT#012803/BASTROP CO JUDGE</v>
      </c>
      <c r="G184" s="2">
        <v>9</v>
      </c>
      <c r="H184" t="str">
        <f>"ACCT#012803/BASTROP CO JUDGE"</f>
        <v>ACCT#012803/BASTROP CO JUDGE</v>
      </c>
    </row>
    <row r="185" spans="1:8" x14ac:dyDescent="0.25">
      <c r="E185" t="str">
        <f>"201912033688"</f>
        <v>201912033688</v>
      </c>
      <c r="F185" t="str">
        <f>"ACCT#014877/INDIGENT HEALTH"</f>
        <v>ACCT#014877/INDIGENT HEALTH</v>
      </c>
      <c r="G185" s="2">
        <v>34.49</v>
      </c>
      <c r="H185" t="str">
        <f>"ACCT#014877/INDIGENT HEALTH"</f>
        <v>ACCT#014877/INDIGENT HEALTH</v>
      </c>
    </row>
    <row r="186" spans="1:8" x14ac:dyDescent="0.25">
      <c r="E186" t="str">
        <f>"201912033689"</f>
        <v>201912033689</v>
      </c>
      <c r="F186" t="str">
        <f>"ACCT#012260/DIST ATTNY"</f>
        <v>ACCT#012260/DIST ATTNY</v>
      </c>
      <c r="G186" s="2">
        <v>78</v>
      </c>
      <c r="H186" t="str">
        <f>"ACCT#012260/DIST ATTNY"</f>
        <v>ACCT#012260/DIST ATTNY</v>
      </c>
    </row>
    <row r="187" spans="1:8" x14ac:dyDescent="0.25">
      <c r="E187" t="str">
        <f>"201912033691"</f>
        <v>201912033691</v>
      </c>
      <c r="F187" t="str">
        <f>"ACCT#010602/COMMISSIONER OFFIC"</f>
        <v>ACCT#010602/COMMISSIONER OFFIC</v>
      </c>
      <c r="G187" s="2">
        <v>46.5</v>
      </c>
      <c r="H187" t="str">
        <f>"ACCT#010602/COMMISSIONER OFFIC"</f>
        <v>ACCT#010602/COMMISSIONER OFFIC</v>
      </c>
    </row>
    <row r="188" spans="1:8" x14ac:dyDescent="0.25">
      <c r="E188" t="str">
        <f>"201912033726"</f>
        <v>201912033726</v>
      </c>
      <c r="F188" t="str">
        <f>"ACCT#011955/DIST JUDGE"</f>
        <v>ACCT#011955/DIST JUDGE</v>
      </c>
      <c r="G188" s="2">
        <v>69</v>
      </c>
      <c r="H188" t="str">
        <f>"ACCT#011955/DIST JUDGE"</f>
        <v>ACCT#011955/DIST JUDGE</v>
      </c>
    </row>
    <row r="189" spans="1:8" x14ac:dyDescent="0.25">
      <c r="E189" t="str">
        <f>"201912033727"</f>
        <v>201912033727</v>
      </c>
      <c r="F189" t="str">
        <f>"ACCT#013393/HUMAN RESOURCES"</f>
        <v>ACCT#013393/HUMAN RESOURCES</v>
      </c>
      <c r="G189" s="2">
        <v>25</v>
      </c>
      <c r="H189" t="str">
        <f>"ACCT#013393/HUMAN RESOURCES"</f>
        <v>ACCT#013393/HUMAN RESOURCES</v>
      </c>
    </row>
    <row r="190" spans="1:8" x14ac:dyDescent="0.25">
      <c r="E190" t="str">
        <f>"201912033739"</f>
        <v>201912033739</v>
      </c>
      <c r="F190" t="str">
        <f>"ACCT#010149/AGRI LIVE EXT"</f>
        <v>ACCT#010149/AGRI LIVE EXT</v>
      </c>
      <c r="G190" s="2">
        <v>20.74</v>
      </c>
      <c r="H190" t="str">
        <f>"ACCT#010149/AGRI LIVE EXT"</f>
        <v>ACCT#010149/AGRI LIVE EXT</v>
      </c>
    </row>
    <row r="191" spans="1:8" x14ac:dyDescent="0.25">
      <c r="E191" t="str">
        <f>"201912033740"</f>
        <v>201912033740</v>
      </c>
      <c r="F191" t="str">
        <f>"ACCT#014737/ANIMAL SERVICE"</f>
        <v>ACCT#014737/ANIMAL SERVICE</v>
      </c>
      <c r="G191" s="2">
        <v>54.99</v>
      </c>
      <c r="H191" t="str">
        <f>"ACCT#014737/ANIMAL SERVICE"</f>
        <v>ACCT#014737/ANIMAL SERVICE</v>
      </c>
    </row>
    <row r="192" spans="1:8" x14ac:dyDescent="0.25">
      <c r="A192" t="s">
        <v>51</v>
      </c>
      <c r="B192">
        <v>129906</v>
      </c>
      <c r="C192" s="2">
        <v>57.14</v>
      </c>
      <c r="D192" s="1">
        <v>43802</v>
      </c>
      <c r="E192" t="str">
        <f>"201912033700"</f>
        <v>201912033700</v>
      </c>
      <c r="F192" t="str">
        <f>"ACCT#0201855301 / 12052019"</f>
        <v>ACCT#0201855301 / 12052019</v>
      </c>
      <c r="G192" s="2">
        <v>31.86</v>
      </c>
      <c r="H192" t="str">
        <f>"ACCT#0201855301 / 12052019"</f>
        <v>ACCT#0201855301 / 12052019</v>
      </c>
    </row>
    <row r="193" spans="1:8" x14ac:dyDescent="0.25">
      <c r="E193" t="str">
        <f>"201912033701"</f>
        <v>201912033701</v>
      </c>
      <c r="F193" t="str">
        <f>"ACCT#0201891401 / 12052019"</f>
        <v>ACCT#0201891401 / 12052019</v>
      </c>
      <c r="G193" s="2">
        <v>25.28</v>
      </c>
      <c r="H193" t="str">
        <f>"ACCT#0201891401 / 12052019"</f>
        <v>ACCT#0201891401 / 12052019</v>
      </c>
    </row>
    <row r="194" spans="1:8" x14ac:dyDescent="0.25">
      <c r="A194" t="s">
        <v>51</v>
      </c>
      <c r="B194">
        <v>130129</v>
      </c>
      <c r="C194" s="2">
        <v>1005.44</v>
      </c>
      <c r="D194" s="1">
        <v>43815</v>
      </c>
      <c r="E194" t="str">
        <f>"201912164122"</f>
        <v>201912164122</v>
      </c>
      <c r="F194" t="str">
        <f>"ACCT#0102120801 / 12202019"</f>
        <v>ACCT#0102120801 / 12202019</v>
      </c>
      <c r="G194" s="2">
        <v>132.03</v>
      </c>
      <c r="H194" t="str">
        <f>"ACCT#0102120801 / 12202019"</f>
        <v>ACCT#0102120801 / 12202019</v>
      </c>
    </row>
    <row r="195" spans="1:8" x14ac:dyDescent="0.25">
      <c r="E195" t="str">
        <f>"201912164123"</f>
        <v>201912164123</v>
      </c>
      <c r="F195" t="str">
        <f>"ACCT#0400785803 / 12202019"</f>
        <v>ACCT#0400785803 / 12202019</v>
      </c>
      <c r="G195" s="2">
        <v>140.07</v>
      </c>
      <c r="H195" t="str">
        <f>"ACCT#0400785803 / 12202019"</f>
        <v>ACCT#0400785803 / 12202019</v>
      </c>
    </row>
    <row r="196" spans="1:8" x14ac:dyDescent="0.25">
      <c r="E196" t="str">
        <f>"201912164124"</f>
        <v>201912164124</v>
      </c>
      <c r="F196" t="str">
        <f>"ACCT#0401408501 / 12202019"</f>
        <v>ACCT#0401408501 / 12202019</v>
      </c>
      <c r="G196" s="2">
        <v>666.54</v>
      </c>
      <c r="H196" t="str">
        <f>"ACCT#0401408501 / 12202019"</f>
        <v>ACCT#0401408501 / 12202019</v>
      </c>
    </row>
    <row r="197" spans="1:8" x14ac:dyDescent="0.25">
      <c r="E197" t="str">
        <f>"201912164125"</f>
        <v>201912164125</v>
      </c>
      <c r="F197" t="str">
        <f>"ACCT#0800042801 / 12202019"</f>
        <v>ACCT#0800042801 / 12202019</v>
      </c>
      <c r="G197" s="2">
        <v>39.979999999999997</v>
      </c>
      <c r="H197" t="str">
        <f>"ACCT#0800042801 / 12202019"</f>
        <v>ACCT#0800042801 / 12202019</v>
      </c>
    </row>
    <row r="198" spans="1:8" x14ac:dyDescent="0.25">
      <c r="E198" t="str">
        <f>"201912164126"</f>
        <v>201912164126</v>
      </c>
      <c r="F198" t="str">
        <f>"ACCT#0802361501 / 12202019"</f>
        <v>ACCT#0802361501 / 12202019</v>
      </c>
      <c r="G198" s="2">
        <v>26.82</v>
      </c>
      <c r="H198" t="str">
        <f>"ACCT#0802361501 / 12202019"</f>
        <v>ACCT#0802361501 / 12202019</v>
      </c>
    </row>
    <row r="199" spans="1:8" x14ac:dyDescent="0.25">
      <c r="A199" t="s">
        <v>51</v>
      </c>
      <c r="B199">
        <v>130139</v>
      </c>
      <c r="C199" s="2">
        <v>974.26</v>
      </c>
      <c r="D199" s="1">
        <v>43822</v>
      </c>
      <c r="E199" t="str">
        <f>"201912113901"</f>
        <v>201912113901</v>
      </c>
      <c r="F199" t="str">
        <f>"ACCT#7700010025/30 LDS/PCT#2"</f>
        <v>ACCT#7700010025/30 LDS/PCT#2</v>
      </c>
      <c r="G199" s="2">
        <v>307.5</v>
      </c>
      <c r="H199" t="str">
        <f>"ACCT#7700010025/30 LDS/PCT#2"</f>
        <v>ACCT#7700010025/30 LDS/PCT#2</v>
      </c>
    </row>
    <row r="200" spans="1:8" x14ac:dyDescent="0.25">
      <c r="E200" t="str">
        <f>"201912113945"</f>
        <v>201912113945</v>
      </c>
      <c r="F200" t="str">
        <f>"ACCT#7700010027/15 LDS/PCT#4"</f>
        <v>ACCT#7700010027/15 LDS/PCT#4</v>
      </c>
      <c r="G200" s="2">
        <v>153.75</v>
      </c>
      <c r="H200" t="str">
        <f>"ACCT#7700010027/15 LDS/PCT#4"</f>
        <v>ACCT#7700010027/15 LDS/PCT#4</v>
      </c>
    </row>
    <row r="201" spans="1:8" x14ac:dyDescent="0.25">
      <c r="E201" t="str">
        <f>"201912123952"</f>
        <v>201912123952</v>
      </c>
      <c r="F201" t="str">
        <f>"ACCT#7700010026/40 LDS/PCT#3"</f>
        <v>ACCT#7700010026/40 LDS/PCT#3</v>
      </c>
      <c r="G201" s="2">
        <v>410</v>
      </c>
      <c r="H201" t="str">
        <f>"ACCT#7700010026/40 LDS/PCT#3"</f>
        <v>ACCT#7700010026/40 LDS/PCT#3</v>
      </c>
    </row>
    <row r="202" spans="1:8" x14ac:dyDescent="0.25">
      <c r="E202" t="str">
        <f>"201912164118"</f>
        <v>201912164118</v>
      </c>
      <c r="F202" t="str">
        <f>"ACCT#7700010019/FLUDH VALVE"</f>
        <v>ACCT#7700010019/FLUDH VALVE</v>
      </c>
      <c r="G202" s="2">
        <v>103.01</v>
      </c>
      <c r="H202" t="str">
        <f>"ACCT#7700010019/FLUDH VALVE"</f>
        <v>ACCT#7700010019/FLUDH VALVE</v>
      </c>
    </row>
    <row r="203" spans="1:8" x14ac:dyDescent="0.25">
      <c r="A203" t="s">
        <v>52</v>
      </c>
      <c r="B203">
        <v>129924</v>
      </c>
      <c r="C203" s="2">
        <v>290.02999999999997</v>
      </c>
      <c r="D203" s="1">
        <v>43808</v>
      </c>
      <c r="E203" t="str">
        <f>"201912033744"</f>
        <v>201912033744</v>
      </c>
      <c r="F203" t="str">
        <f>"JAIL MEDICAL"</f>
        <v>JAIL MEDICAL</v>
      </c>
      <c r="G203" s="2">
        <v>290.02999999999997</v>
      </c>
      <c r="H203" t="str">
        <f>"JAIL MEDICAL"</f>
        <v>JAIL MEDICAL</v>
      </c>
    </row>
    <row r="204" spans="1:8" x14ac:dyDescent="0.25">
      <c r="A204" t="s">
        <v>52</v>
      </c>
      <c r="B204">
        <v>130140</v>
      </c>
      <c r="C204" s="2">
        <v>456.55</v>
      </c>
      <c r="D204" s="1">
        <v>43822</v>
      </c>
      <c r="E204" t="str">
        <f>"4610*09011*1"</f>
        <v>4610*09011*1</v>
      </c>
      <c r="F204" t="str">
        <f>"JAIL MEDICAL"</f>
        <v>JAIL MEDICAL</v>
      </c>
      <c r="G204" s="2">
        <v>456.55</v>
      </c>
      <c r="H204" t="str">
        <f>"JAIL MEDICAL"</f>
        <v>JAIL MEDICAL</v>
      </c>
    </row>
    <row r="205" spans="1:8" x14ac:dyDescent="0.25">
      <c r="A205" t="s">
        <v>53</v>
      </c>
      <c r="B205">
        <v>1843</v>
      </c>
      <c r="C205" s="2">
        <v>14772.6</v>
      </c>
      <c r="D205" s="1">
        <v>43809</v>
      </c>
      <c r="E205" t="str">
        <f>"14956"</f>
        <v>14956</v>
      </c>
      <c r="F205" t="str">
        <f>"PROJ NAME:BC OCT PRO SERV"</f>
        <v>PROJ NAME:BC OCT PRO SERV</v>
      </c>
      <c r="G205" s="2">
        <v>1150</v>
      </c>
      <c r="H205" t="str">
        <f>"PROJ NAME:BC OCT PRO SERV"</f>
        <v>PROJ NAME:BC OCT PRO SERV</v>
      </c>
    </row>
    <row r="206" spans="1:8" x14ac:dyDescent="0.25">
      <c r="E206" t="str">
        <f>"14957"</f>
        <v>14957</v>
      </c>
      <c r="F206" t="str">
        <f>"PROJ NAME:BC OCT ADV"</f>
        <v>PROJ NAME:BC OCT ADV</v>
      </c>
      <c r="G206" s="2">
        <v>13622.6</v>
      </c>
      <c r="H206" t="str">
        <f>"PROJ NAME:BC OCT ADV"</f>
        <v>PROJ NAME:BC OCT ADV</v>
      </c>
    </row>
    <row r="207" spans="1:8" x14ac:dyDescent="0.25">
      <c r="A207" t="s">
        <v>54</v>
      </c>
      <c r="B207">
        <v>129925</v>
      </c>
      <c r="C207" s="2">
        <v>145</v>
      </c>
      <c r="D207" s="1">
        <v>43808</v>
      </c>
      <c r="E207" t="str">
        <f>"201911273544"</f>
        <v>201911273544</v>
      </c>
      <c r="F207" t="str">
        <f>"FERAL HOGS"</f>
        <v>FERAL HOGS</v>
      </c>
      <c r="G207" s="2">
        <v>145</v>
      </c>
      <c r="H207" t="str">
        <f>"FERAL HOGS"</f>
        <v>FERAL HOGS</v>
      </c>
    </row>
    <row r="208" spans="1:8" x14ac:dyDescent="0.25">
      <c r="A208" t="s">
        <v>55</v>
      </c>
      <c r="B208">
        <v>129926</v>
      </c>
      <c r="C208" s="2">
        <v>5766.99</v>
      </c>
      <c r="D208" s="1">
        <v>43808</v>
      </c>
      <c r="E208" t="str">
        <f>"201911263520"</f>
        <v>201911263520</v>
      </c>
      <c r="F208" t="str">
        <f>"ACCT#512A49-0048 193 3"</f>
        <v>ACCT#512A49-0048 193 3</v>
      </c>
      <c r="G208" s="2">
        <v>5766.99</v>
      </c>
      <c r="H208" t="str">
        <f>"ACCT#512A49-0048 193 3"</f>
        <v>ACCT#512A49-0048 193 3</v>
      </c>
    </row>
    <row r="209" spans="1:8" x14ac:dyDescent="0.25">
      <c r="E209" t="str">
        <f>""</f>
        <v/>
      </c>
      <c r="F209" t="str">
        <f>""</f>
        <v/>
      </c>
      <c r="H209" t="str">
        <f>"ACCT#512A49-0048 193 3"</f>
        <v>ACCT#512A49-0048 193 3</v>
      </c>
    </row>
    <row r="210" spans="1:8" x14ac:dyDescent="0.25">
      <c r="E210" t="str">
        <f>""</f>
        <v/>
      </c>
      <c r="F210" t="str">
        <f>""</f>
        <v/>
      </c>
      <c r="H210" t="str">
        <f>"ACCT#512A49-0048 193 3"</f>
        <v>ACCT#512A49-0048 193 3</v>
      </c>
    </row>
    <row r="211" spans="1:8" x14ac:dyDescent="0.25">
      <c r="E211" t="str">
        <f>""</f>
        <v/>
      </c>
      <c r="F211" t="str">
        <f>""</f>
        <v/>
      </c>
      <c r="H211" t="str">
        <f>"ACCT#512A49-0048 193 3"</f>
        <v>ACCT#512A49-0048 193 3</v>
      </c>
    </row>
    <row r="212" spans="1:8" x14ac:dyDescent="0.25">
      <c r="A212" t="s">
        <v>55</v>
      </c>
      <c r="B212">
        <v>129927</v>
      </c>
      <c r="C212" s="2">
        <v>4559.32</v>
      </c>
      <c r="D212" s="1">
        <v>43808</v>
      </c>
      <c r="E212" t="str">
        <f>"3068391504"</f>
        <v>3068391504</v>
      </c>
      <c r="F212" t="str">
        <f>"ACCT#831-000-7919623"</f>
        <v>ACCT#831-000-7919623</v>
      </c>
      <c r="G212" s="2">
        <v>2000.38</v>
      </c>
      <c r="H212" t="str">
        <f>"ACCT#831-000-7919623"</f>
        <v>ACCT#831-000-7919623</v>
      </c>
    </row>
    <row r="213" spans="1:8" x14ac:dyDescent="0.25">
      <c r="E213" t="str">
        <f>"3789541501"</f>
        <v>3789541501</v>
      </c>
      <c r="F213" t="str">
        <f>"ACCT#831-000-6084 095"</f>
        <v>ACCT#831-000-6084 095</v>
      </c>
      <c r="G213" s="2">
        <v>1684.69</v>
      </c>
      <c r="H213" t="str">
        <f>"ACCT#831-000-6084 095"</f>
        <v>ACCT#831-000-6084 095</v>
      </c>
    </row>
    <row r="214" spans="1:8" x14ac:dyDescent="0.25">
      <c r="E214" t="str">
        <f>"4686580501"</f>
        <v>4686580501</v>
      </c>
      <c r="F214" t="str">
        <f>"ACCT#831-000-7218 923"</f>
        <v>ACCT#831-000-7218 923</v>
      </c>
      <c r="G214" s="2">
        <v>874.25</v>
      </c>
      <c r="H214" t="str">
        <f>"ACCT#831-000-7218 923"</f>
        <v>ACCT#831-000-7218 923</v>
      </c>
    </row>
    <row r="215" spans="1:8" x14ac:dyDescent="0.25">
      <c r="A215" t="s">
        <v>55</v>
      </c>
      <c r="B215">
        <v>129928</v>
      </c>
      <c r="C215" s="2">
        <v>493.47</v>
      </c>
      <c r="D215" s="1">
        <v>43808</v>
      </c>
      <c r="E215" t="str">
        <f>"201912033660"</f>
        <v>201912033660</v>
      </c>
      <c r="F215" t="str">
        <f>"ACCT#512 308-9870 530 7"</f>
        <v>ACCT#512 308-9870 530 7</v>
      </c>
      <c r="G215" s="2">
        <v>493.47</v>
      </c>
      <c r="H215" t="str">
        <f>"ACCT#512 308-9870 530 7"</f>
        <v>ACCT#512 308-9870 530 7</v>
      </c>
    </row>
    <row r="216" spans="1:8" x14ac:dyDescent="0.25">
      <c r="A216" t="s">
        <v>55</v>
      </c>
      <c r="B216">
        <v>130141</v>
      </c>
      <c r="C216" s="2">
        <v>1814.49</v>
      </c>
      <c r="D216" s="1">
        <v>43822</v>
      </c>
      <c r="E216" t="str">
        <f>"201912174225"</f>
        <v>201912174225</v>
      </c>
      <c r="F216" t="str">
        <f>"ACCT 512 303-1080 238 5"</f>
        <v>ACCT 512 303-1080 238 5</v>
      </c>
      <c r="G216" s="2">
        <v>1814.49</v>
      </c>
      <c r="H216" t="str">
        <f>"512 303-1080 (LE)"</f>
        <v>512 303-1080 (LE)</v>
      </c>
    </row>
    <row r="217" spans="1:8" x14ac:dyDescent="0.25">
      <c r="E217" t="str">
        <f>""</f>
        <v/>
      </c>
      <c r="F217" t="str">
        <f>""</f>
        <v/>
      </c>
      <c r="H217" t="str">
        <f>"512 303-1080 (JAIL)"</f>
        <v>512 303-1080 (JAIL)</v>
      </c>
    </row>
    <row r="218" spans="1:8" x14ac:dyDescent="0.25">
      <c r="A218" t="s">
        <v>56</v>
      </c>
      <c r="B218">
        <v>129929</v>
      </c>
      <c r="C218" s="2">
        <v>2696.59</v>
      </c>
      <c r="D218" s="1">
        <v>43808</v>
      </c>
      <c r="E218" t="str">
        <f>"287290524359X1127"</f>
        <v>287290524359X1127</v>
      </c>
      <c r="F218" t="str">
        <f>"ACCT#287290524359"</f>
        <v>ACCT#287290524359</v>
      </c>
      <c r="G218" s="2">
        <v>2696.59</v>
      </c>
      <c r="H218" t="str">
        <f t="shared" ref="H218:H223" si="9">"ACCT#287290524359"</f>
        <v>ACCT#287290524359</v>
      </c>
    </row>
    <row r="219" spans="1:8" x14ac:dyDescent="0.25">
      <c r="E219" t="str">
        <f>""</f>
        <v/>
      </c>
      <c r="F219" t="str">
        <f>""</f>
        <v/>
      </c>
      <c r="H219" t="str">
        <f t="shared" si="9"/>
        <v>ACCT#287290524359</v>
      </c>
    </row>
    <row r="220" spans="1:8" x14ac:dyDescent="0.25">
      <c r="E220" t="str">
        <f>""</f>
        <v/>
      </c>
      <c r="F220" t="str">
        <f>""</f>
        <v/>
      </c>
      <c r="H220" t="str">
        <f t="shared" si="9"/>
        <v>ACCT#287290524359</v>
      </c>
    </row>
    <row r="221" spans="1:8" x14ac:dyDescent="0.25">
      <c r="E221" t="str">
        <f>""</f>
        <v/>
      </c>
      <c r="F221" t="str">
        <f>""</f>
        <v/>
      </c>
      <c r="H221" t="str">
        <f t="shared" si="9"/>
        <v>ACCT#287290524359</v>
      </c>
    </row>
    <row r="222" spans="1:8" x14ac:dyDescent="0.25">
      <c r="E222" t="str">
        <f>""</f>
        <v/>
      </c>
      <c r="F222" t="str">
        <f>""</f>
        <v/>
      </c>
      <c r="H222" t="str">
        <f t="shared" si="9"/>
        <v>ACCT#287290524359</v>
      </c>
    </row>
    <row r="223" spans="1:8" x14ac:dyDescent="0.25">
      <c r="E223" t="str">
        <f>""</f>
        <v/>
      </c>
      <c r="F223" t="str">
        <f>""</f>
        <v/>
      </c>
      <c r="H223" t="str">
        <f t="shared" si="9"/>
        <v>ACCT#287290524359</v>
      </c>
    </row>
    <row r="224" spans="1:8" x14ac:dyDescent="0.25">
      <c r="A224" t="s">
        <v>57</v>
      </c>
      <c r="B224">
        <v>130142</v>
      </c>
      <c r="C224" s="2">
        <v>219.95</v>
      </c>
      <c r="D224" s="1">
        <v>43822</v>
      </c>
      <c r="E224" t="str">
        <f>"99999900993949"</f>
        <v>99999900993949</v>
      </c>
      <c r="F224" t="str">
        <f>"MELOXICAM/ANIMAL SVCS"</f>
        <v>MELOXICAM/ANIMAL SVCS</v>
      </c>
      <c r="G224" s="2">
        <v>219.95</v>
      </c>
      <c r="H224" t="str">
        <f>"MELOXICAM/ANIMAL SVCS"</f>
        <v>MELOXICAM/ANIMAL SVCS</v>
      </c>
    </row>
    <row r="225" spans="1:8" x14ac:dyDescent="0.25">
      <c r="A225" t="s">
        <v>58</v>
      </c>
      <c r="B225">
        <v>1863</v>
      </c>
      <c r="C225" s="2">
        <v>473.76</v>
      </c>
      <c r="D225" s="1">
        <v>43809</v>
      </c>
      <c r="E225" t="str">
        <f>"183"</f>
        <v>183</v>
      </c>
      <c r="F225" t="str">
        <f>"HOSE ASSEMBLY/PCT#2"</f>
        <v>HOSE ASSEMBLY/PCT#2</v>
      </c>
      <c r="G225" s="2">
        <v>473.76</v>
      </c>
      <c r="H225" t="str">
        <f>"HOSE ASSEMBLY/PCT#2"</f>
        <v>HOSE ASSEMBLY/PCT#2</v>
      </c>
    </row>
    <row r="226" spans="1:8" x14ac:dyDescent="0.25">
      <c r="A226" t="s">
        <v>59</v>
      </c>
      <c r="B226">
        <v>129930</v>
      </c>
      <c r="C226" s="2">
        <v>54.4</v>
      </c>
      <c r="D226" s="1">
        <v>43808</v>
      </c>
      <c r="E226" t="str">
        <f>"201911263516"</f>
        <v>201911263516</v>
      </c>
      <c r="F226" t="str">
        <f>"NEWSPAPER SUBSCRIPTION"</f>
        <v>NEWSPAPER SUBSCRIPTION</v>
      </c>
      <c r="G226" s="2">
        <v>54.4</v>
      </c>
      <c r="H226" t="str">
        <f>"NEWSPAPER SUBSCRIPTION"</f>
        <v>NEWSPAPER SUBSCRIPTION</v>
      </c>
    </row>
    <row r="227" spans="1:8" x14ac:dyDescent="0.25">
      <c r="A227" t="s">
        <v>60</v>
      </c>
      <c r="B227">
        <v>130143</v>
      </c>
      <c r="C227" s="2">
        <v>115.01</v>
      </c>
      <c r="D227" s="1">
        <v>43822</v>
      </c>
      <c r="E227" t="str">
        <f>"AUS-1009591"</f>
        <v>AUS-1009591</v>
      </c>
      <c r="F227" t="str">
        <f>"ACCT#840/PCT#3"</f>
        <v>ACCT#840/PCT#3</v>
      </c>
      <c r="G227" s="2">
        <v>115.01</v>
      </c>
      <c r="H227" t="str">
        <f>"ACCT#840/PCT#3"</f>
        <v>ACCT#840/PCT#3</v>
      </c>
    </row>
    <row r="228" spans="1:8" x14ac:dyDescent="0.25">
      <c r="A228" t="s">
        <v>61</v>
      </c>
      <c r="B228">
        <v>130144</v>
      </c>
      <c r="C228" s="2">
        <v>54.41</v>
      </c>
      <c r="D228" s="1">
        <v>43822</v>
      </c>
      <c r="E228" t="str">
        <f>"201912184269"</f>
        <v>201912184269</v>
      </c>
      <c r="F228" t="str">
        <f>"INDIGENT HEALTH"</f>
        <v>INDIGENT HEALTH</v>
      </c>
      <c r="G228" s="2">
        <v>54.41</v>
      </c>
      <c r="H228" t="str">
        <f>"INDIGENT HEALTH"</f>
        <v>INDIGENT HEALTH</v>
      </c>
    </row>
    <row r="229" spans="1:8" x14ac:dyDescent="0.25">
      <c r="A229" t="s">
        <v>62</v>
      </c>
      <c r="B229">
        <v>1839</v>
      </c>
      <c r="C229" s="2">
        <v>800</v>
      </c>
      <c r="D229" s="1">
        <v>43809</v>
      </c>
      <c r="E229" t="str">
        <f>"2146"</f>
        <v>2146</v>
      </c>
      <c r="F229" t="str">
        <f>"SL &amp; DL HEARING 423-6042"</f>
        <v>SL &amp; DL HEARING 423-6042</v>
      </c>
      <c r="G229" s="2">
        <v>400</v>
      </c>
      <c r="H229" t="str">
        <f>"SL &amp; DL HEARING 423-6042"</f>
        <v>SL &amp; DL HEARING 423-6042</v>
      </c>
    </row>
    <row r="230" spans="1:8" x14ac:dyDescent="0.25">
      <c r="E230" t="str">
        <f>"2147"</f>
        <v>2147</v>
      </c>
      <c r="F230" t="str">
        <f>"HUNTER'S CROSSING-STATUS HRING"</f>
        <v>HUNTER'S CROSSING-STATUS HRING</v>
      </c>
      <c r="G230" s="2">
        <v>400</v>
      </c>
      <c r="H230" t="str">
        <f>"HUNTER'S CROSSING-STATUS HRING"</f>
        <v>HUNTER'S CROSSING-STATUS HRING</v>
      </c>
    </row>
    <row r="231" spans="1:8" x14ac:dyDescent="0.25">
      <c r="A231" t="s">
        <v>63</v>
      </c>
      <c r="B231">
        <v>130145</v>
      </c>
      <c r="C231" s="2">
        <v>184.31</v>
      </c>
      <c r="D231" s="1">
        <v>43822</v>
      </c>
      <c r="E231" t="str">
        <f>"089502"</f>
        <v>089502</v>
      </c>
      <c r="F231" t="str">
        <f>"INV 089502"</f>
        <v>INV 089502</v>
      </c>
      <c r="G231" s="2">
        <v>184.31</v>
      </c>
      <c r="H231" t="str">
        <f>"INV 089502"</f>
        <v>INV 089502</v>
      </c>
    </row>
    <row r="232" spans="1:8" x14ac:dyDescent="0.25">
      <c r="A232" t="s">
        <v>64</v>
      </c>
      <c r="B232">
        <v>1865</v>
      </c>
      <c r="C232" s="2">
        <v>541.49</v>
      </c>
      <c r="D232" s="1">
        <v>43809</v>
      </c>
      <c r="E232" t="str">
        <f>"201912023588"</f>
        <v>201912023588</v>
      </c>
      <c r="F232" t="str">
        <f>"CUST ID:0009/PCT#1"</f>
        <v>CUST ID:0009/PCT#1</v>
      </c>
      <c r="G232" s="2">
        <v>259.99</v>
      </c>
      <c r="H232" t="str">
        <f>"CUST ID:0009/PCT#1"</f>
        <v>CUST ID:0009/PCT#1</v>
      </c>
    </row>
    <row r="233" spans="1:8" x14ac:dyDescent="0.25">
      <c r="E233" t="str">
        <f>"201912023654"</f>
        <v>201912023654</v>
      </c>
      <c r="F233" t="str">
        <f>"CUST ID:0010/PCT#2"</f>
        <v>CUST ID:0010/PCT#2</v>
      </c>
      <c r="G233" s="2">
        <v>281.5</v>
      </c>
      <c r="H233" t="str">
        <f>"CUST ID:0010/PCT#2"</f>
        <v>CUST ID:0010/PCT#2</v>
      </c>
    </row>
    <row r="234" spans="1:8" x14ac:dyDescent="0.25">
      <c r="A234" t="s">
        <v>65</v>
      </c>
      <c r="B234">
        <v>1904</v>
      </c>
      <c r="C234" s="2">
        <v>8900</v>
      </c>
      <c r="D234" s="1">
        <v>43823</v>
      </c>
      <c r="E234" t="str">
        <f>"1549"</f>
        <v>1549</v>
      </c>
      <c r="F234" t="str">
        <f>"RFB 19BCP11D"</f>
        <v>RFB 19BCP11D</v>
      </c>
      <c r="G234" s="2">
        <v>8900</v>
      </c>
      <c r="H234" t="str">
        <f>"RFB 19BCP11D"</f>
        <v>RFB 19BCP11D</v>
      </c>
    </row>
    <row r="235" spans="1:8" x14ac:dyDescent="0.25">
      <c r="A235" t="s">
        <v>66</v>
      </c>
      <c r="B235">
        <v>130146</v>
      </c>
      <c r="C235" s="2">
        <v>120</v>
      </c>
      <c r="D235" s="1">
        <v>43822</v>
      </c>
      <c r="E235" t="str">
        <f>"201912164120"</f>
        <v>201912164120</v>
      </c>
      <c r="F235" t="str">
        <f>"REIMBURSE BAIL BOND COUPONS"</f>
        <v>REIMBURSE BAIL BOND COUPONS</v>
      </c>
      <c r="G235" s="2">
        <v>120</v>
      </c>
      <c r="H235" t="str">
        <f>"REIMBURSE BAIL BOND COUPONS"</f>
        <v>REIMBURSE BAIL BOND COUPONS</v>
      </c>
    </row>
    <row r="236" spans="1:8" x14ac:dyDescent="0.25">
      <c r="A236" t="s">
        <v>67</v>
      </c>
      <c r="B236">
        <v>129931</v>
      </c>
      <c r="C236" s="2">
        <v>153985</v>
      </c>
      <c r="D236" s="1">
        <v>43808</v>
      </c>
      <c r="E236" t="str">
        <f>"201911273540"</f>
        <v>201911273540</v>
      </c>
      <c r="F236" t="str">
        <f>"BCAD LOCAL SUPPORT 1ST QTR '20"</f>
        <v>BCAD LOCAL SUPPORT 1ST QTR '20</v>
      </c>
      <c r="G236" s="2">
        <v>153985</v>
      </c>
      <c r="H236" t="str">
        <f>"BCAD LOCAL SUPPORT 1ST QTR '20"</f>
        <v>BCAD LOCAL SUPPORT 1ST QTR '20</v>
      </c>
    </row>
    <row r="237" spans="1:8" x14ac:dyDescent="0.25">
      <c r="A237" t="s">
        <v>68</v>
      </c>
      <c r="B237">
        <v>129932</v>
      </c>
      <c r="C237" s="2">
        <v>1375</v>
      </c>
      <c r="D237" s="1">
        <v>43808</v>
      </c>
      <c r="E237" t="str">
        <f>"12867"</f>
        <v>12867</v>
      </c>
      <c r="F237" t="str">
        <f t="shared" ref="F237:F242" si="10">"SERVICE"</f>
        <v>SERVICE</v>
      </c>
      <c r="G237" s="2">
        <v>75</v>
      </c>
      <c r="H237" t="str">
        <f t="shared" ref="H237:H242" si="11">"SERVICE"</f>
        <v>SERVICE</v>
      </c>
    </row>
    <row r="238" spans="1:8" x14ac:dyDescent="0.25">
      <c r="E238" t="str">
        <f>"13026"</f>
        <v>13026</v>
      </c>
      <c r="F238" t="str">
        <f t="shared" si="10"/>
        <v>SERVICE</v>
      </c>
      <c r="G238" s="2">
        <v>550</v>
      </c>
      <c r="H238" t="str">
        <f t="shared" si="11"/>
        <v>SERVICE</v>
      </c>
    </row>
    <row r="239" spans="1:8" x14ac:dyDescent="0.25">
      <c r="E239" t="str">
        <f>"13164"</f>
        <v>13164</v>
      </c>
      <c r="F239" t="str">
        <f t="shared" si="10"/>
        <v>SERVICE</v>
      </c>
      <c r="G239" s="2">
        <v>675</v>
      </c>
      <c r="H239" t="str">
        <f t="shared" si="11"/>
        <v>SERVICE</v>
      </c>
    </row>
    <row r="240" spans="1:8" x14ac:dyDescent="0.25">
      <c r="E240" t="str">
        <f>"13270"</f>
        <v>13270</v>
      </c>
      <c r="F240" t="str">
        <f t="shared" si="10"/>
        <v>SERVICE</v>
      </c>
      <c r="G240" s="2">
        <v>75</v>
      </c>
      <c r="H240" t="str">
        <f t="shared" si="11"/>
        <v>SERVICE</v>
      </c>
    </row>
    <row r="241" spans="1:8" x14ac:dyDescent="0.25">
      <c r="A241" t="s">
        <v>68</v>
      </c>
      <c r="B241">
        <v>130147</v>
      </c>
      <c r="C241" s="2">
        <v>800</v>
      </c>
      <c r="D241" s="1">
        <v>43822</v>
      </c>
      <c r="E241" t="str">
        <f>"12773"</f>
        <v>12773</v>
      </c>
      <c r="F241" t="str">
        <f t="shared" si="10"/>
        <v>SERVICE</v>
      </c>
      <c r="G241" s="2">
        <v>325</v>
      </c>
      <c r="H241" t="str">
        <f t="shared" si="11"/>
        <v>SERVICE</v>
      </c>
    </row>
    <row r="242" spans="1:8" x14ac:dyDescent="0.25">
      <c r="E242" t="str">
        <f>"13127"</f>
        <v>13127</v>
      </c>
      <c r="F242" t="str">
        <f t="shared" si="10"/>
        <v>SERVICE</v>
      </c>
      <c r="G242" s="2">
        <v>475</v>
      </c>
      <c r="H242" t="str">
        <f t="shared" si="11"/>
        <v>SERVICE</v>
      </c>
    </row>
    <row r="243" spans="1:8" x14ac:dyDescent="0.25">
      <c r="A243" t="s">
        <v>69</v>
      </c>
      <c r="B243">
        <v>130148</v>
      </c>
      <c r="C243" s="2">
        <v>27.5</v>
      </c>
      <c r="D243" s="1">
        <v>43822</v>
      </c>
      <c r="E243" t="str">
        <f>"201912103883"</f>
        <v>201912103883</v>
      </c>
      <c r="F243" t="str">
        <f>"ACCT#BC01 / 11302019"</f>
        <v>ACCT#BC01 / 11302019</v>
      </c>
      <c r="G243" s="2">
        <v>27.5</v>
      </c>
      <c r="H243" t="str">
        <f>"ACCT#BC01 / 11302019"</f>
        <v>ACCT#BC01 / 11302019</v>
      </c>
    </row>
    <row r="244" spans="1:8" x14ac:dyDescent="0.25">
      <c r="E244" t="str">
        <f>""</f>
        <v/>
      </c>
      <c r="F244" t="str">
        <f>""</f>
        <v/>
      </c>
      <c r="H244" t="str">
        <f>"ACCT#BC01 / 11302019"</f>
        <v>ACCT#BC01 / 11302019</v>
      </c>
    </row>
    <row r="245" spans="1:8" x14ac:dyDescent="0.25">
      <c r="E245" t="str">
        <f>""</f>
        <v/>
      </c>
      <c r="F245" t="str">
        <f>""</f>
        <v/>
      </c>
      <c r="H245" t="str">
        <f>"ACCT#BC01 / 11302019"</f>
        <v>ACCT#BC01 / 11302019</v>
      </c>
    </row>
    <row r="246" spans="1:8" x14ac:dyDescent="0.25">
      <c r="E246" t="str">
        <f>""</f>
        <v/>
      </c>
      <c r="F246" t="str">
        <f>""</f>
        <v/>
      </c>
      <c r="H246" t="str">
        <f>"ACCT#BC01 / 11302019"</f>
        <v>ACCT#BC01 / 11302019</v>
      </c>
    </row>
    <row r="247" spans="1:8" x14ac:dyDescent="0.25">
      <c r="A247" t="s">
        <v>70</v>
      </c>
      <c r="B247">
        <v>1855</v>
      </c>
      <c r="C247" s="2">
        <v>11587.52</v>
      </c>
      <c r="D247" s="1">
        <v>43809</v>
      </c>
      <c r="E247" t="str">
        <f>"201912033663"</f>
        <v>201912033663</v>
      </c>
      <c r="F247" t="str">
        <f>"GRANT REIMBURSEMENT"</f>
        <v>GRANT REIMBURSEMENT</v>
      </c>
      <c r="G247" s="2">
        <v>5245.54</v>
      </c>
      <c r="H247" t="str">
        <f>"GRANT REIMBURSEMENT"</f>
        <v>GRANT REIMBURSEMENT</v>
      </c>
    </row>
    <row r="248" spans="1:8" x14ac:dyDescent="0.25">
      <c r="E248" t="str">
        <f>"201912033667"</f>
        <v>201912033667</v>
      </c>
      <c r="F248" t="str">
        <f>"GRANT REIMBURSEMENT"</f>
        <v>GRANT REIMBURSEMENT</v>
      </c>
      <c r="G248" s="2">
        <v>5572.51</v>
      </c>
      <c r="H248" t="str">
        <f>"GRANT REIMBURSEMENT"</f>
        <v>GRANT REIMBURSEMENT</v>
      </c>
    </row>
    <row r="249" spans="1:8" x14ac:dyDescent="0.25">
      <c r="E249" t="str">
        <f>"201912033668"</f>
        <v>201912033668</v>
      </c>
      <c r="F249" t="str">
        <f>"GRANT REIMBURSEMENT"</f>
        <v>GRANT REIMBURSEMENT</v>
      </c>
      <c r="G249" s="2">
        <v>769.47</v>
      </c>
      <c r="H249" t="str">
        <f>"GRANT REIMBURSEMENT"</f>
        <v>GRANT REIMBURSEMENT</v>
      </c>
    </row>
    <row r="250" spans="1:8" x14ac:dyDescent="0.25">
      <c r="A250" t="s">
        <v>70</v>
      </c>
      <c r="B250">
        <v>1929</v>
      </c>
      <c r="C250" s="2">
        <v>9983.42</v>
      </c>
      <c r="D250" s="1">
        <v>43823</v>
      </c>
      <c r="E250" t="str">
        <f>"201912123950"</f>
        <v>201912123950</v>
      </c>
      <c r="F250" t="str">
        <f>"GRANT REIMBURSEMENT"</f>
        <v>GRANT REIMBURSEMENT</v>
      </c>
      <c r="G250" s="2">
        <v>9983.42</v>
      </c>
      <c r="H250" t="str">
        <f>"GRANT REIMBURSEMENT"</f>
        <v>GRANT REIMBURSEMENT</v>
      </c>
    </row>
    <row r="251" spans="1:8" x14ac:dyDescent="0.25">
      <c r="A251" t="s">
        <v>71</v>
      </c>
      <c r="B251">
        <v>130149</v>
      </c>
      <c r="C251" s="2">
        <v>82017</v>
      </c>
      <c r="D251" s="1">
        <v>43822</v>
      </c>
      <c r="E251" t="str">
        <f>"1ST QTR FY 2020"</f>
        <v>1ST QTR FY 2020</v>
      </c>
      <c r="F251" t="str">
        <f>"REVENUE BASTROP"</f>
        <v>REVENUE BASTROP</v>
      </c>
      <c r="G251" s="2">
        <v>82017</v>
      </c>
      <c r="H251" t="str">
        <f>"REVENUE BASTROP"</f>
        <v>REVENUE BASTROP</v>
      </c>
    </row>
    <row r="252" spans="1:8" x14ac:dyDescent="0.25">
      <c r="A252" t="s">
        <v>72</v>
      </c>
      <c r="B252">
        <v>1958</v>
      </c>
      <c r="C252" s="2">
        <v>33.270000000000003</v>
      </c>
      <c r="D252" s="1">
        <v>43823</v>
      </c>
      <c r="E252" t="str">
        <f>"201912184270"</f>
        <v>201912184270</v>
      </c>
      <c r="F252" t="str">
        <f>"INDIGENT HEALTH"</f>
        <v>INDIGENT HEALTH</v>
      </c>
      <c r="G252" s="2">
        <v>33.270000000000003</v>
      </c>
      <c r="H252" t="str">
        <f>"INDIGENT HEALTH"</f>
        <v>INDIGENT HEALTH</v>
      </c>
    </row>
    <row r="253" spans="1:8" x14ac:dyDescent="0.25">
      <c r="A253" t="s">
        <v>73</v>
      </c>
      <c r="B253">
        <v>1833</v>
      </c>
      <c r="C253" s="2">
        <v>2275</v>
      </c>
      <c r="D253" s="1">
        <v>43809</v>
      </c>
      <c r="E253" t="str">
        <f>"2019144"</f>
        <v>2019144</v>
      </c>
      <c r="F253" t="str">
        <f>"TRANSPORT-J. ELAM"</f>
        <v>TRANSPORT-J. ELAM</v>
      </c>
      <c r="G253" s="2">
        <v>295</v>
      </c>
      <c r="H253" t="str">
        <f>"TRANSPORT-J. ELAM"</f>
        <v>TRANSPORT-J. ELAM</v>
      </c>
    </row>
    <row r="254" spans="1:8" x14ac:dyDescent="0.25">
      <c r="E254" t="str">
        <f>"2019149"</f>
        <v>2019149</v>
      </c>
      <c r="F254" t="str">
        <f>"TRANSPORT-C.R. HERBERT"</f>
        <v>TRANSPORT-C.R. HERBERT</v>
      </c>
      <c r="G254" s="2">
        <v>495</v>
      </c>
      <c r="H254" t="str">
        <f>"TRANSPORT-C.R. HERBERT"</f>
        <v>TRANSPORT-C.R. HERBERT</v>
      </c>
    </row>
    <row r="255" spans="1:8" x14ac:dyDescent="0.25">
      <c r="E255" t="str">
        <f>"2019156"</f>
        <v>2019156</v>
      </c>
      <c r="F255" t="str">
        <f>"TRANSPORT-M. LUNDGREN"</f>
        <v>TRANSPORT-M. LUNDGREN</v>
      </c>
      <c r="G255" s="2">
        <v>495</v>
      </c>
      <c r="H255" t="str">
        <f>"TRANSPORT-M. LUNDGREN"</f>
        <v>TRANSPORT-M. LUNDGREN</v>
      </c>
    </row>
    <row r="256" spans="1:8" x14ac:dyDescent="0.25">
      <c r="E256" t="str">
        <f>"2019157"</f>
        <v>2019157</v>
      </c>
      <c r="F256" t="str">
        <f>"TRANSPORT-J.H. CAPETILLO"</f>
        <v>TRANSPORT-J.H. CAPETILLO</v>
      </c>
      <c r="G256" s="2">
        <v>495</v>
      </c>
      <c r="H256" t="str">
        <f>"TRANSPORT-J.H. CAPETILLO"</f>
        <v>TRANSPORT-J.H. CAPETILLO</v>
      </c>
    </row>
    <row r="257" spans="1:8" x14ac:dyDescent="0.25">
      <c r="E257" t="str">
        <f>"2019160"</f>
        <v>2019160</v>
      </c>
      <c r="F257" t="str">
        <f>"TRANSPORT-A. ALLEN-JACKSON"</f>
        <v>TRANSPORT-A. ALLEN-JACKSON</v>
      </c>
      <c r="G257" s="2">
        <v>495</v>
      </c>
      <c r="H257" t="str">
        <f>"TRANSPORT-A. ALLEN-JACKSON"</f>
        <v>TRANSPORT-A. ALLEN-JACKSON</v>
      </c>
    </row>
    <row r="258" spans="1:8" x14ac:dyDescent="0.25">
      <c r="A258" t="s">
        <v>73</v>
      </c>
      <c r="B258">
        <v>1903</v>
      </c>
      <c r="C258" s="2">
        <v>1415</v>
      </c>
      <c r="D258" s="1">
        <v>43823</v>
      </c>
      <c r="E258" t="str">
        <f>"2019-163"</f>
        <v>2019-163</v>
      </c>
      <c r="F258" t="str">
        <f>"TRANSPORT - S. JOHNSON"</f>
        <v>TRANSPORT - S. JOHNSON</v>
      </c>
      <c r="G258" s="2">
        <v>720</v>
      </c>
      <c r="H258" t="str">
        <f>"TRANSPORT - S. JOHNSON"</f>
        <v>TRANSPORT - S. JOHNSON</v>
      </c>
    </row>
    <row r="259" spans="1:8" x14ac:dyDescent="0.25">
      <c r="E259" t="str">
        <f>"2019169"</f>
        <v>2019169</v>
      </c>
      <c r="F259" t="str">
        <f>"TRANSPORT-A.W. TURNER"</f>
        <v>TRANSPORT-A.W. TURNER</v>
      </c>
      <c r="G259" s="2">
        <v>695</v>
      </c>
      <c r="H259" t="str">
        <f>"TRANSPORT-A.W. TURNER"</f>
        <v>TRANSPORT-A.W. TURNER</v>
      </c>
    </row>
    <row r="260" spans="1:8" x14ac:dyDescent="0.25">
      <c r="A260" t="s">
        <v>74</v>
      </c>
      <c r="B260">
        <v>1932</v>
      </c>
      <c r="C260" s="2">
        <v>331.33</v>
      </c>
      <c r="D260" s="1">
        <v>43823</v>
      </c>
      <c r="E260" t="str">
        <f>"3422853"</f>
        <v>3422853</v>
      </c>
      <c r="F260" t="str">
        <f>"ACCT#3422853/ANIMAL CONTROL"</f>
        <v>ACCT#3422853/ANIMAL CONTROL</v>
      </c>
      <c r="G260" s="2">
        <v>331.33</v>
      </c>
      <c r="H260" t="str">
        <f>"ACCT#3422853/ANIMAL CONTROL"</f>
        <v>ACCT#3422853/ANIMAL CONTROL</v>
      </c>
    </row>
    <row r="261" spans="1:8" x14ac:dyDescent="0.25">
      <c r="A261" t="s">
        <v>75</v>
      </c>
      <c r="B261">
        <v>1830</v>
      </c>
      <c r="C261" s="2">
        <v>2415.38</v>
      </c>
      <c r="D261" s="1">
        <v>43809</v>
      </c>
      <c r="E261" t="str">
        <f>"201912023657"</f>
        <v>201912023657</v>
      </c>
      <c r="F261" t="str">
        <f>"INVESTIGATIVE SVCS-NOV 2019"</f>
        <v>INVESTIGATIVE SVCS-NOV 2019</v>
      </c>
      <c r="G261" s="2">
        <v>175</v>
      </c>
      <c r="H261" t="str">
        <f>"INVESTIGATIVE SVCS-NOV 2019"</f>
        <v>INVESTIGATIVE SVCS-NOV 2019</v>
      </c>
    </row>
    <row r="262" spans="1:8" x14ac:dyDescent="0.25">
      <c r="E262" t="str">
        <f>"201912033747"</f>
        <v>201912033747</v>
      </c>
      <c r="F262" t="str">
        <f>"SERVICE FOR NOVEMBER"</f>
        <v>SERVICE FOR NOVEMBER</v>
      </c>
      <c r="G262" s="2">
        <v>2240.38</v>
      </c>
      <c r="H262" t="str">
        <f>"NOVEMBER - LE"</f>
        <v>NOVEMBER - LE</v>
      </c>
    </row>
    <row r="263" spans="1:8" x14ac:dyDescent="0.25">
      <c r="E263" t="str">
        <f>""</f>
        <v/>
      </c>
      <c r="F263" t="str">
        <f>""</f>
        <v/>
      </c>
      <c r="H263" t="str">
        <f>"NOVEMBER - JAIL"</f>
        <v>NOVEMBER - JAIL</v>
      </c>
    </row>
    <row r="264" spans="1:8" x14ac:dyDescent="0.25">
      <c r="A264" t="s">
        <v>76</v>
      </c>
      <c r="B264">
        <v>129933</v>
      </c>
      <c r="C264" s="2">
        <v>3500</v>
      </c>
      <c r="D264" s="1">
        <v>43808</v>
      </c>
      <c r="E264" t="str">
        <f>"18807"</f>
        <v>18807</v>
      </c>
      <c r="F264" t="str">
        <f>"SESSION-SECOND EXAM"</f>
        <v>SESSION-SECOND EXAM</v>
      </c>
      <c r="G264" s="2">
        <v>3500</v>
      </c>
      <c r="H264" t="str">
        <f>"SESSION-SECOND EXAM"</f>
        <v>SESSION-SECOND EXAM</v>
      </c>
    </row>
    <row r="265" spans="1:8" x14ac:dyDescent="0.25">
      <c r="A265" t="s">
        <v>77</v>
      </c>
      <c r="B265">
        <v>129934</v>
      </c>
      <c r="C265" s="2">
        <v>495</v>
      </c>
      <c r="D265" s="1">
        <v>43808</v>
      </c>
      <c r="E265" t="str">
        <f>"201911263524"</f>
        <v>201911263524</v>
      </c>
      <c r="F265" t="str">
        <f>"REFUND-OSSF FEE"</f>
        <v>REFUND-OSSF FEE</v>
      </c>
      <c r="G265" s="2">
        <v>495</v>
      </c>
      <c r="H265" t="str">
        <f>"REFUND-OSSF FEE"</f>
        <v>REFUND-OSSF FEE</v>
      </c>
    </row>
    <row r="266" spans="1:8" x14ac:dyDescent="0.25">
      <c r="A266" t="s">
        <v>78</v>
      </c>
      <c r="B266">
        <v>129935</v>
      </c>
      <c r="C266" s="2">
        <v>2023.75</v>
      </c>
      <c r="D266" s="1">
        <v>43808</v>
      </c>
      <c r="E266" t="str">
        <f>"75318492/75324528"</f>
        <v>75318492/75324528</v>
      </c>
      <c r="F266" t="str">
        <f>"INV 75318492"</f>
        <v>INV 75318492</v>
      </c>
      <c r="G266" s="2">
        <v>2023.75</v>
      </c>
      <c r="H266" t="str">
        <f>"INV 75318492"</f>
        <v>INV 75318492</v>
      </c>
    </row>
    <row r="267" spans="1:8" x14ac:dyDescent="0.25">
      <c r="E267" t="str">
        <f>""</f>
        <v/>
      </c>
      <c r="F267" t="str">
        <f>""</f>
        <v/>
      </c>
      <c r="H267" t="str">
        <f>"INV 75324528"</f>
        <v>INV 75324528</v>
      </c>
    </row>
    <row r="268" spans="1:8" x14ac:dyDescent="0.25">
      <c r="A268" t="s">
        <v>78</v>
      </c>
      <c r="B268">
        <v>130150</v>
      </c>
      <c r="C268" s="2">
        <v>2124.7199999999998</v>
      </c>
      <c r="D268" s="1">
        <v>43822</v>
      </c>
      <c r="E268" t="str">
        <f>"75334324/775343072"</f>
        <v>75334324/775343072</v>
      </c>
      <c r="F268" t="str">
        <f>"INV 75334324"</f>
        <v>INV 75334324</v>
      </c>
      <c r="G268" s="2">
        <v>2124.7199999999998</v>
      </c>
      <c r="H268" t="str">
        <f>"INV 75334324"</f>
        <v>INV 75334324</v>
      </c>
    </row>
    <row r="269" spans="1:8" x14ac:dyDescent="0.25">
      <c r="E269" t="str">
        <f>""</f>
        <v/>
      </c>
      <c r="F269" t="str">
        <f>""</f>
        <v/>
      </c>
      <c r="H269" t="str">
        <f>"INV 75343072"</f>
        <v>INV 75343072</v>
      </c>
    </row>
    <row r="270" spans="1:8" x14ac:dyDescent="0.25">
      <c r="A270" t="s">
        <v>79</v>
      </c>
      <c r="B270">
        <v>130151</v>
      </c>
      <c r="C270" s="2">
        <v>118</v>
      </c>
      <c r="D270" s="1">
        <v>43822</v>
      </c>
      <c r="E270" t="str">
        <f>"32424"</f>
        <v>32424</v>
      </c>
      <c r="F270" t="str">
        <f>"ACCT#5005/PCT#3"</f>
        <v>ACCT#5005/PCT#3</v>
      </c>
      <c r="G270" s="2">
        <v>118</v>
      </c>
      <c r="H270" t="str">
        <f>"ACCT#5005/PCT#3"</f>
        <v>ACCT#5005/PCT#3</v>
      </c>
    </row>
    <row r="271" spans="1:8" x14ac:dyDescent="0.25">
      <c r="A271" t="s">
        <v>80</v>
      </c>
      <c r="B271">
        <v>130152</v>
      </c>
      <c r="C271" s="2">
        <v>251.15</v>
      </c>
      <c r="D271" s="1">
        <v>43822</v>
      </c>
      <c r="E271" t="str">
        <f>"201912113939"</f>
        <v>201912113939</v>
      </c>
      <c r="F271" t="str">
        <f>"ACCT#7110/PCT#2"</f>
        <v>ACCT#7110/PCT#2</v>
      </c>
      <c r="G271" s="2">
        <v>251.15</v>
      </c>
      <c r="H271" t="str">
        <f>"ACCT#7110/PCT#2"</f>
        <v>ACCT#7110/PCT#2</v>
      </c>
    </row>
    <row r="272" spans="1:8" x14ac:dyDescent="0.25">
      <c r="A272" t="s">
        <v>81</v>
      </c>
      <c r="B272">
        <v>1880</v>
      </c>
      <c r="C272" s="2">
        <v>1817.81</v>
      </c>
      <c r="D272" s="1">
        <v>43809</v>
      </c>
      <c r="E272" t="str">
        <f>"24510"</f>
        <v>24510</v>
      </c>
      <c r="F272" t="str">
        <f>"INV 24510"</f>
        <v>INV 24510</v>
      </c>
      <c r="G272" s="2">
        <v>1817.81</v>
      </c>
      <c r="H272" t="str">
        <f>"INV 24510"</f>
        <v>INV 24510</v>
      </c>
    </row>
    <row r="273" spans="1:8" x14ac:dyDescent="0.25">
      <c r="A273" t="s">
        <v>82</v>
      </c>
      <c r="B273">
        <v>1967</v>
      </c>
      <c r="C273" s="2">
        <v>369.91</v>
      </c>
      <c r="D273" s="1">
        <v>43823</v>
      </c>
      <c r="E273" t="str">
        <f>"BAST58"</f>
        <v>BAST58</v>
      </c>
      <c r="F273" t="str">
        <f>"ORD#235061/ANIMAL CONTROL"</f>
        <v>ORD#235061/ANIMAL CONTROL</v>
      </c>
      <c r="G273" s="2">
        <v>369.91</v>
      </c>
      <c r="H273" t="str">
        <f>"ORD#235061/ANIMAL CONTROL"</f>
        <v>ORD#235061/ANIMAL CONTROL</v>
      </c>
    </row>
    <row r="274" spans="1:8" x14ac:dyDescent="0.25">
      <c r="A274" t="s">
        <v>83</v>
      </c>
      <c r="B274">
        <v>1954</v>
      </c>
      <c r="C274" s="2">
        <v>1666.91</v>
      </c>
      <c r="D274" s="1">
        <v>43823</v>
      </c>
      <c r="E274" t="str">
        <f>"40186"</f>
        <v>40186</v>
      </c>
      <c r="F274" t="str">
        <f>"INV 40186 / MRAP"</f>
        <v>INV 40186 / MRAP</v>
      </c>
      <c r="G274" s="2">
        <v>1666.91</v>
      </c>
      <c r="H274" t="str">
        <f>"INV 40186 / MRAP"</f>
        <v>INV 40186 / MRAP</v>
      </c>
    </row>
    <row r="275" spans="1:8" x14ac:dyDescent="0.25">
      <c r="A275" t="s">
        <v>84</v>
      </c>
      <c r="B275">
        <v>129936</v>
      </c>
      <c r="C275" s="2">
        <v>10</v>
      </c>
      <c r="D275" s="1">
        <v>43808</v>
      </c>
      <c r="E275" t="str">
        <f>"201911273545"</f>
        <v>201911273545</v>
      </c>
      <c r="F275" t="str">
        <f>"FERAL HOGS"</f>
        <v>FERAL HOGS</v>
      </c>
      <c r="G275" s="2">
        <v>10</v>
      </c>
      <c r="H275" t="str">
        <f>"FERAL HOGS"</f>
        <v>FERAL HOGS</v>
      </c>
    </row>
    <row r="276" spans="1:8" x14ac:dyDescent="0.25">
      <c r="A276" t="s">
        <v>85</v>
      </c>
      <c r="B276">
        <v>129937</v>
      </c>
      <c r="C276" s="2">
        <v>570.58000000000004</v>
      </c>
      <c r="D276" s="1">
        <v>43808</v>
      </c>
      <c r="E276" t="str">
        <f>"84078903547 / 605"</f>
        <v>84078903547 / 605</v>
      </c>
      <c r="F276" t="str">
        <f>"INV 84078903547"</f>
        <v>INV 84078903547</v>
      </c>
      <c r="G276" s="2">
        <v>570.58000000000004</v>
      </c>
      <c r="H276" t="str">
        <f>"INV 84078903547"</f>
        <v>INV 84078903547</v>
      </c>
    </row>
    <row r="277" spans="1:8" x14ac:dyDescent="0.25">
      <c r="E277" t="str">
        <f>""</f>
        <v/>
      </c>
      <c r="F277" t="str">
        <f>""</f>
        <v/>
      </c>
      <c r="H277" t="str">
        <f>"INV 84078903605"</f>
        <v>INV 84078903605</v>
      </c>
    </row>
    <row r="278" spans="1:8" x14ac:dyDescent="0.25">
      <c r="A278" t="s">
        <v>85</v>
      </c>
      <c r="B278">
        <v>130153</v>
      </c>
      <c r="C278" s="2">
        <v>604.72</v>
      </c>
      <c r="D278" s="1">
        <v>43822</v>
      </c>
      <c r="E278" t="str">
        <f>"84078903661/03711"</f>
        <v>84078903661/03711</v>
      </c>
      <c r="F278" t="str">
        <f>"INV 84078903661"</f>
        <v>INV 84078903661</v>
      </c>
      <c r="G278" s="2">
        <v>604.72</v>
      </c>
      <c r="H278" t="str">
        <f>"INV 84078903661"</f>
        <v>INV 84078903661</v>
      </c>
    </row>
    <row r="279" spans="1:8" x14ac:dyDescent="0.25">
      <c r="E279" t="str">
        <f>""</f>
        <v/>
      </c>
      <c r="F279" t="str">
        <f>""</f>
        <v/>
      </c>
      <c r="H279" t="str">
        <f>"INV 84078903711"</f>
        <v>INV 84078903711</v>
      </c>
    </row>
    <row r="280" spans="1:8" x14ac:dyDescent="0.25">
      <c r="A280" t="s">
        <v>86</v>
      </c>
      <c r="B280">
        <v>1913</v>
      </c>
      <c r="C280" s="2">
        <v>2597.35</v>
      </c>
      <c r="D280" s="1">
        <v>43823</v>
      </c>
      <c r="E280" t="str">
        <f>"201912174204"</f>
        <v>201912174204</v>
      </c>
      <c r="F280" t="str">
        <f>"19-19526"</f>
        <v>19-19526</v>
      </c>
      <c r="G280" s="2">
        <v>803</v>
      </c>
      <c r="H280" t="str">
        <f>"19-19526"</f>
        <v>19-19526</v>
      </c>
    </row>
    <row r="281" spans="1:8" x14ac:dyDescent="0.25">
      <c r="E281" t="str">
        <f>"201912174205"</f>
        <v>201912174205</v>
      </c>
      <c r="F281" t="str">
        <f>"020727.4  925-353-8457 19-S-04"</f>
        <v>020727.4  925-353-8457 19-S-04</v>
      </c>
      <c r="G281" s="2">
        <v>250</v>
      </c>
      <c r="H281" t="str">
        <f>"020727.4  925-353-8457 19-S-04"</f>
        <v>020727.4  925-353-8457 19-S-04</v>
      </c>
    </row>
    <row r="282" spans="1:8" x14ac:dyDescent="0.25">
      <c r="E282" t="str">
        <f>"201912174206"</f>
        <v>201912174206</v>
      </c>
      <c r="F282" t="str">
        <f>"18-19336"</f>
        <v>18-19336</v>
      </c>
      <c r="G282" s="2">
        <v>575.6</v>
      </c>
      <c r="H282" t="str">
        <f>"18-19336"</f>
        <v>18-19336</v>
      </c>
    </row>
    <row r="283" spans="1:8" x14ac:dyDescent="0.25">
      <c r="E283" t="str">
        <f>"201912174207"</f>
        <v>201912174207</v>
      </c>
      <c r="F283" t="str">
        <f>"18-19410"</f>
        <v>18-19410</v>
      </c>
      <c r="G283" s="2">
        <v>100</v>
      </c>
      <c r="H283" t="str">
        <f>"18-19410"</f>
        <v>18-19410</v>
      </c>
    </row>
    <row r="284" spans="1:8" x14ac:dyDescent="0.25">
      <c r="E284" t="str">
        <f>"201912184250"</f>
        <v>201912184250</v>
      </c>
      <c r="F284" t="str">
        <f>"19-19526"</f>
        <v>19-19526</v>
      </c>
      <c r="G284" s="2">
        <v>100</v>
      </c>
      <c r="H284" t="str">
        <f>"19-19526"</f>
        <v>19-19526</v>
      </c>
    </row>
    <row r="285" spans="1:8" x14ac:dyDescent="0.25">
      <c r="E285" t="str">
        <f>"201912184251"</f>
        <v>201912184251</v>
      </c>
      <c r="F285" t="str">
        <f>"18-19166"</f>
        <v>18-19166</v>
      </c>
      <c r="G285" s="2">
        <v>768.75</v>
      </c>
      <c r="H285" t="str">
        <f>"18-19166"</f>
        <v>18-19166</v>
      </c>
    </row>
    <row r="286" spans="1:8" x14ac:dyDescent="0.25">
      <c r="A286" t="s">
        <v>87</v>
      </c>
      <c r="B286">
        <v>130154</v>
      </c>
      <c r="C286" s="2">
        <v>268.14</v>
      </c>
      <c r="D286" s="1">
        <v>43822</v>
      </c>
      <c r="E286" t="str">
        <f>"201912164115"</f>
        <v>201912164115</v>
      </c>
      <c r="F286" t="str">
        <f>"CRIME STOPPER FEES - NOV 2019"</f>
        <v>CRIME STOPPER FEES - NOV 2019</v>
      </c>
      <c r="G286" s="2">
        <v>268.14</v>
      </c>
      <c r="H286" t="str">
        <f>"CRIME STOPPER FEES - NOV 2019"</f>
        <v>CRIME STOPPER FEES - NOV 2019</v>
      </c>
    </row>
    <row r="287" spans="1:8" x14ac:dyDescent="0.25">
      <c r="A287" t="s">
        <v>88</v>
      </c>
      <c r="B287">
        <v>130075</v>
      </c>
      <c r="C287" s="2">
        <v>3518.54</v>
      </c>
      <c r="D287" s="1">
        <v>43810</v>
      </c>
      <c r="E287" t="str">
        <f>"201912113892"</f>
        <v>201912113892</v>
      </c>
      <c r="F287" t="str">
        <f>"ACCT#5000057374 / 12022019"</f>
        <v>ACCT#5000057374 / 12022019</v>
      </c>
      <c r="G287" s="2">
        <v>3518.54</v>
      </c>
      <c r="H287" t="str">
        <f>"ACCT#5000057374 / 12022019"</f>
        <v>ACCT#5000057374 / 12022019</v>
      </c>
    </row>
    <row r="288" spans="1:8" x14ac:dyDescent="0.25">
      <c r="E288" t="str">
        <f>""</f>
        <v/>
      </c>
      <c r="F288" t="str">
        <f>""</f>
        <v/>
      </c>
      <c r="H288" t="str">
        <f>"ACCT#5000057374 / 12022019"</f>
        <v>ACCT#5000057374 / 12022019</v>
      </c>
    </row>
    <row r="289" spans="1:8" x14ac:dyDescent="0.25">
      <c r="E289" t="str">
        <f>""</f>
        <v/>
      </c>
      <c r="F289" t="str">
        <f>""</f>
        <v/>
      </c>
      <c r="H289" t="str">
        <f>"ACCT#5000057374 / 12022019"</f>
        <v>ACCT#5000057374 / 12022019</v>
      </c>
    </row>
    <row r="290" spans="1:8" x14ac:dyDescent="0.25">
      <c r="E290" t="str">
        <f>""</f>
        <v/>
      </c>
      <c r="F290" t="str">
        <f>""</f>
        <v/>
      </c>
      <c r="H290" t="str">
        <f>"ACCT#5000057374 / 12022019"</f>
        <v>ACCT#5000057374 / 12022019</v>
      </c>
    </row>
    <row r="291" spans="1:8" x14ac:dyDescent="0.25">
      <c r="A291" t="s">
        <v>89</v>
      </c>
      <c r="B291">
        <v>130155</v>
      </c>
      <c r="C291" s="2">
        <v>1034</v>
      </c>
      <c r="D291" s="1">
        <v>43822</v>
      </c>
      <c r="E291" t="str">
        <f>"201912103881"</f>
        <v>201912103881</v>
      </c>
      <c r="F291" t="str">
        <f>"RESTITUTION-M. SELF"</f>
        <v>RESTITUTION-M. SELF</v>
      </c>
      <c r="G291" s="2">
        <v>1034</v>
      </c>
      <c r="H291" t="str">
        <f>"RESTITUTION-M. SELF"</f>
        <v>RESTITUTION-M. SELF</v>
      </c>
    </row>
    <row r="292" spans="1:8" x14ac:dyDescent="0.25">
      <c r="A292" t="s">
        <v>90</v>
      </c>
      <c r="B292">
        <v>1890</v>
      </c>
      <c r="C292" s="2">
        <v>55358.87</v>
      </c>
      <c r="D292" s="1">
        <v>43809</v>
      </c>
      <c r="E292" t="str">
        <f>"201912033662"</f>
        <v>201912033662</v>
      </c>
      <c r="F292" t="str">
        <f>"GRANT REIMBURSEMENT"</f>
        <v>GRANT REIMBURSEMENT</v>
      </c>
      <c r="G292" s="2">
        <v>17416.57</v>
      </c>
      <c r="H292" t="str">
        <f>"GRANT REIMBURSEMENT"</f>
        <v>GRANT REIMBURSEMENT</v>
      </c>
    </row>
    <row r="293" spans="1:8" x14ac:dyDescent="0.25">
      <c r="E293" t="str">
        <f>"201912033664"</f>
        <v>201912033664</v>
      </c>
      <c r="F293" t="str">
        <f>"GRANT REIMBURSEMENT"</f>
        <v>GRANT REIMBURSEMENT</v>
      </c>
      <c r="G293" s="2">
        <v>17315.72</v>
      </c>
      <c r="H293" t="str">
        <f>"GRANT REIMBURSEMENT"</f>
        <v>GRANT REIMBURSEMENT</v>
      </c>
    </row>
    <row r="294" spans="1:8" x14ac:dyDescent="0.25">
      <c r="E294" t="str">
        <f>"201912033665"</f>
        <v>201912033665</v>
      </c>
      <c r="F294" t="str">
        <f>"GRANT REIMBURSEMENT"</f>
        <v>GRANT REIMBURSEMENT</v>
      </c>
      <c r="G294" s="2">
        <v>19726.580000000002</v>
      </c>
      <c r="H294" t="str">
        <f>"GRANT REIMBURSEMENT"</f>
        <v>GRANT REIMBURSEMENT</v>
      </c>
    </row>
    <row r="295" spans="1:8" x14ac:dyDescent="0.25">
      <c r="E295" t="str">
        <f>"25-11-2019"</f>
        <v>25-11-2019</v>
      </c>
      <c r="F295" t="str">
        <f>"INV 25-11-2019"</f>
        <v>INV 25-11-2019</v>
      </c>
      <c r="G295" s="2">
        <v>900</v>
      </c>
      <c r="H295" t="str">
        <f>"INV 25-11-2019"</f>
        <v>INV 25-11-2019</v>
      </c>
    </row>
    <row r="296" spans="1:8" x14ac:dyDescent="0.25">
      <c r="A296" t="s">
        <v>91</v>
      </c>
      <c r="B296">
        <v>129938</v>
      </c>
      <c r="C296" s="2">
        <v>997.5</v>
      </c>
      <c r="D296" s="1">
        <v>43808</v>
      </c>
      <c r="E296" t="str">
        <f>"UT1000517293"</f>
        <v>UT1000517293</v>
      </c>
      <c r="F296" t="str">
        <f>"INV UT1000517293"</f>
        <v>INV UT1000517293</v>
      </c>
      <c r="G296" s="2">
        <v>997.5</v>
      </c>
      <c r="H296" t="str">
        <f>"INV UT1000517293"</f>
        <v>INV UT1000517293</v>
      </c>
    </row>
    <row r="297" spans="1:8" x14ac:dyDescent="0.25">
      <c r="A297" t="s">
        <v>91</v>
      </c>
      <c r="B297">
        <v>130156</v>
      </c>
      <c r="C297" s="2">
        <v>239.4</v>
      </c>
      <c r="D297" s="1">
        <v>43822</v>
      </c>
      <c r="E297" t="str">
        <f>"UT1000518308"</f>
        <v>UT1000518308</v>
      </c>
      <c r="F297" t="str">
        <f>"INV UT1000518308"</f>
        <v>INV UT1000518308</v>
      </c>
      <c r="G297" s="2">
        <v>239.4</v>
      </c>
      <c r="H297" t="str">
        <f>"INV UT1000518308"</f>
        <v>INV UT1000518308</v>
      </c>
    </row>
    <row r="298" spans="1:8" x14ac:dyDescent="0.25">
      <c r="A298" t="s">
        <v>92</v>
      </c>
      <c r="B298">
        <v>129939</v>
      </c>
      <c r="C298" s="2">
        <v>1603.34</v>
      </c>
      <c r="D298" s="1">
        <v>43808</v>
      </c>
      <c r="E298" t="str">
        <f>"105752"</f>
        <v>105752</v>
      </c>
      <c r="F298" t="str">
        <f>"ACCT#1268/PCT#3"</f>
        <v>ACCT#1268/PCT#3</v>
      </c>
      <c r="G298" s="2">
        <v>1321.22</v>
      </c>
      <c r="H298" t="str">
        <f>"ACCT#1268/PCT#3"</f>
        <v>ACCT#1268/PCT#3</v>
      </c>
    </row>
    <row r="299" spans="1:8" x14ac:dyDescent="0.25">
      <c r="E299" t="str">
        <f>"105930"</f>
        <v>105930</v>
      </c>
      <c r="F299" t="str">
        <f>"ACCT#1268/PCT#3"</f>
        <v>ACCT#1268/PCT#3</v>
      </c>
      <c r="G299" s="2">
        <v>282.12</v>
      </c>
      <c r="H299" t="str">
        <f>"ACCT#1268/PCT#3"</f>
        <v>ACCT#1268/PCT#3</v>
      </c>
    </row>
    <row r="300" spans="1:8" x14ac:dyDescent="0.25">
      <c r="A300" t="s">
        <v>92</v>
      </c>
      <c r="B300">
        <v>130157</v>
      </c>
      <c r="C300" s="2">
        <v>5629.27</v>
      </c>
      <c r="D300" s="1">
        <v>43822</v>
      </c>
      <c r="E300" t="str">
        <f>"106064"</f>
        <v>106064</v>
      </c>
      <c r="F300" t="str">
        <f>"ACCT#1268/PCT#3"</f>
        <v>ACCT#1268/PCT#3</v>
      </c>
      <c r="G300" s="2">
        <v>381.57</v>
      </c>
      <c r="H300" t="str">
        <f>"ACCT#1268/PCT#3"</f>
        <v>ACCT#1268/PCT#3</v>
      </c>
    </row>
    <row r="301" spans="1:8" x14ac:dyDescent="0.25">
      <c r="E301" t="str">
        <f>"106065"</f>
        <v>106065</v>
      </c>
      <c r="F301" t="str">
        <f>"ACCT#1269/PCT#4"</f>
        <v>ACCT#1269/PCT#4</v>
      </c>
      <c r="G301" s="2">
        <v>5247.7</v>
      </c>
      <c r="H301" t="str">
        <f>"ACCT#1269/PCT#4"</f>
        <v>ACCT#1269/PCT#4</v>
      </c>
    </row>
    <row r="302" spans="1:8" x14ac:dyDescent="0.25">
      <c r="A302" t="s">
        <v>93</v>
      </c>
      <c r="B302">
        <v>129940</v>
      </c>
      <c r="C302" s="2">
        <v>249.07</v>
      </c>
      <c r="D302" s="1">
        <v>43808</v>
      </c>
      <c r="E302" t="str">
        <f>"201912033699"</f>
        <v>201912033699</v>
      </c>
      <c r="F302" t="str">
        <f>"REPAIRED PLUMBING MAIN/PCT#3"</f>
        <v>REPAIRED PLUMBING MAIN/PCT#3</v>
      </c>
      <c r="G302" s="2">
        <v>249.07</v>
      </c>
      <c r="H302" t="str">
        <f>"REPAIRED PLUMBING MAIN/PCT#3"</f>
        <v>REPAIRED PLUMBING MAIN/PCT#3</v>
      </c>
    </row>
    <row r="303" spans="1:8" x14ac:dyDescent="0.25">
      <c r="A303" t="s">
        <v>94</v>
      </c>
      <c r="B303">
        <v>129941</v>
      </c>
      <c r="C303" s="2">
        <v>734</v>
      </c>
      <c r="D303" s="1">
        <v>43808</v>
      </c>
      <c r="E303" t="str">
        <f>"201912033752"</f>
        <v>201912033752</v>
      </c>
      <c r="F303" t="str">
        <f>"PARTS FOR GUN REPAIRS"</f>
        <v>PARTS FOR GUN REPAIRS</v>
      </c>
      <c r="G303" s="2">
        <v>734</v>
      </c>
      <c r="H303" t="str">
        <f>"PARTS FOR GUN REPAIRS"</f>
        <v>PARTS FOR GUN REPAIRS</v>
      </c>
    </row>
    <row r="304" spans="1:8" x14ac:dyDescent="0.25">
      <c r="A304" t="s">
        <v>95</v>
      </c>
      <c r="B304">
        <v>129942</v>
      </c>
      <c r="C304" s="2">
        <v>30</v>
      </c>
      <c r="D304" s="1">
        <v>43808</v>
      </c>
      <c r="E304" t="str">
        <f>"19-19978"</f>
        <v>19-19978</v>
      </c>
      <c r="F304" t="str">
        <f>"CAR FUND"</f>
        <v>CAR FUND</v>
      </c>
      <c r="G304" s="2">
        <v>15</v>
      </c>
      <c r="H304" t="str">
        <f>"CAR FUND"</f>
        <v>CAR FUND</v>
      </c>
    </row>
    <row r="305" spans="1:8" x14ac:dyDescent="0.25">
      <c r="E305" t="str">
        <f>"423-6965"</f>
        <v>423-6965</v>
      </c>
      <c r="F305" t="str">
        <f>"CAR FUND"</f>
        <v>CAR FUND</v>
      </c>
      <c r="G305" s="2">
        <v>15</v>
      </c>
      <c r="H305" t="str">
        <f>"CAR FUND"</f>
        <v>CAR FUND</v>
      </c>
    </row>
    <row r="306" spans="1:8" x14ac:dyDescent="0.25">
      <c r="A306" t="s">
        <v>95</v>
      </c>
      <c r="B306">
        <v>130158</v>
      </c>
      <c r="C306" s="2">
        <v>45</v>
      </c>
      <c r="D306" s="1">
        <v>43822</v>
      </c>
      <c r="E306" t="str">
        <f>"17-18447"</f>
        <v>17-18447</v>
      </c>
      <c r="F306" t="str">
        <f>"CENTRAL ADOPTION REGISTRY FUND"</f>
        <v>CENTRAL ADOPTION REGISTRY FUND</v>
      </c>
      <c r="G306" s="2">
        <v>15</v>
      </c>
      <c r="H306" t="str">
        <f>"CENTRAL ADOPTION REGISTRY FUND"</f>
        <v>CENTRAL ADOPTION REGISTRY FUND</v>
      </c>
    </row>
    <row r="307" spans="1:8" x14ac:dyDescent="0.25">
      <c r="E307" t="str">
        <f>"19-19991"</f>
        <v>19-19991</v>
      </c>
      <c r="F307" t="str">
        <f>"CENTRAL ADOPTION REGISTRY FUND"</f>
        <v>CENTRAL ADOPTION REGISTRY FUND</v>
      </c>
      <c r="G307" s="2">
        <v>15</v>
      </c>
      <c r="H307" t="str">
        <f>"CENTRAL ADOPTION REGISTRY FUND"</f>
        <v>CENTRAL ADOPTION REGISTRY FUND</v>
      </c>
    </row>
    <row r="308" spans="1:8" x14ac:dyDescent="0.25">
      <c r="E308" t="str">
        <f>"423-6988"</f>
        <v>423-6988</v>
      </c>
      <c r="F308" t="str">
        <f>"CENTRAL ADOPTION REGISTRY FUND"</f>
        <v>CENTRAL ADOPTION REGISTRY FUND</v>
      </c>
      <c r="G308" s="2">
        <v>15</v>
      </c>
      <c r="H308" t="str">
        <f>"CENTRAL ADOPTION REGISTRY FUND"</f>
        <v>CENTRAL ADOPTION REGISTRY FUND</v>
      </c>
    </row>
    <row r="309" spans="1:8" x14ac:dyDescent="0.25">
      <c r="A309" t="s">
        <v>96</v>
      </c>
      <c r="B309">
        <v>129943</v>
      </c>
      <c r="C309" s="2">
        <v>165</v>
      </c>
      <c r="D309" s="1">
        <v>43808</v>
      </c>
      <c r="E309" t="str">
        <f>"201911273548"</f>
        <v>201911273548</v>
      </c>
      <c r="F309" t="str">
        <f t="shared" ref="F309:F315" si="12">"FERAL HOGS"</f>
        <v>FERAL HOGS</v>
      </c>
      <c r="G309" s="2">
        <v>60</v>
      </c>
      <c r="H309" t="str">
        <f t="shared" ref="H309:H315" si="13">"FERAL HOGS"</f>
        <v>FERAL HOGS</v>
      </c>
    </row>
    <row r="310" spans="1:8" x14ac:dyDescent="0.25">
      <c r="E310" t="str">
        <f>"201911273549"</f>
        <v>201911273549</v>
      </c>
      <c r="F310" t="str">
        <f t="shared" si="12"/>
        <v>FERAL HOGS</v>
      </c>
      <c r="G310" s="2">
        <v>40</v>
      </c>
      <c r="H310" t="str">
        <f t="shared" si="13"/>
        <v>FERAL HOGS</v>
      </c>
    </row>
    <row r="311" spans="1:8" x14ac:dyDescent="0.25">
      <c r="E311" t="str">
        <f>"201911273550"</f>
        <v>201911273550</v>
      </c>
      <c r="F311" t="str">
        <f t="shared" si="12"/>
        <v>FERAL HOGS</v>
      </c>
      <c r="G311" s="2">
        <v>30</v>
      </c>
      <c r="H311" t="str">
        <f t="shared" si="13"/>
        <v>FERAL HOGS</v>
      </c>
    </row>
    <row r="312" spans="1:8" x14ac:dyDescent="0.25">
      <c r="E312" t="str">
        <f>"201911273551"</f>
        <v>201911273551</v>
      </c>
      <c r="F312" t="str">
        <f t="shared" si="12"/>
        <v>FERAL HOGS</v>
      </c>
      <c r="G312" s="2">
        <v>35</v>
      </c>
      <c r="H312" t="str">
        <f t="shared" si="13"/>
        <v>FERAL HOGS</v>
      </c>
    </row>
    <row r="313" spans="1:8" x14ac:dyDescent="0.25">
      <c r="A313" t="s">
        <v>96</v>
      </c>
      <c r="B313">
        <v>130159</v>
      </c>
      <c r="C313" s="2">
        <v>100</v>
      </c>
      <c r="D313" s="1">
        <v>43822</v>
      </c>
      <c r="E313" t="str">
        <f>"201912113907"</f>
        <v>201912113907</v>
      </c>
      <c r="F313" t="str">
        <f t="shared" si="12"/>
        <v>FERAL HOGS</v>
      </c>
      <c r="G313" s="2">
        <v>35</v>
      </c>
      <c r="H313" t="str">
        <f t="shared" si="13"/>
        <v>FERAL HOGS</v>
      </c>
    </row>
    <row r="314" spans="1:8" x14ac:dyDescent="0.25">
      <c r="E314" t="str">
        <f>"201912113908"</f>
        <v>201912113908</v>
      </c>
      <c r="F314" t="str">
        <f t="shared" si="12"/>
        <v>FERAL HOGS</v>
      </c>
      <c r="G314" s="2">
        <v>65</v>
      </c>
      <c r="H314" t="str">
        <f t="shared" si="13"/>
        <v>FERAL HOGS</v>
      </c>
    </row>
    <row r="315" spans="1:8" x14ac:dyDescent="0.25">
      <c r="A315" t="s">
        <v>97</v>
      </c>
      <c r="B315">
        <v>130160</v>
      </c>
      <c r="C315" s="2">
        <v>345</v>
      </c>
      <c r="D315" s="1">
        <v>43822</v>
      </c>
      <c r="E315" t="str">
        <f>"201912113903"</f>
        <v>201912113903</v>
      </c>
      <c r="F315" t="str">
        <f t="shared" si="12"/>
        <v>FERAL HOGS</v>
      </c>
      <c r="G315" s="2">
        <v>345</v>
      </c>
      <c r="H315" t="str">
        <f t="shared" si="13"/>
        <v>FERAL HOGS</v>
      </c>
    </row>
    <row r="316" spans="1:8" x14ac:dyDescent="0.25">
      <c r="A316" t="s">
        <v>98</v>
      </c>
      <c r="B316">
        <v>130161</v>
      </c>
      <c r="C316" s="2">
        <v>332831.3</v>
      </c>
      <c r="D316" s="1">
        <v>43822</v>
      </c>
      <c r="E316" t="str">
        <f>"BCTX-113019"</f>
        <v>BCTX-113019</v>
      </c>
      <c r="F316" t="str">
        <f>"INv# BCTX-113019"</f>
        <v>INv# BCTX-113019</v>
      </c>
      <c r="G316" s="2">
        <v>332831.3</v>
      </c>
      <c r="H316" t="str">
        <f>"Pct 1-4- Mananawui D"</f>
        <v>Pct 1-4- Mananawui D</v>
      </c>
    </row>
    <row r="317" spans="1:8" x14ac:dyDescent="0.25">
      <c r="E317" t="str">
        <f>""</f>
        <v/>
      </c>
      <c r="F317" t="str">
        <f>""</f>
        <v/>
      </c>
      <c r="H317" t="str">
        <f>"Pct 1-3 Iva Lane"</f>
        <v>Pct 1-3 Iva Lane</v>
      </c>
    </row>
    <row r="318" spans="1:8" x14ac:dyDescent="0.25">
      <c r="E318" t="str">
        <f>""</f>
        <v/>
      </c>
      <c r="F318" t="str">
        <f>""</f>
        <v/>
      </c>
      <c r="H318" t="str">
        <f>"Pct 2-3Pine Shadow"</f>
        <v>Pct 2-3Pine Shadow</v>
      </c>
    </row>
    <row r="319" spans="1:8" x14ac:dyDescent="0.25">
      <c r="E319" t="str">
        <f>""</f>
        <v/>
      </c>
      <c r="F319" t="str">
        <f>""</f>
        <v/>
      </c>
      <c r="H319" t="str">
        <f>"Pct 2-6 West Cassel"</f>
        <v>Pct 2-6 West Cassel</v>
      </c>
    </row>
    <row r="320" spans="1:8" x14ac:dyDescent="0.25">
      <c r="E320" t="str">
        <f>""</f>
        <v/>
      </c>
      <c r="F320" t="str">
        <f>""</f>
        <v/>
      </c>
      <c r="H320" t="str">
        <f>"Pct 2-9A West Cardin"</f>
        <v>Pct 2-9A West Cardin</v>
      </c>
    </row>
    <row r="321" spans="1:8" x14ac:dyDescent="0.25">
      <c r="E321" t="str">
        <f>""</f>
        <v/>
      </c>
      <c r="F321" t="str">
        <f>""</f>
        <v/>
      </c>
      <c r="H321" t="str">
        <f>"Pct 2-1B"</f>
        <v>Pct 2-1B</v>
      </c>
    </row>
    <row r="322" spans="1:8" x14ac:dyDescent="0.25">
      <c r="A322" t="s">
        <v>99</v>
      </c>
      <c r="B322">
        <v>130162</v>
      </c>
      <c r="C322" s="2">
        <v>380</v>
      </c>
      <c r="D322" s="1">
        <v>43822</v>
      </c>
      <c r="E322" t="str">
        <f>"2021RTA 109"</f>
        <v>2021RTA 109</v>
      </c>
      <c r="F322" t="str">
        <f>"INV 2021RTA 109"</f>
        <v>INV 2021RTA 109</v>
      </c>
      <c r="G322" s="2">
        <v>380</v>
      </c>
      <c r="H322" t="str">
        <f>"INV 2021RTA 109"</f>
        <v>INV 2021RTA 109</v>
      </c>
    </row>
    <row r="323" spans="1:8" x14ac:dyDescent="0.25">
      <c r="A323" t="s">
        <v>100</v>
      </c>
      <c r="B323">
        <v>129944</v>
      </c>
      <c r="C323" s="2">
        <v>235</v>
      </c>
      <c r="D323" s="1">
        <v>43808</v>
      </c>
      <c r="E323" t="str">
        <f>"HURT R"</f>
        <v>HURT R</v>
      </c>
      <c r="F323" t="str">
        <f>"TRANSPORT-R. HURT"</f>
        <v>TRANSPORT-R. HURT</v>
      </c>
      <c r="G323" s="2">
        <v>235</v>
      </c>
      <c r="H323" t="str">
        <f>"TRANSPORT-R. HURT"</f>
        <v>TRANSPORT-R. HURT</v>
      </c>
    </row>
    <row r="324" spans="1:8" x14ac:dyDescent="0.25">
      <c r="A324" t="s">
        <v>101</v>
      </c>
      <c r="B324">
        <v>1938</v>
      </c>
      <c r="C324" s="2">
        <v>369.33</v>
      </c>
      <c r="D324" s="1">
        <v>43823</v>
      </c>
      <c r="E324" t="str">
        <f>"01707859"</f>
        <v>01707859</v>
      </c>
      <c r="F324" t="str">
        <f>"ACCT#000690/ORD#01398980/P4"</f>
        <v>ACCT#000690/ORD#01398980/P4</v>
      </c>
      <c r="G324" s="2">
        <v>23.08</v>
      </c>
      <c r="H324" t="str">
        <f>"ACCT#000690/ORD#01398980/P4"</f>
        <v>ACCT#000690/ORD#01398980/P4</v>
      </c>
    </row>
    <row r="325" spans="1:8" x14ac:dyDescent="0.25">
      <c r="E325" t="str">
        <f>"04000297"</f>
        <v>04000297</v>
      </c>
      <c r="F325" t="str">
        <f>"ACCT#005902/ORD#00422532/PCT#2"</f>
        <v>ACCT#005902/ORD#00422532/PCT#2</v>
      </c>
      <c r="G325" s="2">
        <v>173.11</v>
      </c>
      <c r="H325" t="str">
        <f>"ACCT#005902/ORD#00422532/PCT#2"</f>
        <v>ACCT#005902/ORD#00422532/PCT#2</v>
      </c>
    </row>
    <row r="326" spans="1:8" x14ac:dyDescent="0.25">
      <c r="E326" t="str">
        <f>"04000382"</f>
        <v>04000382</v>
      </c>
      <c r="F326" t="str">
        <f>"ACCT#005902/ORD#00422532/PCT#2"</f>
        <v>ACCT#005902/ORD#00422532/PCT#2</v>
      </c>
      <c r="G326" s="2">
        <v>173.14</v>
      </c>
      <c r="H326" t="str">
        <f>"ACCT#005902/ORD#00422532/PCT#2"</f>
        <v>ACCT#005902/ORD#00422532/PCT#2</v>
      </c>
    </row>
    <row r="327" spans="1:8" x14ac:dyDescent="0.25">
      <c r="A327" t="s">
        <v>102</v>
      </c>
      <c r="B327">
        <v>318</v>
      </c>
      <c r="C327" s="2">
        <v>3643.66</v>
      </c>
      <c r="D327" s="1">
        <v>43822</v>
      </c>
      <c r="E327" t="str">
        <f>"201912184289"</f>
        <v>201912184289</v>
      </c>
      <c r="F327" t="str">
        <f>"acct# 0058"</f>
        <v>acct# 0058</v>
      </c>
      <c r="G327" s="2">
        <v>3643.66</v>
      </c>
      <c r="H327" t="str">
        <f>"Fred Pryor"</f>
        <v>Fred Pryor</v>
      </c>
    </row>
    <row r="328" spans="1:8" x14ac:dyDescent="0.25">
      <c r="E328" t="str">
        <f>""</f>
        <v/>
      </c>
      <c r="F328" t="str">
        <f>""</f>
        <v/>
      </c>
      <c r="H328" t="str">
        <f>"Paypal"</f>
        <v>Paypal</v>
      </c>
    </row>
    <row r="329" spans="1:8" x14ac:dyDescent="0.25">
      <c r="E329" t="str">
        <f>""</f>
        <v/>
      </c>
      <c r="F329" t="str">
        <f>""</f>
        <v/>
      </c>
      <c r="H329" t="str">
        <f>"Hotels.com"</f>
        <v>Hotels.com</v>
      </c>
    </row>
    <row r="330" spans="1:8" x14ac:dyDescent="0.25">
      <c r="E330" t="str">
        <f>""</f>
        <v/>
      </c>
      <c r="F330" t="str">
        <f>""</f>
        <v/>
      </c>
      <c r="H330" t="str">
        <f>"Hotels.com"</f>
        <v>Hotels.com</v>
      </c>
    </row>
    <row r="331" spans="1:8" x14ac:dyDescent="0.25">
      <c r="E331" t="str">
        <f>""</f>
        <v/>
      </c>
      <c r="F331" t="str">
        <f>""</f>
        <v/>
      </c>
      <c r="H331" t="str">
        <f>"DOuble Tree"</f>
        <v>DOuble Tree</v>
      </c>
    </row>
    <row r="332" spans="1:8" x14ac:dyDescent="0.25">
      <c r="E332" t="str">
        <f>""</f>
        <v/>
      </c>
      <c r="F332" t="str">
        <f>""</f>
        <v/>
      </c>
      <c r="H332" t="str">
        <f>"Google"</f>
        <v>Google</v>
      </c>
    </row>
    <row r="333" spans="1:8" x14ac:dyDescent="0.25">
      <c r="E333" t="str">
        <f>""</f>
        <v/>
      </c>
      <c r="F333" t="str">
        <f>""</f>
        <v/>
      </c>
      <c r="H333" t="str">
        <f>"WEBEX"</f>
        <v>WEBEX</v>
      </c>
    </row>
    <row r="334" spans="1:8" x14ac:dyDescent="0.25">
      <c r="E334" t="str">
        <f>""</f>
        <v/>
      </c>
      <c r="F334" t="str">
        <f>""</f>
        <v/>
      </c>
      <c r="H334" t="str">
        <f>"Altex"</f>
        <v>Altex</v>
      </c>
    </row>
    <row r="335" spans="1:8" x14ac:dyDescent="0.25">
      <c r="E335" t="str">
        <f>""</f>
        <v/>
      </c>
      <c r="F335" t="str">
        <f>""</f>
        <v/>
      </c>
      <c r="H335" t="str">
        <f>"REALTRUCK"</f>
        <v>REALTRUCK</v>
      </c>
    </row>
    <row r="336" spans="1:8" x14ac:dyDescent="0.25">
      <c r="E336" t="str">
        <f>""</f>
        <v/>
      </c>
      <c r="F336" t="str">
        <f>""</f>
        <v/>
      </c>
      <c r="H336" t="str">
        <f>"TxTag"</f>
        <v>TxTag</v>
      </c>
    </row>
    <row r="337" spans="5:8" x14ac:dyDescent="0.25">
      <c r="E337" t="str">
        <f>""</f>
        <v/>
      </c>
      <c r="F337" t="str">
        <f>""</f>
        <v/>
      </c>
      <c r="H337" t="str">
        <f>"Academy"</f>
        <v>Academy</v>
      </c>
    </row>
    <row r="338" spans="5:8" x14ac:dyDescent="0.25">
      <c r="E338" t="str">
        <f>""</f>
        <v/>
      </c>
      <c r="F338" t="str">
        <f>""</f>
        <v/>
      </c>
      <c r="H338" t="str">
        <f>"erika Dejesus"</f>
        <v>erika Dejesus</v>
      </c>
    </row>
    <row r="339" spans="5:8" x14ac:dyDescent="0.25">
      <c r="E339" t="str">
        <f>""</f>
        <v/>
      </c>
      <c r="F339" t="str">
        <f>""</f>
        <v/>
      </c>
      <c r="H339" t="str">
        <f>"Rosanna Gaza"</f>
        <v>Rosanna Gaza</v>
      </c>
    </row>
    <row r="340" spans="5:8" x14ac:dyDescent="0.25">
      <c r="E340" t="str">
        <f>""</f>
        <v/>
      </c>
      <c r="F340" t="str">
        <f>""</f>
        <v/>
      </c>
      <c r="H340" t="str">
        <f>"Robert Bennet"</f>
        <v>Robert Bennet</v>
      </c>
    </row>
    <row r="341" spans="5:8" x14ac:dyDescent="0.25">
      <c r="E341" t="str">
        <f>""</f>
        <v/>
      </c>
      <c r="F341" t="str">
        <f>""</f>
        <v/>
      </c>
      <c r="H341" t="str">
        <f>"Annette Muley"</f>
        <v>Annette Muley</v>
      </c>
    </row>
    <row r="342" spans="5:8" x14ac:dyDescent="0.25">
      <c r="E342" t="str">
        <f>""</f>
        <v/>
      </c>
      <c r="F342" t="str">
        <f>""</f>
        <v/>
      </c>
      <c r="H342" t="str">
        <f>"WALMART"</f>
        <v>WALMART</v>
      </c>
    </row>
    <row r="343" spans="5:8" x14ac:dyDescent="0.25">
      <c r="E343" t="str">
        <f>""</f>
        <v/>
      </c>
      <c r="F343" t="str">
        <f>""</f>
        <v/>
      </c>
      <c r="H343" t="str">
        <f>"HEB"</f>
        <v>HEB</v>
      </c>
    </row>
    <row r="344" spans="5:8" x14ac:dyDescent="0.25">
      <c r="E344" t="str">
        <f>""</f>
        <v/>
      </c>
      <c r="F344" t="str">
        <f>""</f>
        <v/>
      </c>
      <c r="H344" t="str">
        <f>"WALMART"</f>
        <v>WALMART</v>
      </c>
    </row>
    <row r="345" spans="5:8" x14ac:dyDescent="0.25">
      <c r="E345" t="str">
        <f>""</f>
        <v/>
      </c>
      <c r="F345" t="str">
        <f>""</f>
        <v/>
      </c>
      <c r="H345" t="str">
        <f>"WALMART"</f>
        <v>WALMART</v>
      </c>
    </row>
    <row r="346" spans="5:8" x14ac:dyDescent="0.25">
      <c r="E346" t="str">
        <f>""</f>
        <v/>
      </c>
      <c r="F346" t="str">
        <f>""</f>
        <v/>
      </c>
      <c r="H346" t="str">
        <f>"TxTag"</f>
        <v>TxTag</v>
      </c>
    </row>
    <row r="347" spans="5:8" x14ac:dyDescent="0.25">
      <c r="E347" t="str">
        <f>""</f>
        <v/>
      </c>
      <c r="F347" t="str">
        <f>""</f>
        <v/>
      </c>
      <c r="H347" t="str">
        <f>"WALMART"</f>
        <v>WALMART</v>
      </c>
    </row>
    <row r="348" spans="5:8" x14ac:dyDescent="0.25">
      <c r="E348" t="str">
        <f>""</f>
        <v/>
      </c>
      <c r="F348" t="str">
        <f>""</f>
        <v/>
      </c>
      <c r="H348" t="str">
        <f>"Home Depot"</f>
        <v>Home Depot</v>
      </c>
    </row>
    <row r="349" spans="5:8" x14ac:dyDescent="0.25">
      <c r="E349" t="str">
        <f>""</f>
        <v/>
      </c>
      <c r="F349" t="str">
        <f>""</f>
        <v/>
      </c>
      <c r="H349" t="str">
        <f>"ARAMARK"</f>
        <v>ARAMARK</v>
      </c>
    </row>
    <row r="350" spans="5:8" x14ac:dyDescent="0.25">
      <c r="E350" t="str">
        <f>""</f>
        <v/>
      </c>
      <c r="F350" t="str">
        <f>""</f>
        <v/>
      </c>
      <c r="H350" t="str">
        <f>"TxTag"</f>
        <v>TxTag</v>
      </c>
    </row>
    <row r="351" spans="5:8" x14ac:dyDescent="0.25">
      <c r="E351" t="str">
        <f>""</f>
        <v/>
      </c>
      <c r="F351" t="str">
        <f>""</f>
        <v/>
      </c>
      <c r="H351" t="str">
        <f>"GOINGPOSTAL"</f>
        <v>GOINGPOSTAL</v>
      </c>
    </row>
    <row r="352" spans="5:8" x14ac:dyDescent="0.25">
      <c r="E352" t="str">
        <f>""</f>
        <v/>
      </c>
      <c r="F352" t="str">
        <f>""</f>
        <v/>
      </c>
      <c r="H352" t="str">
        <f>"USPS"</f>
        <v>USPS</v>
      </c>
    </row>
    <row r="353" spans="1:8" x14ac:dyDescent="0.25">
      <c r="E353" t="str">
        <f>""</f>
        <v/>
      </c>
      <c r="F353" t="str">
        <f>""</f>
        <v/>
      </c>
      <c r="H353" t="str">
        <f>"TxTag"</f>
        <v>TxTag</v>
      </c>
    </row>
    <row r="354" spans="1:8" x14ac:dyDescent="0.25">
      <c r="E354" t="str">
        <f>""</f>
        <v/>
      </c>
      <c r="F354" t="str">
        <f>""</f>
        <v/>
      </c>
      <c r="H354" t="str">
        <f>"Walmart"</f>
        <v>Walmart</v>
      </c>
    </row>
    <row r="355" spans="1:8" x14ac:dyDescent="0.25">
      <c r="E355" t="str">
        <f>""</f>
        <v/>
      </c>
      <c r="F355" t="str">
        <f>""</f>
        <v/>
      </c>
      <c r="H355" t="str">
        <f>"RMA"</f>
        <v>RMA</v>
      </c>
    </row>
    <row r="356" spans="1:8" x14ac:dyDescent="0.25">
      <c r="E356" t="str">
        <f>""</f>
        <v/>
      </c>
      <c r="F356" t="str">
        <f>""</f>
        <v/>
      </c>
      <c r="H356" t="str">
        <f>"walmart"</f>
        <v>walmart</v>
      </c>
    </row>
    <row r="357" spans="1:8" x14ac:dyDescent="0.25">
      <c r="E357" t="str">
        <f>""</f>
        <v/>
      </c>
      <c r="F357" t="str">
        <f>""</f>
        <v/>
      </c>
      <c r="H357" t="str">
        <f>"TxTag"</f>
        <v>TxTag</v>
      </c>
    </row>
    <row r="358" spans="1:8" x14ac:dyDescent="0.25">
      <c r="A358" t="s">
        <v>102</v>
      </c>
      <c r="B358">
        <v>290</v>
      </c>
      <c r="C358" s="2">
        <v>395.18</v>
      </c>
      <c r="D358" s="1">
        <v>43808</v>
      </c>
      <c r="E358" t="str">
        <f>"201912033743"</f>
        <v>201912033743</v>
      </c>
      <c r="F358" t="str">
        <f>"STATEMENT FOR 0574"</f>
        <v>STATEMENT FOR 0574</v>
      </c>
      <c r="G358" s="2">
        <v>395.18</v>
      </c>
      <c r="H358" t="str">
        <f>"OTC BRANDS - REFUND"</f>
        <v>OTC BRANDS - REFUND</v>
      </c>
    </row>
    <row r="359" spans="1:8" x14ac:dyDescent="0.25">
      <c r="E359" t="str">
        <f>""</f>
        <v/>
      </c>
      <c r="F359" t="str">
        <f>""</f>
        <v/>
      </c>
      <c r="H359" t="str">
        <f>"RESIDENCE INN CC"</f>
        <v>RESIDENCE INN CC</v>
      </c>
    </row>
    <row r="360" spans="1:8" x14ac:dyDescent="0.25">
      <c r="E360" t="str">
        <f>""</f>
        <v/>
      </c>
      <c r="F360" t="str">
        <f>""</f>
        <v/>
      </c>
      <c r="H360" t="str">
        <f>"HAMPTON INN"</f>
        <v>HAMPTON INN</v>
      </c>
    </row>
    <row r="361" spans="1:8" x14ac:dyDescent="0.25">
      <c r="E361" t="str">
        <f>""</f>
        <v/>
      </c>
      <c r="F361" t="str">
        <f>""</f>
        <v/>
      </c>
      <c r="H361" t="str">
        <f>"INTEREST CHARGE"</f>
        <v>INTEREST CHARGE</v>
      </c>
    </row>
    <row r="362" spans="1:8" x14ac:dyDescent="0.25">
      <c r="A362" t="s">
        <v>103</v>
      </c>
      <c r="B362">
        <v>129945</v>
      </c>
      <c r="C362" s="2">
        <v>85</v>
      </c>
      <c r="D362" s="1">
        <v>43808</v>
      </c>
      <c r="E362" t="str">
        <f>"201911273546"</f>
        <v>201911273546</v>
      </c>
      <c r="F362" t="str">
        <f>"FERAL HOGS"</f>
        <v>FERAL HOGS</v>
      </c>
      <c r="G362" s="2">
        <v>85</v>
      </c>
      <c r="H362" t="str">
        <f>"FERAL HOGS"</f>
        <v>FERAL HOGS</v>
      </c>
    </row>
    <row r="363" spans="1:8" x14ac:dyDescent="0.25">
      <c r="A363" t="s">
        <v>103</v>
      </c>
      <c r="B363">
        <v>130163</v>
      </c>
      <c r="C363" s="2">
        <v>15</v>
      </c>
      <c r="D363" s="1">
        <v>43822</v>
      </c>
      <c r="E363" t="str">
        <f>"201912113904"</f>
        <v>201912113904</v>
      </c>
      <c r="F363" t="str">
        <f>"FERAL HOGS"</f>
        <v>FERAL HOGS</v>
      </c>
      <c r="G363" s="2">
        <v>15</v>
      </c>
      <c r="H363" t="str">
        <f>"FERAL HOGS"</f>
        <v>FERAL HOGS</v>
      </c>
    </row>
    <row r="364" spans="1:8" x14ac:dyDescent="0.25">
      <c r="A364" t="s">
        <v>104</v>
      </c>
      <c r="B364">
        <v>1889</v>
      </c>
      <c r="C364" s="2">
        <v>602.44000000000005</v>
      </c>
      <c r="D364" s="1">
        <v>43809</v>
      </c>
      <c r="E364" t="str">
        <f>"VVT0516"</f>
        <v>VVT0516</v>
      </c>
      <c r="F364" t="str">
        <f>"DisplayPort to HDMI Conve"</f>
        <v>DisplayPort to HDMI Conve</v>
      </c>
      <c r="G364" s="2">
        <v>79.2</v>
      </c>
      <c r="H364" t="str">
        <f>"Part#: DP2HD4KADAP"</f>
        <v>Part#: DP2HD4KADAP</v>
      </c>
    </row>
    <row r="365" spans="1:8" x14ac:dyDescent="0.25">
      <c r="E365" t="str">
        <f>"VWG6009"</f>
        <v>VWG6009</v>
      </c>
      <c r="F365" t="str">
        <f>"Intercom for holding cell"</f>
        <v>Intercom for holding cell</v>
      </c>
      <c r="G365" s="2">
        <v>523.24</v>
      </c>
      <c r="H365" t="str">
        <f>"Mfg. Part#: 011272"</f>
        <v>Mfg. Part#: 011272</v>
      </c>
    </row>
    <row r="366" spans="1:8" x14ac:dyDescent="0.25">
      <c r="A366" t="s">
        <v>105</v>
      </c>
      <c r="B366">
        <v>130328</v>
      </c>
      <c r="C366" s="2">
        <v>2327.37</v>
      </c>
      <c r="D366" s="1">
        <v>43830</v>
      </c>
      <c r="E366" t="str">
        <f>"201912314350"</f>
        <v>201912314350</v>
      </c>
      <c r="F366" t="str">
        <f>"ACCT#8000081165-5 / 12192019"</f>
        <v>ACCT#8000081165-5 / 12192019</v>
      </c>
      <c r="G366" s="2">
        <v>2327.37</v>
      </c>
      <c r="H366" t="str">
        <f>"ACCT#8000081165-5 / 12192019"</f>
        <v>ACCT#8000081165-5 / 12192019</v>
      </c>
    </row>
    <row r="367" spans="1:8" x14ac:dyDescent="0.25">
      <c r="E367" t="str">
        <f>""</f>
        <v/>
      </c>
      <c r="F367" t="str">
        <f>""</f>
        <v/>
      </c>
      <c r="H367" t="str">
        <f>"ACCT#8000081165-5 / 12192019"</f>
        <v>ACCT#8000081165-5 / 12192019</v>
      </c>
    </row>
    <row r="368" spans="1:8" x14ac:dyDescent="0.25">
      <c r="A368" t="s">
        <v>106</v>
      </c>
      <c r="B368">
        <v>129946</v>
      </c>
      <c r="C368" s="2">
        <v>500</v>
      </c>
      <c r="D368" s="1">
        <v>43808</v>
      </c>
      <c r="E368" t="str">
        <f>"201912033765"</f>
        <v>201912033765</v>
      </c>
      <c r="F368" t="str">
        <f>"30617A019C"</f>
        <v>30617A019C</v>
      </c>
      <c r="G368" s="2">
        <v>250</v>
      </c>
      <c r="H368" t="str">
        <f>"306172019C"</f>
        <v>306172019C</v>
      </c>
    </row>
    <row r="369" spans="1:8" x14ac:dyDescent="0.25">
      <c r="E369" t="str">
        <f>"201912033766"</f>
        <v>201912033766</v>
      </c>
      <c r="F369" t="str">
        <f>"JP109022019F"</f>
        <v>JP109022019F</v>
      </c>
      <c r="G369" s="2">
        <v>250</v>
      </c>
      <c r="H369" t="str">
        <f>"JP109022019F"</f>
        <v>JP109022019F</v>
      </c>
    </row>
    <row r="370" spans="1:8" x14ac:dyDescent="0.25">
      <c r="A370" t="s">
        <v>107</v>
      </c>
      <c r="B370">
        <v>1894</v>
      </c>
      <c r="C370" s="2">
        <v>800</v>
      </c>
      <c r="D370" s="1">
        <v>43809</v>
      </c>
      <c r="E370" t="str">
        <f>"201911273529"</f>
        <v>201911273529</v>
      </c>
      <c r="F370" t="str">
        <f>"16 972"</f>
        <v>16 972</v>
      </c>
      <c r="G370" s="2">
        <v>400</v>
      </c>
      <c r="H370" t="str">
        <f>"16 972"</f>
        <v>16 972</v>
      </c>
    </row>
    <row r="371" spans="1:8" x14ac:dyDescent="0.25">
      <c r="E371" t="str">
        <f>"201911273530"</f>
        <v>201911273530</v>
      </c>
      <c r="F371" t="str">
        <f>"BC20190813B"</f>
        <v>BC20190813B</v>
      </c>
      <c r="G371" s="2">
        <v>400</v>
      </c>
      <c r="H371" t="str">
        <f>"BC20190813B"</f>
        <v>BC20190813B</v>
      </c>
    </row>
    <row r="372" spans="1:8" x14ac:dyDescent="0.25">
      <c r="A372" t="s">
        <v>107</v>
      </c>
      <c r="B372">
        <v>1966</v>
      </c>
      <c r="C372" s="2">
        <v>6325</v>
      </c>
      <c r="D372" s="1">
        <v>43823</v>
      </c>
      <c r="E372" t="str">
        <f>"201912103874"</f>
        <v>201912103874</v>
      </c>
      <c r="F372" t="str">
        <f>"312102018C"</f>
        <v>312102018C</v>
      </c>
      <c r="G372" s="2">
        <v>400</v>
      </c>
      <c r="H372" t="str">
        <f>"312102018C"</f>
        <v>312102018C</v>
      </c>
    </row>
    <row r="373" spans="1:8" x14ac:dyDescent="0.25">
      <c r="E373" t="str">
        <f>"201912103875"</f>
        <v>201912103875</v>
      </c>
      <c r="F373" t="str">
        <f>"16 358  13C20191030"</f>
        <v>16 358  13C20191030</v>
      </c>
      <c r="G373" s="2">
        <v>600</v>
      </c>
      <c r="H373" t="str">
        <f>"16 358  13C20191030"</f>
        <v>16 358  13C20191030</v>
      </c>
    </row>
    <row r="374" spans="1:8" x14ac:dyDescent="0.25">
      <c r="E374" t="str">
        <f>"201912103876"</f>
        <v>201912103876</v>
      </c>
      <c r="F374" t="str">
        <f>"1357-21"</f>
        <v>1357-21</v>
      </c>
      <c r="G374" s="2">
        <v>100</v>
      </c>
      <c r="H374" t="str">
        <f>"1357-21"</f>
        <v>1357-21</v>
      </c>
    </row>
    <row r="375" spans="1:8" x14ac:dyDescent="0.25">
      <c r="E375" t="str">
        <f>"201912103877"</f>
        <v>201912103877</v>
      </c>
      <c r="F375" t="str">
        <f>"02.1203.18"</f>
        <v>02.1203.18</v>
      </c>
      <c r="G375" s="2">
        <v>400</v>
      </c>
      <c r="H375" t="str">
        <f>"02.1203.18"</f>
        <v>02.1203.18</v>
      </c>
    </row>
    <row r="376" spans="1:8" x14ac:dyDescent="0.25">
      <c r="E376" t="str">
        <f>"201912123976"</f>
        <v>201912123976</v>
      </c>
      <c r="F376" t="str">
        <f>"16 765"</f>
        <v>16 765</v>
      </c>
      <c r="G376" s="2">
        <v>400</v>
      </c>
      <c r="H376" t="str">
        <f>"16 765"</f>
        <v>16 765</v>
      </c>
    </row>
    <row r="377" spans="1:8" x14ac:dyDescent="0.25">
      <c r="E377" t="str">
        <f>"201912174136"</f>
        <v>201912174136</v>
      </c>
      <c r="F377" t="str">
        <f>"16 439"</f>
        <v>16 439</v>
      </c>
      <c r="G377" s="2">
        <v>400</v>
      </c>
      <c r="H377" t="str">
        <f>"16 439"</f>
        <v>16 439</v>
      </c>
    </row>
    <row r="378" spans="1:8" x14ac:dyDescent="0.25">
      <c r="E378" t="str">
        <f>"201912174137"</f>
        <v>201912174137</v>
      </c>
      <c r="F378" t="str">
        <f>"16 595"</f>
        <v>16 595</v>
      </c>
      <c r="G378" s="2">
        <v>400</v>
      </c>
      <c r="H378" t="str">
        <f>"16 595"</f>
        <v>16 595</v>
      </c>
    </row>
    <row r="379" spans="1:8" x14ac:dyDescent="0.25">
      <c r="E379" t="str">
        <f>"201912174138"</f>
        <v>201912174138</v>
      </c>
      <c r="F379" t="str">
        <f>"16693  30252018B"</f>
        <v>16693  30252018B</v>
      </c>
      <c r="G379" s="2">
        <v>600</v>
      </c>
      <c r="H379" t="str">
        <f>"16693  30252018B"</f>
        <v>16693  30252018B</v>
      </c>
    </row>
    <row r="380" spans="1:8" x14ac:dyDescent="0.25">
      <c r="E380" t="str">
        <f>"201912174139"</f>
        <v>201912174139</v>
      </c>
      <c r="F380" t="str">
        <f>"16 931"</f>
        <v>16 931</v>
      </c>
      <c r="G380" s="2">
        <v>400</v>
      </c>
      <c r="H380" t="str">
        <f>"16 931"</f>
        <v>16 931</v>
      </c>
    </row>
    <row r="381" spans="1:8" x14ac:dyDescent="0.25">
      <c r="E381" t="str">
        <f>"201912174176"</f>
        <v>201912174176</v>
      </c>
      <c r="F381" t="str">
        <f>"56 635"</f>
        <v>56 635</v>
      </c>
      <c r="G381" s="2">
        <v>250</v>
      </c>
      <c r="H381" t="str">
        <f>"56 635"</f>
        <v>56 635</v>
      </c>
    </row>
    <row r="382" spans="1:8" x14ac:dyDescent="0.25">
      <c r="E382" t="str">
        <f>"201912174177"</f>
        <v>201912174177</v>
      </c>
      <c r="F382" t="str">
        <f>"1JP12018F"</f>
        <v>1JP12018F</v>
      </c>
      <c r="G382" s="2">
        <v>250</v>
      </c>
      <c r="H382" t="str">
        <f>"1JP12018F"</f>
        <v>1JP12018F</v>
      </c>
    </row>
    <row r="383" spans="1:8" x14ac:dyDescent="0.25">
      <c r="E383" t="str">
        <f>"201912174178"</f>
        <v>201912174178</v>
      </c>
      <c r="F383" t="str">
        <f>"BC20190813C"</f>
        <v>BC20190813C</v>
      </c>
      <c r="G383" s="2">
        <v>250</v>
      </c>
      <c r="H383" t="str">
        <f>"BC20190813C"</f>
        <v>BC20190813C</v>
      </c>
    </row>
    <row r="384" spans="1:8" x14ac:dyDescent="0.25">
      <c r="E384" t="str">
        <f>"201912174179"</f>
        <v>201912174179</v>
      </c>
      <c r="F384" t="str">
        <f>"02072219"</f>
        <v>02072219</v>
      </c>
      <c r="G384" s="2">
        <v>250</v>
      </c>
      <c r="H384" t="str">
        <f>"02072219"</f>
        <v>02072219</v>
      </c>
    </row>
    <row r="385" spans="1:8" x14ac:dyDescent="0.25">
      <c r="E385" t="str">
        <f>"201912174180"</f>
        <v>201912174180</v>
      </c>
      <c r="F385" t="str">
        <f>"406289-6"</f>
        <v>406289-6</v>
      </c>
      <c r="G385" s="2">
        <v>250</v>
      </c>
      <c r="H385" t="str">
        <f>"406289-6"</f>
        <v>406289-6</v>
      </c>
    </row>
    <row r="386" spans="1:8" x14ac:dyDescent="0.25">
      <c r="E386" t="str">
        <f>"201912174181"</f>
        <v>201912174181</v>
      </c>
      <c r="F386" t="str">
        <f>"56 614"</f>
        <v>56 614</v>
      </c>
      <c r="G386" s="2">
        <v>250</v>
      </c>
      <c r="H386" t="str">
        <f>"56 614"</f>
        <v>56 614</v>
      </c>
    </row>
    <row r="387" spans="1:8" x14ac:dyDescent="0.25">
      <c r="E387" t="str">
        <f>"201912174182"</f>
        <v>201912174182</v>
      </c>
      <c r="F387" t="str">
        <f>"19-19628"</f>
        <v>19-19628</v>
      </c>
      <c r="G387" s="2">
        <v>100</v>
      </c>
      <c r="H387" t="str">
        <f>"19-19628"</f>
        <v>19-19628</v>
      </c>
    </row>
    <row r="388" spans="1:8" x14ac:dyDescent="0.25">
      <c r="E388" t="str">
        <f>"201912174183"</f>
        <v>201912174183</v>
      </c>
      <c r="F388" t="str">
        <f>"19-19893"</f>
        <v>19-19893</v>
      </c>
      <c r="G388" s="2">
        <v>100</v>
      </c>
      <c r="H388" t="str">
        <f>"19-19893"</f>
        <v>19-19893</v>
      </c>
    </row>
    <row r="389" spans="1:8" x14ac:dyDescent="0.25">
      <c r="E389" t="str">
        <f>"201912184237"</f>
        <v>201912184237</v>
      </c>
      <c r="F389" t="str">
        <f>"56 491"</f>
        <v>56 491</v>
      </c>
      <c r="G389" s="2">
        <v>250</v>
      </c>
      <c r="H389" t="str">
        <f>"56 491"</f>
        <v>56 491</v>
      </c>
    </row>
    <row r="390" spans="1:8" x14ac:dyDescent="0.25">
      <c r="E390" t="str">
        <f>"201912184238"</f>
        <v>201912184238</v>
      </c>
      <c r="F390" t="str">
        <f>"19-19418"</f>
        <v>19-19418</v>
      </c>
      <c r="G390" s="2">
        <v>100</v>
      </c>
      <c r="H390" t="str">
        <f>"19-19418"</f>
        <v>19-19418</v>
      </c>
    </row>
    <row r="391" spans="1:8" x14ac:dyDescent="0.25">
      <c r="E391" t="str">
        <f>"201912184240"</f>
        <v>201912184240</v>
      </c>
      <c r="F391" t="str">
        <f>"19-19572"</f>
        <v>19-19572</v>
      </c>
      <c r="G391" s="2">
        <v>175</v>
      </c>
      <c r="H391" t="str">
        <f>"19-19572"</f>
        <v>19-19572</v>
      </c>
    </row>
    <row r="392" spans="1:8" x14ac:dyDescent="0.25">
      <c r="E392" t="str">
        <f>"201912184241"</f>
        <v>201912184241</v>
      </c>
      <c r="F392" t="str">
        <f>"19-19703"</f>
        <v>19-19703</v>
      </c>
      <c r="G392" s="2">
        <v>100</v>
      </c>
      <c r="H392" t="str">
        <f>"19-19703"</f>
        <v>19-19703</v>
      </c>
    </row>
    <row r="393" spans="1:8" x14ac:dyDescent="0.25">
      <c r="E393" t="str">
        <f>"201912184242"</f>
        <v>201912184242</v>
      </c>
      <c r="F393" t="str">
        <f>"19-19994"</f>
        <v>19-19994</v>
      </c>
      <c r="G393" s="2">
        <v>100</v>
      </c>
      <c r="H393" t="str">
        <f>"19-19994"</f>
        <v>19-19994</v>
      </c>
    </row>
    <row r="394" spans="1:8" x14ac:dyDescent="0.25">
      <c r="E394" t="str">
        <f>"201912184243"</f>
        <v>201912184243</v>
      </c>
      <c r="F394" t="str">
        <f>"19-19465"</f>
        <v>19-19465</v>
      </c>
      <c r="G394" s="2">
        <v>100</v>
      </c>
      <c r="H394" t="str">
        <f>"19-19465"</f>
        <v>19-19465</v>
      </c>
    </row>
    <row r="395" spans="1:8" x14ac:dyDescent="0.25">
      <c r="E395" t="str">
        <f>"201912184244"</f>
        <v>201912184244</v>
      </c>
      <c r="F395" t="str">
        <f>"19-19930"</f>
        <v>19-19930</v>
      </c>
      <c r="G395" s="2">
        <v>100</v>
      </c>
      <c r="H395" t="str">
        <f>"19-19930"</f>
        <v>19-19930</v>
      </c>
    </row>
    <row r="396" spans="1:8" x14ac:dyDescent="0.25">
      <c r="A396" t="s">
        <v>108</v>
      </c>
      <c r="B396">
        <v>130221</v>
      </c>
      <c r="C396" s="2">
        <v>170.09</v>
      </c>
      <c r="D396" s="1">
        <v>43822</v>
      </c>
      <c r="E396" t="str">
        <f>"201912174134"</f>
        <v>201912174134</v>
      </c>
      <c r="F396" t="str">
        <f>"REIMBURSEMENT-MEALS/HOTEL"</f>
        <v>REIMBURSEMENT-MEALS/HOTEL</v>
      </c>
      <c r="G396" s="2">
        <v>170.09</v>
      </c>
      <c r="H396" t="str">
        <f>"REIMBURSEMENT-MEALS/HOTEL"</f>
        <v>REIMBURSEMENT-MEALS/HOTEL</v>
      </c>
    </row>
    <row r="397" spans="1:8" x14ac:dyDescent="0.25">
      <c r="A397" t="s">
        <v>109</v>
      </c>
      <c r="B397">
        <v>129947</v>
      </c>
      <c r="C397" s="2">
        <v>283.14999999999998</v>
      </c>
      <c r="D397" s="1">
        <v>43808</v>
      </c>
      <c r="E397" t="str">
        <f>"5015378219"</f>
        <v>5015378219</v>
      </c>
      <c r="F397" t="str">
        <f>"CUST#0011167190/PCT#1"</f>
        <v>CUST#0011167190/PCT#1</v>
      </c>
      <c r="G397" s="2">
        <v>133.15</v>
      </c>
      <c r="H397" t="str">
        <f>"CUST#0011167190/PCT#1"</f>
        <v>CUST#0011167190/PCT#1</v>
      </c>
    </row>
    <row r="398" spans="1:8" x14ac:dyDescent="0.25">
      <c r="E398" t="str">
        <f>"9070845408"</f>
        <v>9070845408</v>
      </c>
      <c r="F398" t="str">
        <f>"INV 9070845408"</f>
        <v>INV 9070845408</v>
      </c>
      <c r="G398" s="2">
        <v>100</v>
      </c>
      <c r="H398" t="str">
        <f>"INV 9070845408"</f>
        <v>INV 9070845408</v>
      </c>
    </row>
    <row r="399" spans="1:8" x14ac:dyDescent="0.25">
      <c r="E399" t="str">
        <f>"9070845409"</f>
        <v>9070845409</v>
      </c>
      <c r="F399" t="str">
        <f>"INV 9070845409"</f>
        <v>INV 9070845409</v>
      </c>
      <c r="G399" s="2">
        <v>50</v>
      </c>
      <c r="H399" t="str">
        <f>"INV 9070845409"</f>
        <v>INV 9070845409</v>
      </c>
    </row>
    <row r="400" spans="1:8" x14ac:dyDescent="0.25">
      <c r="A400" t="s">
        <v>110</v>
      </c>
      <c r="B400">
        <v>129948</v>
      </c>
      <c r="C400" s="2">
        <v>58.64</v>
      </c>
      <c r="D400" s="1">
        <v>43808</v>
      </c>
      <c r="E400" t="str">
        <f>"8404400744"</f>
        <v>8404400744</v>
      </c>
      <c r="F400" t="str">
        <f>"CUST#10377368/PCT#3"</f>
        <v>CUST#10377368/PCT#3</v>
      </c>
      <c r="G400" s="2">
        <v>58.64</v>
      </c>
      <c r="H400" t="str">
        <f>"CUST#10377368/PCT#3"</f>
        <v>CUST#10377368/PCT#3</v>
      </c>
    </row>
    <row r="401" spans="1:8" x14ac:dyDescent="0.25">
      <c r="A401" t="s">
        <v>111</v>
      </c>
      <c r="B401">
        <v>129949</v>
      </c>
      <c r="C401" s="2">
        <v>315.25</v>
      </c>
      <c r="D401" s="1">
        <v>43808</v>
      </c>
      <c r="E401" t="str">
        <f>"201912043782"</f>
        <v>201912043782</v>
      </c>
      <c r="F401" t="str">
        <f>"PAYER#14108463/ANIMAL SHELTER"</f>
        <v>PAYER#14108463/ANIMAL SHELTER</v>
      </c>
      <c r="G401" s="2">
        <v>315.25</v>
      </c>
      <c r="H401" t="str">
        <f>"PAYER#14108463/ANIMAL SHELTER"</f>
        <v>PAYER#14108463/ANIMAL SHELTER</v>
      </c>
    </row>
    <row r="402" spans="1:8" x14ac:dyDescent="0.25">
      <c r="A402" t="s">
        <v>110</v>
      </c>
      <c r="B402">
        <v>130164</v>
      </c>
      <c r="C402" s="2">
        <v>257.31</v>
      </c>
      <c r="D402" s="1">
        <v>43822</v>
      </c>
      <c r="E402" t="str">
        <f>"8404408139"</f>
        <v>8404408139</v>
      </c>
      <c r="F402" t="str">
        <f>"CUST#10377368/PCT#3"</f>
        <v>CUST#10377368/PCT#3</v>
      </c>
      <c r="G402" s="2">
        <v>257.31</v>
      </c>
      <c r="H402" t="str">
        <f>"CUST#10377368/PCT#3"</f>
        <v>CUST#10377368/PCT#3</v>
      </c>
    </row>
    <row r="403" spans="1:8" x14ac:dyDescent="0.25">
      <c r="A403" t="s">
        <v>111</v>
      </c>
      <c r="B403">
        <v>130165</v>
      </c>
      <c r="C403" s="2">
        <v>3568.57</v>
      </c>
      <c r="D403" s="1">
        <v>43822</v>
      </c>
      <c r="E403" t="str">
        <f>"14108375"</f>
        <v>14108375</v>
      </c>
      <c r="F403" t="str">
        <f>"PAYER#14108375/GEN SVCS"</f>
        <v>PAYER#14108375/GEN SVCS</v>
      </c>
      <c r="G403" s="2">
        <v>965.92</v>
      </c>
      <c r="H403" t="str">
        <f>"PAYER#14108375/GEN SVCS"</f>
        <v>PAYER#14108375/GEN SVCS</v>
      </c>
    </row>
    <row r="404" spans="1:8" x14ac:dyDescent="0.25">
      <c r="E404" t="str">
        <f>"201912113891"</f>
        <v>201912113891</v>
      </c>
      <c r="F404" t="str">
        <f>"PAYER#14108431/SIGN SHOP"</f>
        <v>PAYER#14108431/SIGN SHOP</v>
      </c>
      <c r="G404" s="2">
        <v>44.72</v>
      </c>
      <c r="H404" t="str">
        <f>"PAYER#14108431/SIGN SHOP"</f>
        <v>PAYER#14108431/SIGN SHOP</v>
      </c>
    </row>
    <row r="405" spans="1:8" x14ac:dyDescent="0.25">
      <c r="E405" t="str">
        <f>"201912113900"</f>
        <v>201912113900</v>
      </c>
      <c r="F405" t="str">
        <f>"PAYER#14108431-P1"</f>
        <v>PAYER#14108431-P1</v>
      </c>
      <c r="G405" s="2">
        <v>561.64</v>
      </c>
      <c r="H405" t="str">
        <f>"PAYER#14108431-P1"</f>
        <v>PAYER#14108431-P1</v>
      </c>
    </row>
    <row r="406" spans="1:8" x14ac:dyDescent="0.25">
      <c r="E406" t="str">
        <f>"201912113919"</f>
        <v>201912113919</v>
      </c>
      <c r="F406" t="str">
        <f>"PAYER#14108367/PCT#2"</f>
        <v>PAYER#14108367/PCT#2</v>
      </c>
      <c r="G406" s="2">
        <v>599.61</v>
      </c>
      <c r="H406" t="str">
        <f>"PAYER#14108367/PCT#2"</f>
        <v>PAYER#14108367/PCT#2</v>
      </c>
    </row>
    <row r="407" spans="1:8" x14ac:dyDescent="0.25">
      <c r="E407" t="str">
        <f>"201912113946"</f>
        <v>201912113946</v>
      </c>
      <c r="F407" t="str">
        <f>"PAYER#14108430/PCT#4"</f>
        <v>PAYER#14108430/PCT#4</v>
      </c>
      <c r="G407" s="2">
        <v>1396.68</v>
      </c>
      <c r="H407" t="str">
        <f>"PAYER#14108430/PCT#4"</f>
        <v>PAYER#14108430/PCT#4</v>
      </c>
    </row>
    <row r="408" spans="1:8" x14ac:dyDescent="0.25">
      <c r="A408" t="s">
        <v>112</v>
      </c>
      <c r="B408">
        <v>130073</v>
      </c>
      <c r="C408" s="2">
        <v>23.9</v>
      </c>
      <c r="D408" s="1">
        <v>43808</v>
      </c>
      <c r="E408" t="str">
        <f>"201912093864"</f>
        <v>201912093864</v>
      </c>
      <c r="F408" t="str">
        <f>"ACCT# 21 6071"</f>
        <v>ACCT# 21 6071</v>
      </c>
      <c r="G408" s="2">
        <v>23.9</v>
      </c>
      <c r="H408" t="str">
        <f>"ACCT# 21 6071"</f>
        <v>ACCT# 21 6071</v>
      </c>
    </row>
    <row r="409" spans="1:8" x14ac:dyDescent="0.25">
      <c r="A409" t="s">
        <v>112</v>
      </c>
      <c r="B409">
        <v>130130</v>
      </c>
      <c r="C409" s="2">
        <v>5470.67</v>
      </c>
      <c r="D409" s="1">
        <v>43815</v>
      </c>
      <c r="E409" t="str">
        <f>"201912164130"</f>
        <v>201912164130</v>
      </c>
      <c r="F409" t="str">
        <f>"ACCT# 72-5613 / 12032019"</f>
        <v>ACCT# 72-5613 / 12032019</v>
      </c>
      <c r="G409" s="2">
        <v>5470.67</v>
      </c>
      <c r="H409" t="str">
        <f>"ACCT# 72-5613 / 12032019"</f>
        <v>ACCT# 72-5613 / 12032019</v>
      </c>
    </row>
    <row r="410" spans="1:8" x14ac:dyDescent="0.25">
      <c r="A410" t="s">
        <v>113</v>
      </c>
      <c r="B410">
        <v>129950</v>
      </c>
      <c r="C410" s="2">
        <v>440.32</v>
      </c>
      <c r="D410" s="1">
        <v>43808</v>
      </c>
      <c r="E410" t="str">
        <f>"BA_BSTP_CO-092019"</f>
        <v>BA_BSTP_CO-092019</v>
      </c>
      <c r="F410" t="str">
        <f>"PROJECT MEETINGS"</f>
        <v>PROJECT MEETINGS</v>
      </c>
      <c r="G410" s="2">
        <v>440.32</v>
      </c>
      <c r="H410" t="str">
        <f>"PROJECT MEETINGS"</f>
        <v>PROJECT MEETINGS</v>
      </c>
    </row>
    <row r="411" spans="1:8" x14ac:dyDescent="0.25">
      <c r="A411" t="s">
        <v>114</v>
      </c>
      <c r="B411">
        <v>130076</v>
      </c>
      <c r="C411" s="2">
        <v>39341.599999999999</v>
      </c>
      <c r="D411" s="1">
        <v>43810</v>
      </c>
      <c r="E411" t="str">
        <f>"201912113894"</f>
        <v>201912113894</v>
      </c>
      <c r="F411" t="str">
        <f>"ACCT#02-2083-04 / 11292019"</f>
        <v>ACCT#02-2083-04 / 11292019</v>
      </c>
      <c r="G411" s="2">
        <v>5384.88</v>
      </c>
      <c r="H411" t="str">
        <f>"ACCT#02-2083-04 / 11292019"</f>
        <v>ACCT#02-2083-04 / 11292019</v>
      </c>
    </row>
    <row r="412" spans="1:8" x14ac:dyDescent="0.25">
      <c r="E412" t="str">
        <f>"201912113895"</f>
        <v>201912113895</v>
      </c>
      <c r="F412" t="str">
        <f>"COUNTY DEV CTR / 11292019"</f>
        <v>COUNTY DEV CTR / 11292019</v>
      </c>
      <c r="G412" s="2">
        <v>1622.61</v>
      </c>
      <c r="H412" t="str">
        <f>"COUNTY DEV CTR / 11292019"</f>
        <v>COUNTY DEV CTR / 11292019</v>
      </c>
    </row>
    <row r="413" spans="1:8" x14ac:dyDescent="0.25">
      <c r="E413" t="str">
        <f>"201912113896"</f>
        <v>201912113896</v>
      </c>
      <c r="F413" t="str">
        <f>"COUNTY LAW ENF CTR / 11292019"</f>
        <v>COUNTY LAW ENF CTR / 11292019</v>
      </c>
      <c r="G413" s="2">
        <v>20489.03</v>
      </c>
      <c r="H413" t="str">
        <f>"COUNTY LAW ENF CTR / 11292019"</f>
        <v>COUNTY LAW ENF CTR / 11292019</v>
      </c>
    </row>
    <row r="414" spans="1:8" x14ac:dyDescent="0.25">
      <c r="E414" t="str">
        <f>"201912113897"</f>
        <v>201912113897</v>
      </c>
      <c r="F414" t="str">
        <f>"BASTROP COURTHOUSE / 11292019"</f>
        <v>BASTROP COURTHOUSE / 11292019</v>
      </c>
      <c r="G414" s="2">
        <v>11845.08</v>
      </c>
      <c r="H414" t="str">
        <f>"BASTROP COURTHOUSE / 11292019"</f>
        <v>BASTROP COURTHOUSE / 11292019</v>
      </c>
    </row>
    <row r="415" spans="1:8" x14ac:dyDescent="0.25">
      <c r="A415" t="s">
        <v>114</v>
      </c>
      <c r="B415">
        <v>130166</v>
      </c>
      <c r="C415" s="2">
        <v>750</v>
      </c>
      <c r="D415" s="1">
        <v>43822</v>
      </c>
      <c r="E415" t="str">
        <f>"201912113890"</f>
        <v>201912113890</v>
      </c>
      <c r="F415" t="str">
        <f>"RENTAL-PARKING LOT"</f>
        <v>RENTAL-PARKING LOT</v>
      </c>
      <c r="G415" s="2">
        <v>750</v>
      </c>
      <c r="H415" t="str">
        <f>"RENTAL-PARKING LOT"</f>
        <v>RENTAL-PARKING LOT</v>
      </c>
    </row>
    <row r="416" spans="1:8" x14ac:dyDescent="0.25">
      <c r="A416" t="s">
        <v>115</v>
      </c>
      <c r="B416">
        <v>129907</v>
      </c>
      <c r="C416" s="2">
        <v>2645.05</v>
      </c>
      <c r="D416" s="1">
        <v>43802</v>
      </c>
      <c r="E416" t="str">
        <f>"201912033702"</f>
        <v>201912033702</v>
      </c>
      <c r="F416" t="str">
        <f>"ACCT#007-0000388-000/11262019"</f>
        <v>ACCT#007-0000388-000/11262019</v>
      </c>
      <c r="G416" s="2">
        <v>459.63</v>
      </c>
      <c r="H416" t="str">
        <f>"ACCT#007-0000388-000/11262019"</f>
        <v>ACCT#007-0000388-000/11262019</v>
      </c>
    </row>
    <row r="417" spans="1:8" x14ac:dyDescent="0.25">
      <c r="E417" t="str">
        <f>"201912033703"</f>
        <v>201912033703</v>
      </c>
      <c r="F417" t="str">
        <f>"ACCT#007-0000389-000/11262019"</f>
        <v>ACCT#007-0000389-000/11262019</v>
      </c>
      <c r="G417" s="2">
        <v>155.47999999999999</v>
      </c>
      <c r="H417" t="str">
        <f>"ACCT#007-0000389-000/11262019"</f>
        <v>ACCT#007-0000389-000/11262019</v>
      </c>
    </row>
    <row r="418" spans="1:8" x14ac:dyDescent="0.25">
      <c r="E418" t="str">
        <f>"201912033704"</f>
        <v>201912033704</v>
      </c>
      <c r="F418" t="str">
        <f>"ACCT#044-0001240-000/11262019"</f>
        <v>ACCT#044-0001240-000/11262019</v>
      </c>
      <c r="G418" s="2">
        <v>370.01</v>
      </c>
      <c r="H418" t="str">
        <f>"ACCT#044-0001240-000/11262019"</f>
        <v>ACCT#044-0001240-000/11262019</v>
      </c>
    </row>
    <row r="419" spans="1:8" x14ac:dyDescent="0.25">
      <c r="E419" t="str">
        <f>"201912033705"</f>
        <v>201912033705</v>
      </c>
      <c r="F419" t="str">
        <f>"ACCT#044-0001250-000/11262019"</f>
        <v>ACCT#044-0001250-000/11262019</v>
      </c>
      <c r="G419" s="2">
        <v>93.92</v>
      </c>
      <c r="H419" t="str">
        <f>"ACCT#044-0001250-000/11262019"</f>
        <v>ACCT#044-0001250-000/11262019</v>
      </c>
    </row>
    <row r="420" spans="1:8" x14ac:dyDescent="0.25">
      <c r="E420" t="str">
        <f>"201912033706"</f>
        <v>201912033706</v>
      </c>
      <c r="F420" t="str">
        <f>"ACCT#044-0001252-000/11262019"</f>
        <v>ACCT#044-0001252-000/11262019</v>
      </c>
      <c r="G420" s="2">
        <v>1325.63</v>
      </c>
      <c r="H420" t="str">
        <f>"ACCT#044-0001252-000/11262019"</f>
        <v>ACCT#044-0001252-000/11262019</v>
      </c>
    </row>
    <row r="421" spans="1:8" x14ac:dyDescent="0.25">
      <c r="E421" t="str">
        <f>"201912033707"</f>
        <v>201912033707</v>
      </c>
      <c r="F421" t="str">
        <f>"ACCT#044-0001253-000/11262019"</f>
        <v>ACCT#044-0001253-000/11262019</v>
      </c>
      <c r="G421" s="2">
        <v>240.38</v>
      </c>
      <c r="H421" t="str">
        <f>"ACCT#044-0001253-000/11262019"</f>
        <v>ACCT#044-0001253-000/11262019</v>
      </c>
    </row>
    <row r="422" spans="1:8" x14ac:dyDescent="0.25">
      <c r="A422" t="s">
        <v>115</v>
      </c>
      <c r="B422">
        <v>130329</v>
      </c>
      <c r="C422" s="2">
        <v>2897.79</v>
      </c>
      <c r="D422" s="1">
        <v>43830</v>
      </c>
      <c r="E422" t="str">
        <f>"201912314351"</f>
        <v>201912314351</v>
      </c>
      <c r="F422" t="str">
        <f>"ACCT#007-0000388-000/12202019"</f>
        <v>ACCT#007-0000388-000/12202019</v>
      </c>
      <c r="G422" s="2">
        <v>428.74</v>
      </c>
      <c r="H422" t="str">
        <f>"ACCT#007-0000388-000/12202019"</f>
        <v>ACCT#007-0000388-000/12202019</v>
      </c>
    </row>
    <row r="423" spans="1:8" x14ac:dyDescent="0.25">
      <c r="E423" t="str">
        <f>"201912314352"</f>
        <v>201912314352</v>
      </c>
      <c r="F423" t="str">
        <f>"ACCT#007-0000389-000/12202019"</f>
        <v>ACCT#007-0000389-000/12202019</v>
      </c>
      <c r="G423" s="2">
        <v>26.18</v>
      </c>
      <c r="H423" t="str">
        <f>"ACCT#007-0000389-000/12202019"</f>
        <v>ACCT#007-0000389-000/12202019</v>
      </c>
    </row>
    <row r="424" spans="1:8" x14ac:dyDescent="0.25">
      <c r="E424" t="str">
        <f>"201912314353"</f>
        <v>201912314353</v>
      </c>
      <c r="F424" t="str">
        <f>"ACCT#044-0001240-000/12202019"</f>
        <v>ACCT#044-0001240-000/12202019</v>
      </c>
      <c r="G424" s="2">
        <v>312.76</v>
      </c>
      <c r="H424" t="str">
        <f>"ACCT#044-0001240-000/12202019"</f>
        <v>ACCT#044-0001240-000/12202019</v>
      </c>
    </row>
    <row r="425" spans="1:8" x14ac:dyDescent="0.25">
      <c r="E425" t="str">
        <f>"201912314354"</f>
        <v>201912314354</v>
      </c>
      <c r="F425" t="str">
        <f>"ACCT#044-0001250-000/12202019"</f>
        <v>ACCT#044-0001250-000/12202019</v>
      </c>
      <c r="G425" s="2">
        <v>120.18</v>
      </c>
      <c r="H425" t="str">
        <f>"ACCT#044-0001250-000/12202019"</f>
        <v>ACCT#044-0001250-000/12202019</v>
      </c>
    </row>
    <row r="426" spans="1:8" x14ac:dyDescent="0.25">
      <c r="E426" t="str">
        <f>"201912314355"</f>
        <v>201912314355</v>
      </c>
      <c r="F426" t="str">
        <f>"ACCT#044-0001252-000 / 1220201"</f>
        <v>ACCT#044-0001252-000 / 1220201</v>
      </c>
      <c r="G426" s="2">
        <v>1757.7</v>
      </c>
      <c r="H426" t="str">
        <f>"ACCT#044-0001252-000 / 1220201"</f>
        <v>ACCT#044-0001252-000 / 1220201</v>
      </c>
    </row>
    <row r="427" spans="1:8" x14ac:dyDescent="0.25">
      <c r="E427" t="str">
        <f>"201912314356"</f>
        <v>201912314356</v>
      </c>
      <c r="F427" t="str">
        <f>"ACCT#044-0001253-000/12202019"</f>
        <v>ACCT#044-0001253-000/12202019</v>
      </c>
      <c r="G427" s="2">
        <v>252.23</v>
      </c>
      <c r="H427" t="str">
        <f>"ACCT#044-0001253-000/12202019"</f>
        <v>ACCT#044-0001253-000/12202019</v>
      </c>
    </row>
    <row r="428" spans="1:8" x14ac:dyDescent="0.25">
      <c r="A428" t="s">
        <v>116</v>
      </c>
      <c r="B428">
        <v>129951</v>
      </c>
      <c r="C428" s="2">
        <v>200</v>
      </c>
      <c r="D428" s="1">
        <v>43808</v>
      </c>
      <c r="E428" t="str">
        <f>"201911273547"</f>
        <v>201911273547</v>
      </c>
      <c r="F428" t="str">
        <f>"FERAL HOGS"</f>
        <v>FERAL HOGS</v>
      </c>
      <c r="G428" s="2">
        <v>200</v>
      </c>
      <c r="H428" t="str">
        <f>"FERAL HOGS"</f>
        <v>FERAL HOGS</v>
      </c>
    </row>
    <row r="429" spans="1:8" x14ac:dyDescent="0.25">
      <c r="A429" t="s">
        <v>117</v>
      </c>
      <c r="B429">
        <v>130167</v>
      </c>
      <c r="C429" s="2">
        <v>295</v>
      </c>
      <c r="D429" s="1">
        <v>43822</v>
      </c>
      <c r="E429" t="str">
        <f>"201912113905"</f>
        <v>201912113905</v>
      </c>
      <c r="F429" t="str">
        <f>"FERAL HOGS"</f>
        <v>FERAL HOGS</v>
      </c>
      <c r="G429" s="2">
        <v>250</v>
      </c>
      <c r="H429" t="str">
        <f>"FERAL HOGS"</f>
        <v>FERAL HOGS</v>
      </c>
    </row>
    <row r="430" spans="1:8" x14ac:dyDescent="0.25">
      <c r="E430" t="str">
        <f>"201912113906"</f>
        <v>201912113906</v>
      </c>
      <c r="F430" t="str">
        <f>"FERAL HOGS"</f>
        <v>FERAL HOGS</v>
      </c>
      <c r="G430" s="2">
        <v>45</v>
      </c>
      <c r="H430" t="str">
        <f>"FERAL HOGS"</f>
        <v>FERAL HOGS</v>
      </c>
    </row>
    <row r="431" spans="1:8" x14ac:dyDescent="0.25">
      <c r="A431" t="s">
        <v>118</v>
      </c>
      <c r="B431">
        <v>1939</v>
      </c>
      <c r="C431" s="2">
        <v>463.47</v>
      </c>
      <c r="D431" s="1">
        <v>43823</v>
      </c>
      <c r="E431" t="str">
        <f>"201911-0"</f>
        <v>201911-0</v>
      </c>
      <c r="F431" t="str">
        <f>"INV 201911-0"</f>
        <v>INV 201911-0</v>
      </c>
      <c r="G431" s="2">
        <v>329.34</v>
      </c>
      <c r="H431" t="str">
        <f>"INV 201911-0"</f>
        <v>INV 201911-0</v>
      </c>
    </row>
    <row r="432" spans="1:8" x14ac:dyDescent="0.25">
      <c r="E432" t="str">
        <f>"201912184271"</f>
        <v>201912184271</v>
      </c>
      <c r="F432" t="str">
        <f>"INDIGENT HEALTH"</f>
        <v>INDIGENT HEALTH</v>
      </c>
      <c r="G432" s="2">
        <v>134.13</v>
      </c>
      <c r="H432" t="str">
        <f>"INDIGENT HEALTH"</f>
        <v>INDIGENT HEALTH</v>
      </c>
    </row>
    <row r="433" spans="1:8" x14ac:dyDescent="0.25">
      <c r="A433" t="s">
        <v>119</v>
      </c>
      <c r="B433">
        <v>130168</v>
      </c>
      <c r="C433" s="2">
        <v>8673</v>
      </c>
      <c r="D433" s="1">
        <v>43822</v>
      </c>
      <c r="E433" t="str">
        <f>"221345-4-001"</f>
        <v>221345-4-001</v>
      </c>
      <c r="F433" t="str">
        <f>"Replace TSI Station"</f>
        <v>Replace TSI Station</v>
      </c>
      <c r="G433" s="2">
        <v>8673</v>
      </c>
      <c r="H433" t="str">
        <f>"DELL"</f>
        <v>DELL</v>
      </c>
    </row>
    <row r="434" spans="1:8" x14ac:dyDescent="0.25">
      <c r="E434" t="str">
        <f>""</f>
        <v/>
      </c>
      <c r="F434" t="str">
        <f>""</f>
        <v/>
      </c>
      <c r="H434" t="str">
        <f>"WW License"</f>
        <v>WW License</v>
      </c>
    </row>
    <row r="435" spans="1:8" x14ac:dyDescent="0.25">
      <c r="E435" t="str">
        <f>""</f>
        <v/>
      </c>
      <c r="F435" t="str">
        <f>""</f>
        <v/>
      </c>
      <c r="H435" t="str">
        <f>"Programming"</f>
        <v>Programming</v>
      </c>
    </row>
    <row r="436" spans="1:8" x14ac:dyDescent="0.25">
      <c r="E436" t="str">
        <f>""</f>
        <v/>
      </c>
      <c r="F436" t="str">
        <f>""</f>
        <v/>
      </c>
      <c r="H436" t="str">
        <f>"Shipping"</f>
        <v>Shipping</v>
      </c>
    </row>
    <row r="437" spans="1:8" x14ac:dyDescent="0.25">
      <c r="A437" t="s">
        <v>120</v>
      </c>
      <c r="B437">
        <v>130169</v>
      </c>
      <c r="C437" s="2">
        <v>195</v>
      </c>
      <c r="D437" s="1">
        <v>43822</v>
      </c>
      <c r="E437" t="str">
        <f>"201912113909"</f>
        <v>201912113909</v>
      </c>
      <c r="F437" t="str">
        <f>"FERAL HOGS"</f>
        <v>FERAL HOGS</v>
      </c>
      <c r="G437" s="2">
        <v>195</v>
      </c>
      <c r="H437" t="str">
        <f>"FERAL HOGS"</f>
        <v>FERAL HOGS</v>
      </c>
    </row>
    <row r="438" spans="1:8" x14ac:dyDescent="0.25">
      <c r="A438" t="s">
        <v>121</v>
      </c>
      <c r="B438">
        <v>1908</v>
      </c>
      <c r="C438" s="2">
        <v>228</v>
      </c>
      <c r="D438" s="1">
        <v>43823</v>
      </c>
      <c r="E438" t="str">
        <f>"12457934532"</f>
        <v>12457934532</v>
      </c>
      <c r="F438" t="str">
        <f>"INV 12457934532"</f>
        <v>INV 12457934532</v>
      </c>
      <c r="G438" s="2">
        <v>228</v>
      </c>
      <c r="H438" t="str">
        <f>"INV 12457934532"</f>
        <v>INV 12457934532</v>
      </c>
    </row>
    <row r="439" spans="1:8" x14ac:dyDescent="0.25">
      <c r="A439" t="s">
        <v>122</v>
      </c>
      <c r="B439">
        <v>1915</v>
      </c>
      <c r="C439" s="2">
        <v>259.81</v>
      </c>
      <c r="D439" s="1">
        <v>43823</v>
      </c>
      <c r="E439" t="str">
        <f>"201912184272"</f>
        <v>201912184272</v>
      </c>
      <c r="F439" t="str">
        <f>"INDIGENT HEALTH"</f>
        <v>INDIGENT HEALTH</v>
      </c>
      <c r="G439" s="2">
        <v>259.81</v>
      </c>
      <c r="H439" t="str">
        <f>"INDIGENT HEALTH"</f>
        <v>INDIGENT HEALTH</v>
      </c>
    </row>
    <row r="440" spans="1:8" x14ac:dyDescent="0.25">
      <c r="A440" t="s">
        <v>123</v>
      </c>
      <c r="B440">
        <v>129952</v>
      </c>
      <c r="C440" s="2">
        <v>100</v>
      </c>
      <c r="D440" s="1">
        <v>43808</v>
      </c>
      <c r="E440" t="str">
        <f>"BSDS20190925.2"</f>
        <v>BSDS20190925.2</v>
      </c>
      <c r="F440" t="str">
        <f>"INV BSD20190925.2"</f>
        <v>INV BSD20190925.2</v>
      </c>
      <c r="G440" s="2">
        <v>100</v>
      </c>
      <c r="H440" t="str">
        <f>"INV BSD20190925.2"</f>
        <v>INV BSD20190925.2</v>
      </c>
    </row>
    <row r="441" spans="1:8" x14ac:dyDescent="0.25">
      <c r="A441" t="s">
        <v>124</v>
      </c>
      <c r="B441">
        <v>130170</v>
      </c>
      <c r="C441" s="2">
        <v>1387.44</v>
      </c>
      <c r="D441" s="1">
        <v>43822</v>
      </c>
      <c r="E441" t="str">
        <f>"19711585"</f>
        <v>19711585</v>
      </c>
      <c r="F441" t="str">
        <f>"ACCT#434304/PCT#4"</f>
        <v>ACCT#434304/PCT#4</v>
      </c>
      <c r="G441" s="2">
        <v>1387.44</v>
      </c>
      <c r="H441" t="str">
        <f>"ACCT#434304/PCT#4"</f>
        <v>ACCT#434304/PCT#4</v>
      </c>
    </row>
    <row r="442" spans="1:8" x14ac:dyDescent="0.25">
      <c r="A442" t="s">
        <v>125</v>
      </c>
      <c r="B442">
        <v>129953</v>
      </c>
      <c r="C442" s="2">
        <v>90</v>
      </c>
      <c r="D442" s="1">
        <v>43808</v>
      </c>
      <c r="E442" t="str">
        <f>"20388"</f>
        <v>20388</v>
      </c>
      <c r="F442" t="str">
        <f>"20388 JH MOUNT WALL RACK"</f>
        <v>20388 JH MOUNT WALL RACK</v>
      </c>
      <c r="G442" s="2">
        <v>90</v>
      </c>
      <c r="H442" t="str">
        <f>"20388 JH MOUNT WALL RACK"</f>
        <v>20388 JH MOUNT WALL RACK</v>
      </c>
    </row>
    <row r="443" spans="1:8" x14ac:dyDescent="0.25">
      <c r="A443" t="s">
        <v>125</v>
      </c>
      <c r="B443">
        <v>130171</v>
      </c>
      <c r="C443" s="2">
        <v>16777.47</v>
      </c>
      <c r="D443" s="1">
        <v>43822</v>
      </c>
      <c r="E443" t="str">
        <f>"20360"</f>
        <v>20360</v>
      </c>
      <c r="F443" t="str">
        <f>"ANNEX BLDG"</f>
        <v>ANNEX BLDG</v>
      </c>
      <c r="G443" s="2">
        <v>7145</v>
      </c>
      <c r="H443" t="str">
        <f>"ANNEX BLDG"</f>
        <v>ANNEX BLDG</v>
      </c>
    </row>
    <row r="444" spans="1:8" x14ac:dyDescent="0.25">
      <c r="E444" t="str">
        <f>"20361"</f>
        <v>20361</v>
      </c>
      <c r="F444" t="str">
        <f>"T&amp;M COURTHOUSE"</f>
        <v>T&amp;M COURTHOUSE</v>
      </c>
      <c r="G444" s="2">
        <v>9632.4699999999993</v>
      </c>
      <c r="H444" t="str">
        <f>"T&amp;M COURTHOUSE"</f>
        <v>T&amp;M COURTHOUSE</v>
      </c>
    </row>
    <row r="445" spans="1:8" x14ac:dyDescent="0.25">
      <c r="A445" t="s">
        <v>126</v>
      </c>
      <c r="B445">
        <v>129954</v>
      </c>
      <c r="C445" s="2">
        <v>75</v>
      </c>
      <c r="D445" s="1">
        <v>43808</v>
      </c>
      <c r="E445" t="str">
        <f>"12867"</f>
        <v>12867</v>
      </c>
      <c r="F445" t="str">
        <f>"SERVICE"</f>
        <v>SERVICE</v>
      </c>
      <c r="G445" s="2">
        <v>75</v>
      </c>
      <c r="H445" t="str">
        <f>"SERVICE"</f>
        <v>SERVICE</v>
      </c>
    </row>
    <row r="446" spans="1:8" x14ac:dyDescent="0.25">
      <c r="A446" t="s">
        <v>126</v>
      </c>
      <c r="B446">
        <v>130172</v>
      </c>
      <c r="C446" s="2">
        <v>75</v>
      </c>
      <c r="D446" s="1">
        <v>43822</v>
      </c>
      <c r="E446" t="str">
        <f>"13127"</f>
        <v>13127</v>
      </c>
      <c r="F446" t="str">
        <f>"SERVICE"</f>
        <v>SERVICE</v>
      </c>
      <c r="G446" s="2">
        <v>75</v>
      </c>
      <c r="H446" t="str">
        <f>"SERVICE"</f>
        <v>SERVICE</v>
      </c>
    </row>
    <row r="447" spans="1:8" x14ac:dyDescent="0.25">
      <c r="A447" t="s">
        <v>127</v>
      </c>
      <c r="B447">
        <v>130173</v>
      </c>
      <c r="C447" s="2">
        <v>1370.7</v>
      </c>
      <c r="D447" s="1">
        <v>43822</v>
      </c>
      <c r="E447" t="str">
        <f>"211-19-004"</f>
        <v>211-19-004</v>
      </c>
      <c r="F447" t="str">
        <f>"AP-73 135 REPORTER'S &amp; CLERK R"</f>
        <v>AP-73 135 REPORTER'S &amp; CLERK R</v>
      </c>
      <c r="G447" s="2">
        <v>1370.7</v>
      </c>
      <c r="H447" t="str">
        <f>"AP-73 135 REPORTER'S &amp; CLERK R"</f>
        <v>AP-73 135 REPORTER'S &amp; CLERK R</v>
      </c>
    </row>
    <row r="448" spans="1:8" x14ac:dyDescent="0.25">
      <c r="A448" t="s">
        <v>128</v>
      </c>
      <c r="B448">
        <v>129955</v>
      </c>
      <c r="C448" s="2">
        <v>1214.19</v>
      </c>
      <c r="D448" s="1">
        <v>43808</v>
      </c>
      <c r="E448" t="str">
        <f>"SB21992"</f>
        <v>SB21992</v>
      </c>
      <c r="F448" t="str">
        <f>"ACCT#68930-000/ANIMAL SVCS"</f>
        <v>ACCT#68930-000/ANIMAL SVCS</v>
      </c>
      <c r="G448" s="2">
        <v>191.73</v>
      </c>
      <c r="H448" t="str">
        <f>"ACCT#68930-000/ANIMAL SVCS"</f>
        <v>ACCT#68930-000/ANIMAL SVCS</v>
      </c>
    </row>
    <row r="449" spans="1:8" x14ac:dyDescent="0.25">
      <c r="E449" t="str">
        <f>""</f>
        <v/>
      </c>
      <c r="F449" t="str">
        <f>""</f>
        <v/>
      </c>
      <c r="H449" t="str">
        <f>"ACCT#68930-000/ANIMAL SVCS"</f>
        <v>ACCT#68930-000/ANIMAL SVCS</v>
      </c>
    </row>
    <row r="450" spans="1:8" x14ac:dyDescent="0.25">
      <c r="E450" t="str">
        <f>"SB86405"</f>
        <v>SB86405</v>
      </c>
      <c r="F450" t="str">
        <f>"ACCT#68930-000/ANIMAL SVCS"</f>
        <v>ACCT#68930-000/ANIMAL SVCS</v>
      </c>
      <c r="G450" s="2">
        <v>590.46</v>
      </c>
      <c r="H450" t="str">
        <f>"ACCT#68930-000/ANIMAL SVCS"</f>
        <v>ACCT#68930-000/ANIMAL SVCS</v>
      </c>
    </row>
    <row r="451" spans="1:8" x14ac:dyDescent="0.25">
      <c r="E451" t="str">
        <f>""</f>
        <v/>
      </c>
      <c r="F451" t="str">
        <f>""</f>
        <v/>
      </c>
      <c r="H451" t="str">
        <f>"ACCT#68930-000/ANIMAL SVCS"</f>
        <v>ACCT#68930-000/ANIMAL SVCS</v>
      </c>
    </row>
    <row r="452" spans="1:8" x14ac:dyDescent="0.25">
      <c r="E452" t="str">
        <f>"SB88247"</f>
        <v>SB88247</v>
      </c>
      <c r="F452" t="str">
        <f>"ACCT#68930-000/ANIMAL SVCS"</f>
        <v>ACCT#68930-000/ANIMAL SVCS</v>
      </c>
      <c r="G452" s="2">
        <v>432</v>
      </c>
      <c r="H452" t="str">
        <f>"ACCT#68930-000/ANIMAL SVCS"</f>
        <v>ACCT#68930-000/ANIMAL SVCS</v>
      </c>
    </row>
    <row r="453" spans="1:8" x14ac:dyDescent="0.25">
      <c r="A453" t="s">
        <v>128</v>
      </c>
      <c r="B453">
        <v>130174</v>
      </c>
      <c r="C453" s="2">
        <v>1486.26</v>
      </c>
      <c r="D453" s="1">
        <v>43822</v>
      </c>
      <c r="E453" t="str">
        <f>"SC25621"</f>
        <v>SC25621</v>
      </c>
      <c r="F453" t="str">
        <f>"ACCT#58930-000/ANIMAL SVCS"</f>
        <v>ACCT#58930-000/ANIMAL SVCS</v>
      </c>
      <c r="G453" s="2">
        <v>15.84</v>
      </c>
      <c r="H453" t="str">
        <f>"ACCT#58930-000/ANIMAL SVCS"</f>
        <v>ACCT#58930-000/ANIMAL SVCS</v>
      </c>
    </row>
    <row r="454" spans="1:8" x14ac:dyDescent="0.25">
      <c r="E454" t="str">
        <f>"SC84174"</f>
        <v>SC84174</v>
      </c>
      <c r="F454" t="str">
        <f>"ACCT#68930-000/ANIMAL SVCS"</f>
        <v>ACCT#68930-000/ANIMAL SVCS</v>
      </c>
      <c r="G454" s="2">
        <v>397.92</v>
      </c>
      <c r="H454" t="str">
        <f t="shared" ref="H454:H460" si="14">"ACCT#68930-000/ANIMAL SVCS"</f>
        <v>ACCT#68930-000/ANIMAL SVCS</v>
      </c>
    </row>
    <row r="455" spans="1:8" x14ac:dyDescent="0.25">
      <c r="E455" t="str">
        <f>""</f>
        <v/>
      </c>
      <c r="F455" t="str">
        <f>""</f>
        <v/>
      </c>
      <c r="H455" t="str">
        <f t="shared" si="14"/>
        <v>ACCT#68930-000/ANIMAL SVCS</v>
      </c>
    </row>
    <row r="456" spans="1:8" x14ac:dyDescent="0.25">
      <c r="E456" t="str">
        <f>"SD03035"</f>
        <v>SD03035</v>
      </c>
      <c r="F456" t="str">
        <f>"ACCT#68930-000/ANIMAL SVCS"</f>
        <v>ACCT#68930-000/ANIMAL SVCS</v>
      </c>
      <c r="G456" s="2">
        <v>576</v>
      </c>
      <c r="H456" t="str">
        <f t="shared" si="14"/>
        <v>ACCT#68930-000/ANIMAL SVCS</v>
      </c>
    </row>
    <row r="457" spans="1:8" x14ac:dyDescent="0.25">
      <c r="E457" t="str">
        <f>"SD05155"</f>
        <v>SD05155</v>
      </c>
      <c r="F457" t="str">
        <f>"ACCT#68930-000/ANIMAL SVCS"</f>
        <v>ACCT#68930-000/ANIMAL SVCS</v>
      </c>
      <c r="G457" s="2">
        <v>222.9</v>
      </c>
      <c r="H457" t="str">
        <f t="shared" si="14"/>
        <v>ACCT#68930-000/ANIMAL SVCS</v>
      </c>
    </row>
    <row r="458" spans="1:8" x14ac:dyDescent="0.25">
      <c r="E458" t="str">
        <f>"SD26878"</f>
        <v>SD26878</v>
      </c>
      <c r="F458" t="str">
        <f>"ACCT#68930-000/ANIMAL SVCS"</f>
        <v>ACCT#68930-000/ANIMAL SVCS</v>
      </c>
      <c r="G458" s="2">
        <v>273.60000000000002</v>
      </c>
      <c r="H458" t="str">
        <f t="shared" si="14"/>
        <v>ACCT#68930-000/ANIMAL SVCS</v>
      </c>
    </row>
    <row r="459" spans="1:8" x14ac:dyDescent="0.25">
      <c r="E459" t="str">
        <f>""</f>
        <v/>
      </c>
      <c r="F459" t="str">
        <f>""</f>
        <v/>
      </c>
      <c r="H459" t="str">
        <f t="shared" si="14"/>
        <v>ACCT#68930-000/ANIMAL SVCS</v>
      </c>
    </row>
    <row r="460" spans="1:8" x14ac:dyDescent="0.25">
      <c r="E460" t="str">
        <f>""</f>
        <v/>
      </c>
      <c r="F460" t="str">
        <f>""</f>
        <v/>
      </c>
      <c r="H460" t="str">
        <f t="shared" si="14"/>
        <v>ACCT#68930-000/ANIMAL SVCS</v>
      </c>
    </row>
    <row r="461" spans="1:8" x14ac:dyDescent="0.25">
      <c r="A461" t="s">
        <v>129</v>
      </c>
      <c r="B461">
        <v>129956</v>
      </c>
      <c r="C461" s="2">
        <v>1171.5</v>
      </c>
      <c r="D461" s="1">
        <v>43808</v>
      </c>
      <c r="E461" t="str">
        <f>"327471"</f>
        <v>327471</v>
      </c>
      <c r="F461" t="str">
        <f>"inv# 327471"</f>
        <v>inv# 327471</v>
      </c>
      <c r="G461" s="2">
        <v>1171.5</v>
      </c>
      <c r="H461" t="str">
        <f>"irem# RPOCP061"</f>
        <v>irem# RPOCP061</v>
      </c>
    </row>
    <row r="462" spans="1:8" x14ac:dyDescent="0.25">
      <c r="E462" t="str">
        <f>""</f>
        <v/>
      </c>
      <c r="F462" t="str">
        <f>""</f>
        <v/>
      </c>
      <c r="H462" t="str">
        <f>"item# BA080HYE0408D"</f>
        <v>item# BA080HYE0408D</v>
      </c>
    </row>
    <row r="463" spans="1:8" x14ac:dyDescent="0.25">
      <c r="E463" t="str">
        <f>""</f>
        <v/>
      </c>
      <c r="F463" t="str">
        <f>""</f>
        <v/>
      </c>
      <c r="H463" t="str">
        <f>"Freight"</f>
        <v>Freight</v>
      </c>
    </row>
    <row r="464" spans="1:8" x14ac:dyDescent="0.25">
      <c r="A464" t="s">
        <v>130</v>
      </c>
      <c r="B464">
        <v>129957</v>
      </c>
      <c r="C464" s="2">
        <v>320</v>
      </c>
      <c r="D464" s="1">
        <v>43808</v>
      </c>
      <c r="E464" t="str">
        <f>"12867"</f>
        <v>12867</v>
      </c>
      <c r="F464" t="str">
        <f>"SERVICE"</f>
        <v>SERVICE</v>
      </c>
      <c r="G464" s="2">
        <v>80</v>
      </c>
      <c r="H464" t="str">
        <f>"SERVICE"</f>
        <v>SERVICE</v>
      </c>
    </row>
    <row r="465" spans="1:8" x14ac:dyDescent="0.25">
      <c r="E465" t="str">
        <f>"13026"</f>
        <v>13026</v>
      </c>
      <c r="F465" t="str">
        <f>"SERVICE"</f>
        <v>SERVICE</v>
      </c>
      <c r="G465" s="2">
        <v>160</v>
      </c>
      <c r="H465" t="str">
        <f>"SERVICE"</f>
        <v>SERVICE</v>
      </c>
    </row>
    <row r="466" spans="1:8" x14ac:dyDescent="0.25">
      <c r="E466" t="str">
        <f>"13164"</f>
        <v>13164</v>
      </c>
      <c r="F466" t="str">
        <f>"SERVICE"</f>
        <v>SERVICE</v>
      </c>
      <c r="G466" s="2">
        <v>80</v>
      </c>
      <c r="H466" t="str">
        <f>"SERVICE"</f>
        <v>SERVICE</v>
      </c>
    </row>
    <row r="467" spans="1:8" x14ac:dyDescent="0.25">
      <c r="A467" t="s">
        <v>131</v>
      </c>
      <c r="B467">
        <v>130175</v>
      </c>
      <c r="C467" s="2">
        <v>20</v>
      </c>
      <c r="D467" s="1">
        <v>43822</v>
      </c>
      <c r="E467" t="str">
        <f>"201912113910"</f>
        <v>201912113910</v>
      </c>
      <c r="F467" t="str">
        <f>"FERAL HOGS"</f>
        <v>FERAL HOGS</v>
      </c>
      <c r="G467" s="2">
        <v>20</v>
      </c>
      <c r="H467" t="str">
        <f>"FERAL HOGS"</f>
        <v>FERAL HOGS</v>
      </c>
    </row>
    <row r="468" spans="1:8" x14ac:dyDescent="0.25">
      <c r="A468" t="s">
        <v>132</v>
      </c>
      <c r="B468">
        <v>129958</v>
      </c>
      <c r="C468" s="2">
        <v>45</v>
      </c>
      <c r="D468" s="1">
        <v>43808</v>
      </c>
      <c r="E468" t="str">
        <f>"201911273552"</f>
        <v>201911273552</v>
      </c>
      <c r="F468" t="str">
        <f>"FERAL HOGS"</f>
        <v>FERAL HOGS</v>
      </c>
      <c r="G468" s="2">
        <v>45</v>
      </c>
      <c r="H468" t="str">
        <f>"FERAL HOGS"</f>
        <v>FERAL HOGS</v>
      </c>
    </row>
    <row r="469" spans="1:8" x14ac:dyDescent="0.25">
      <c r="A469" t="s">
        <v>133</v>
      </c>
      <c r="B469">
        <v>130176</v>
      </c>
      <c r="C469" s="2">
        <v>150</v>
      </c>
      <c r="D469" s="1">
        <v>43822</v>
      </c>
      <c r="E469" t="str">
        <f>"201912113911"</f>
        <v>201912113911</v>
      </c>
      <c r="F469" t="str">
        <f>"FERAL HOGS"</f>
        <v>FERAL HOGS</v>
      </c>
      <c r="G469" s="2">
        <v>150</v>
      </c>
      <c r="H469" t="str">
        <f>"FERAL HOGS"</f>
        <v>FERAL HOGS</v>
      </c>
    </row>
    <row r="470" spans="1:8" x14ac:dyDescent="0.25">
      <c r="A470" t="s">
        <v>134</v>
      </c>
      <c r="B470">
        <v>129959</v>
      </c>
      <c r="C470" s="2">
        <v>100</v>
      </c>
      <c r="D470" s="1">
        <v>43808</v>
      </c>
      <c r="E470" t="str">
        <f>"201912033686"</f>
        <v>201912033686</v>
      </c>
      <c r="F470" t="str">
        <f>"LEGAL CONSULTATION SVCS"</f>
        <v>LEGAL CONSULTATION SVCS</v>
      </c>
      <c r="G470" s="2">
        <v>100</v>
      </c>
      <c r="H470" t="str">
        <f>"LEGAL CONSULTATION SVCS"</f>
        <v>LEGAL CONSULTATION SVCS</v>
      </c>
    </row>
    <row r="471" spans="1:8" x14ac:dyDescent="0.25">
      <c r="A471" t="s">
        <v>135</v>
      </c>
      <c r="B471">
        <v>129960</v>
      </c>
      <c r="C471" s="2">
        <v>55</v>
      </c>
      <c r="D471" s="1">
        <v>43808</v>
      </c>
      <c r="E471" t="str">
        <f>"201911273553"</f>
        <v>201911273553</v>
      </c>
      <c r="F471" t="str">
        <f>"FERAL HOGS"</f>
        <v>FERAL HOGS</v>
      </c>
      <c r="G471" s="2">
        <v>35</v>
      </c>
      <c r="H471" t="str">
        <f>"FERAL HOGS"</f>
        <v>FERAL HOGS</v>
      </c>
    </row>
    <row r="472" spans="1:8" x14ac:dyDescent="0.25">
      <c r="E472" t="str">
        <f>"201911273554"</f>
        <v>201911273554</v>
      </c>
      <c r="F472" t="str">
        <f>"FERAL HOGS"</f>
        <v>FERAL HOGS</v>
      </c>
      <c r="G472" s="2">
        <v>20</v>
      </c>
      <c r="H472" t="str">
        <f>"FERAL HOGS"</f>
        <v>FERAL HOGS</v>
      </c>
    </row>
    <row r="473" spans="1:8" x14ac:dyDescent="0.25">
      <c r="A473" t="s">
        <v>135</v>
      </c>
      <c r="B473">
        <v>130177</v>
      </c>
      <c r="C473" s="2">
        <v>25</v>
      </c>
      <c r="D473" s="1">
        <v>43822</v>
      </c>
      <c r="E473" t="str">
        <f>"201912113912"</f>
        <v>201912113912</v>
      </c>
      <c r="F473" t="str">
        <f>"FERAL HOGS"</f>
        <v>FERAL HOGS</v>
      </c>
      <c r="G473" s="2">
        <v>20</v>
      </c>
      <c r="H473" t="str">
        <f>"FERAL HOGS"</f>
        <v>FERAL HOGS</v>
      </c>
    </row>
    <row r="474" spans="1:8" x14ac:dyDescent="0.25">
      <c r="E474" t="str">
        <f>"201912113913"</f>
        <v>201912113913</v>
      </c>
      <c r="F474" t="str">
        <f>"FERAL HOGS"</f>
        <v>FERAL HOGS</v>
      </c>
      <c r="G474" s="2">
        <v>5</v>
      </c>
      <c r="H474" t="str">
        <f>"FERAL HOGS"</f>
        <v>FERAL HOGS</v>
      </c>
    </row>
    <row r="475" spans="1:8" x14ac:dyDescent="0.25">
      <c r="A475" t="s">
        <v>136</v>
      </c>
      <c r="B475">
        <v>1911</v>
      </c>
      <c r="C475" s="2">
        <v>1755</v>
      </c>
      <c r="D475" s="1">
        <v>43823</v>
      </c>
      <c r="E475" t="str">
        <f>"201912174220"</f>
        <v>201912174220</v>
      </c>
      <c r="F475" t="str">
        <f>"19-19463"</f>
        <v>19-19463</v>
      </c>
      <c r="G475" s="2">
        <v>37.5</v>
      </c>
      <c r="H475" t="str">
        <f>"19-19463"</f>
        <v>19-19463</v>
      </c>
    </row>
    <row r="476" spans="1:8" x14ac:dyDescent="0.25">
      <c r="E476" t="str">
        <f>"201912174221"</f>
        <v>201912174221</v>
      </c>
      <c r="F476" t="str">
        <f>"15-17513"</f>
        <v>15-17513</v>
      </c>
      <c r="G476" s="2">
        <v>255</v>
      </c>
      <c r="H476" t="str">
        <f>"15-17513"</f>
        <v>15-17513</v>
      </c>
    </row>
    <row r="477" spans="1:8" x14ac:dyDescent="0.25">
      <c r="E477" t="str">
        <f>"201912174222"</f>
        <v>201912174222</v>
      </c>
      <c r="F477" t="str">
        <f>"19-19967"</f>
        <v>19-19967</v>
      </c>
      <c r="G477" s="2">
        <v>362.5</v>
      </c>
      <c r="H477" t="str">
        <f>"19-19967"</f>
        <v>19-19967</v>
      </c>
    </row>
    <row r="478" spans="1:8" x14ac:dyDescent="0.25">
      <c r="E478" t="str">
        <f>"201912174223"</f>
        <v>201912174223</v>
      </c>
      <c r="F478" t="str">
        <f>"J-3208"</f>
        <v>J-3208</v>
      </c>
      <c r="G478" s="2">
        <v>250</v>
      </c>
      <c r="H478" t="str">
        <f>"J-3208"</f>
        <v>J-3208</v>
      </c>
    </row>
    <row r="479" spans="1:8" x14ac:dyDescent="0.25">
      <c r="E479" t="str">
        <f>"201912184245"</f>
        <v>201912184245</v>
      </c>
      <c r="F479" t="str">
        <f>"19-19526"</f>
        <v>19-19526</v>
      </c>
      <c r="G479" s="2">
        <v>197.5</v>
      </c>
      <c r="H479" t="str">
        <f>"19-19526"</f>
        <v>19-19526</v>
      </c>
    </row>
    <row r="480" spans="1:8" x14ac:dyDescent="0.25">
      <c r="E480" t="str">
        <f>"201912184246"</f>
        <v>201912184246</v>
      </c>
      <c r="F480" t="str">
        <f>"18-19190"</f>
        <v>18-19190</v>
      </c>
      <c r="G480" s="2">
        <v>187.5</v>
      </c>
      <c r="H480" t="str">
        <f>"18-19190"</f>
        <v>18-19190</v>
      </c>
    </row>
    <row r="481" spans="1:8" x14ac:dyDescent="0.25">
      <c r="E481" t="str">
        <f>"201912184247"</f>
        <v>201912184247</v>
      </c>
      <c r="F481" t="str">
        <f>"19-19679"</f>
        <v>19-19679</v>
      </c>
      <c r="G481" s="2">
        <v>167.5</v>
      </c>
      <c r="H481" t="str">
        <f>"19-19679"</f>
        <v>19-19679</v>
      </c>
    </row>
    <row r="482" spans="1:8" x14ac:dyDescent="0.25">
      <c r="E482" t="str">
        <f>"201912184248"</f>
        <v>201912184248</v>
      </c>
      <c r="F482" t="str">
        <f>"19-19572"</f>
        <v>19-19572</v>
      </c>
      <c r="G482" s="2">
        <v>167.5</v>
      </c>
      <c r="H482" t="str">
        <f>"19-19572"</f>
        <v>19-19572</v>
      </c>
    </row>
    <row r="483" spans="1:8" x14ac:dyDescent="0.25">
      <c r="E483" t="str">
        <f>"201912184249"</f>
        <v>201912184249</v>
      </c>
      <c r="F483" t="str">
        <f>"19-19463"</f>
        <v>19-19463</v>
      </c>
      <c r="G483" s="2">
        <v>130</v>
      </c>
      <c r="H483" t="str">
        <f>"19-19463"</f>
        <v>19-19463</v>
      </c>
    </row>
    <row r="484" spans="1:8" x14ac:dyDescent="0.25">
      <c r="A484" t="s">
        <v>137</v>
      </c>
      <c r="B484">
        <v>130178</v>
      </c>
      <c r="C484" s="2">
        <v>385</v>
      </c>
      <c r="D484" s="1">
        <v>43822</v>
      </c>
      <c r="E484" t="str">
        <f>"201912113914"</f>
        <v>201912113914</v>
      </c>
      <c r="F484" t="str">
        <f>"FERAL HOGS"</f>
        <v>FERAL HOGS</v>
      </c>
      <c r="G484" s="2">
        <v>385</v>
      </c>
      <c r="H484" t="str">
        <f>"FERAL HOGS"</f>
        <v>FERAL HOGS</v>
      </c>
    </row>
    <row r="485" spans="1:8" x14ac:dyDescent="0.25">
      <c r="A485" t="s">
        <v>138</v>
      </c>
      <c r="B485">
        <v>129961</v>
      </c>
      <c r="C485" s="2">
        <v>7610.14</v>
      </c>
      <c r="D485" s="1">
        <v>43808</v>
      </c>
      <c r="E485" t="str">
        <f>"10355854635"</f>
        <v>10355854635</v>
      </c>
      <c r="F485" t="str">
        <f>"Computers and Mounts"</f>
        <v>Computers and Mounts</v>
      </c>
      <c r="G485" s="2">
        <v>7610.14</v>
      </c>
      <c r="H485" t="str">
        <f>"Part# : FXP92"</f>
        <v>Part# : FXP92</v>
      </c>
    </row>
    <row r="486" spans="1:8" x14ac:dyDescent="0.25">
      <c r="E486" t="str">
        <f>""</f>
        <v/>
      </c>
      <c r="F486" t="str">
        <f>""</f>
        <v/>
      </c>
      <c r="H486" t="str">
        <f>"DISCOUNT"</f>
        <v>DISCOUNT</v>
      </c>
    </row>
    <row r="487" spans="1:8" x14ac:dyDescent="0.25">
      <c r="E487" t="str">
        <f>""</f>
        <v/>
      </c>
      <c r="F487" t="str">
        <f>""</f>
        <v/>
      </c>
      <c r="H487" t="str">
        <f>"OPTIPLEX 7070"</f>
        <v>OPTIPLEX 7070</v>
      </c>
    </row>
    <row r="488" spans="1:8" x14ac:dyDescent="0.25">
      <c r="E488" t="str">
        <f>""</f>
        <v/>
      </c>
      <c r="F488" t="str">
        <f>""</f>
        <v/>
      </c>
      <c r="H488" t="str">
        <f>"DISCOUNT"</f>
        <v>DISCOUNT</v>
      </c>
    </row>
    <row r="489" spans="1:8" x14ac:dyDescent="0.25">
      <c r="A489" t="s">
        <v>138</v>
      </c>
      <c r="B489">
        <v>130179</v>
      </c>
      <c r="C489" s="2">
        <v>1069.94</v>
      </c>
      <c r="D489" s="1">
        <v>43822</v>
      </c>
      <c r="E489" t="str">
        <f>"10358090464"</f>
        <v>10358090464</v>
      </c>
      <c r="F489" t="str">
        <f>"Laptop replacement batter"</f>
        <v>Laptop replacement batter</v>
      </c>
      <c r="G489" s="2">
        <v>133.97999999999999</v>
      </c>
      <c r="H489" t="str">
        <f>"Battery Primary 51WH"</f>
        <v>Battery Primary 51WH</v>
      </c>
    </row>
    <row r="490" spans="1:8" x14ac:dyDescent="0.25">
      <c r="E490" t="str">
        <f>""</f>
        <v/>
      </c>
      <c r="F490" t="str">
        <f>""</f>
        <v/>
      </c>
      <c r="H490" t="str">
        <f>"DGPM Door Bottom E55"</f>
        <v>DGPM Door Bottom E55</v>
      </c>
    </row>
    <row r="491" spans="1:8" x14ac:dyDescent="0.25">
      <c r="E491" t="str">
        <f>"10358492096"</f>
        <v>10358492096</v>
      </c>
      <c r="F491" t="str">
        <f>"HDMI modules"</f>
        <v>HDMI modules</v>
      </c>
      <c r="G491" s="2">
        <v>139.96</v>
      </c>
      <c r="H491" t="str">
        <f>"SKU# 5N1NY"</f>
        <v>SKU# 5N1NY</v>
      </c>
    </row>
    <row r="492" spans="1:8" x14ac:dyDescent="0.25">
      <c r="E492" t="str">
        <f>"10359351530"</f>
        <v>10359351530</v>
      </c>
      <c r="F492" t="str">
        <f>"Monitors for Julie Sommer"</f>
        <v>Monitors for Julie Sommer</v>
      </c>
      <c r="G492" s="2">
        <v>796</v>
      </c>
      <c r="H492" t="str">
        <f>"SKU#210-AMLM"</f>
        <v>SKU#210-AMLM</v>
      </c>
    </row>
    <row r="493" spans="1:8" x14ac:dyDescent="0.25">
      <c r="A493" t="s">
        <v>139</v>
      </c>
      <c r="B493">
        <v>130180</v>
      </c>
      <c r="C493" s="2">
        <v>240</v>
      </c>
      <c r="D493" s="1">
        <v>43822</v>
      </c>
      <c r="E493" t="str">
        <f>"201912113915"</f>
        <v>201912113915</v>
      </c>
      <c r="F493" t="str">
        <f>"FERAL HOGS"</f>
        <v>FERAL HOGS</v>
      </c>
      <c r="G493" s="2">
        <v>240</v>
      </c>
      <c r="H493" t="str">
        <f>"FERAL HOGS"</f>
        <v>FERAL HOGS</v>
      </c>
    </row>
    <row r="494" spans="1:8" x14ac:dyDescent="0.25">
      <c r="A494" t="s">
        <v>140</v>
      </c>
      <c r="B494">
        <v>1866</v>
      </c>
      <c r="C494" s="2">
        <v>2145</v>
      </c>
      <c r="D494" s="1">
        <v>43809</v>
      </c>
      <c r="E494" t="str">
        <f>"BATX016510"</f>
        <v>BATX016510</v>
      </c>
      <c r="F494" t="str">
        <f>"INV BATX016510"</f>
        <v>INV BATX016510</v>
      </c>
      <c r="G494" s="2">
        <v>2145</v>
      </c>
      <c r="H494" t="str">
        <f>"INV BATX016510"</f>
        <v>INV BATX016510</v>
      </c>
    </row>
    <row r="495" spans="1:8" x14ac:dyDescent="0.25">
      <c r="A495" t="s">
        <v>140</v>
      </c>
      <c r="B495">
        <v>1940</v>
      </c>
      <c r="C495" s="2">
        <v>2660</v>
      </c>
      <c r="D495" s="1">
        <v>43823</v>
      </c>
      <c r="E495" t="str">
        <f>"BATX016546"</f>
        <v>BATX016546</v>
      </c>
      <c r="F495" t="str">
        <f>"INV BATX016546"</f>
        <v>INV BATX016546</v>
      </c>
      <c r="G495" s="2">
        <v>2660</v>
      </c>
      <c r="H495" t="str">
        <f>"INV BATX016546"</f>
        <v>INV BATX016546</v>
      </c>
    </row>
    <row r="496" spans="1:8" x14ac:dyDescent="0.25">
      <c r="A496" t="s">
        <v>141</v>
      </c>
      <c r="B496">
        <v>130181</v>
      </c>
      <c r="C496" s="2">
        <v>155</v>
      </c>
      <c r="D496" s="1">
        <v>43822</v>
      </c>
      <c r="E496" t="str">
        <f>"201912113916"</f>
        <v>201912113916</v>
      </c>
      <c r="F496" t="str">
        <f>"FERAL HOGS"</f>
        <v>FERAL HOGS</v>
      </c>
      <c r="G496" s="2">
        <v>155</v>
      </c>
      <c r="H496" t="str">
        <f>"FERAL HOGS"</f>
        <v>FERAL HOGS</v>
      </c>
    </row>
    <row r="497" spans="1:8" x14ac:dyDescent="0.25">
      <c r="A497" t="s">
        <v>142</v>
      </c>
      <c r="B497">
        <v>129962</v>
      </c>
      <c r="C497" s="2">
        <v>65</v>
      </c>
      <c r="D497" s="1">
        <v>43808</v>
      </c>
      <c r="E497" t="str">
        <f>"26117"</f>
        <v>26117</v>
      </c>
      <c r="F497" t="str">
        <f>"SERVICE CALL/PURCHASING"</f>
        <v>SERVICE CALL/PURCHASING</v>
      </c>
      <c r="G497" s="2">
        <v>65</v>
      </c>
      <c r="H497" t="str">
        <f>"SERVICE CALL/PURCHASING"</f>
        <v>SERVICE CALL/PURCHASING</v>
      </c>
    </row>
    <row r="498" spans="1:8" x14ac:dyDescent="0.25">
      <c r="A498" t="s">
        <v>142</v>
      </c>
      <c r="B498">
        <v>130182</v>
      </c>
      <c r="C498" s="2">
        <v>231.54</v>
      </c>
      <c r="D498" s="1">
        <v>43822</v>
      </c>
      <c r="E498" t="str">
        <f>"26148"</f>
        <v>26148</v>
      </c>
      <c r="F498" t="str">
        <f>"LOCKS/PCT#1"</f>
        <v>LOCKS/PCT#1</v>
      </c>
      <c r="G498" s="2">
        <v>108.54</v>
      </c>
      <c r="H498" t="str">
        <f>"LOCKS/PCT#1"</f>
        <v>LOCKS/PCT#1</v>
      </c>
    </row>
    <row r="499" spans="1:8" x14ac:dyDescent="0.25">
      <c r="E499" t="str">
        <f>"26153"</f>
        <v>26153</v>
      </c>
      <c r="F499" t="str">
        <f>"INV 26153"</f>
        <v>INV 26153</v>
      </c>
      <c r="G499" s="2">
        <v>22.5</v>
      </c>
      <c r="H499" t="str">
        <f>"INV 26153"</f>
        <v>INV 26153</v>
      </c>
    </row>
    <row r="500" spans="1:8" x14ac:dyDescent="0.25">
      <c r="E500" t="str">
        <f>"26172"</f>
        <v>26172</v>
      </c>
      <c r="F500" t="str">
        <f>"DUP KEYS / PCT 1"</f>
        <v>DUP KEYS / PCT 1</v>
      </c>
      <c r="G500" s="2">
        <v>100.5</v>
      </c>
      <c r="H500" t="str">
        <f>"DUP KEYS / PCT 1"</f>
        <v>DUP KEYS / PCT 1</v>
      </c>
    </row>
    <row r="501" spans="1:8" x14ac:dyDescent="0.25">
      <c r="A501" t="s">
        <v>143</v>
      </c>
      <c r="B501">
        <v>1862</v>
      </c>
      <c r="C501" s="2">
        <v>269.74</v>
      </c>
      <c r="D501" s="1">
        <v>43809</v>
      </c>
      <c r="E501" t="str">
        <f>"SCR015530"</f>
        <v>SCR015530</v>
      </c>
      <c r="F501" t="str">
        <f>"TAX EXEMPT CREDIT/ANIMAL SVCS"</f>
        <v>TAX EXEMPT CREDIT/ANIMAL SVCS</v>
      </c>
      <c r="G501" s="2">
        <v>-18.21</v>
      </c>
      <c r="H501" t="str">
        <f>"TAX EXEMPT CREDIT/ANIMAL SVCS"</f>
        <v>TAX EXEMPT CREDIT/ANIMAL SVCS</v>
      </c>
    </row>
    <row r="502" spans="1:8" x14ac:dyDescent="0.25">
      <c r="E502" t="str">
        <f>"SIN128827"</f>
        <v>SIN128827</v>
      </c>
      <c r="F502" t="str">
        <f>"OFFICE SUPPLIES/ANIMAL SVCS"</f>
        <v>OFFICE SUPPLIES/ANIMAL SVCS</v>
      </c>
      <c r="G502" s="2">
        <v>287.95</v>
      </c>
      <c r="H502" t="str">
        <f>"OFFICE SUPPLIES/ANIMAL SVCS"</f>
        <v>OFFICE SUPPLIES/ANIMAL SVCS</v>
      </c>
    </row>
    <row r="503" spans="1:8" x14ac:dyDescent="0.25">
      <c r="A503" t="s">
        <v>144</v>
      </c>
      <c r="B503">
        <v>129963</v>
      </c>
      <c r="C503" s="2">
        <v>2930.73</v>
      </c>
      <c r="D503" s="1">
        <v>43808</v>
      </c>
      <c r="E503" t="str">
        <f>"19101121N"</f>
        <v>19101121N</v>
      </c>
      <c r="F503" t="str">
        <f>"CUST#PKE500/OCTOBER 2019"</f>
        <v>CUST#PKE500/OCTOBER 2019</v>
      </c>
      <c r="G503" s="2">
        <v>2930.73</v>
      </c>
      <c r="H503" t="str">
        <f>"CUST#PKE500/OCTOBER 2019"</f>
        <v>CUST#PKE500/OCTOBER 2019</v>
      </c>
    </row>
    <row r="504" spans="1:8" x14ac:dyDescent="0.25">
      <c r="E504" t="str">
        <f>""</f>
        <v/>
      </c>
      <c r="F504" t="str">
        <f>""</f>
        <v/>
      </c>
      <c r="H504" t="str">
        <f>"CUST#PKE500/OCTOBER 2019"</f>
        <v>CUST#PKE500/OCTOBER 2019</v>
      </c>
    </row>
    <row r="505" spans="1:8" x14ac:dyDescent="0.25">
      <c r="A505" t="s">
        <v>145</v>
      </c>
      <c r="B505">
        <v>129964</v>
      </c>
      <c r="C505" s="2">
        <v>797.25</v>
      </c>
      <c r="D505" s="1">
        <v>43808</v>
      </c>
      <c r="E505" t="str">
        <f>"2818280"</f>
        <v>2818280</v>
      </c>
      <c r="F505" t="str">
        <f>"ACCT#27917/PCT#4"</f>
        <v>ACCT#27917/PCT#4</v>
      </c>
      <c r="G505" s="2">
        <v>797.25</v>
      </c>
      <c r="H505" t="str">
        <f>"ACCT#27917/PCT#4"</f>
        <v>ACCT#27917/PCT#4</v>
      </c>
    </row>
    <row r="506" spans="1:8" x14ac:dyDescent="0.25">
      <c r="A506" t="s">
        <v>145</v>
      </c>
      <c r="B506">
        <v>130183</v>
      </c>
      <c r="C506" s="2">
        <v>353.5</v>
      </c>
      <c r="D506" s="1">
        <v>43822</v>
      </c>
      <c r="E506" t="str">
        <f>"2823305"</f>
        <v>2823305</v>
      </c>
      <c r="F506" t="str">
        <f>"ACCT#27917"</f>
        <v>ACCT#27917</v>
      </c>
      <c r="G506" s="2">
        <v>353.5</v>
      </c>
      <c r="H506" t="str">
        <f>"ACCT#27917"</f>
        <v>ACCT#27917</v>
      </c>
    </row>
    <row r="507" spans="1:8" x14ac:dyDescent="0.25">
      <c r="A507" t="s">
        <v>146</v>
      </c>
      <c r="B507">
        <v>130184</v>
      </c>
      <c r="C507" s="2">
        <v>70</v>
      </c>
      <c r="D507" s="1">
        <v>43822</v>
      </c>
      <c r="E507" t="str">
        <f>"201912113917"</f>
        <v>201912113917</v>
      </c>
      <c r="F507" t="str">
        <f>"FERAL HOGS"</f>
        <v>FERAL HOGS</v>
      </c>
      <c r="G507" s="2">
        <v>70</v>
      </c>
      <c r="H507" t="str">
        <f>"FERAL HOGS"</f>
        <v>FERAL HOGS</v>
      </c>
    </row>
    <row r="508" spans="1:8" x14ac:dyDescent="0.25">
      <c r="A508" t="s">
        <v>147</v>
      </c>
      <c r="B508">
        <v>130185</v>
      </c>
      <c r="C508" s="2">
        <v>65</v>
      </c>
      <c r="D508" s="1">
        <v>43822</v>
      </c>
      <c r="E508" t="str">
        <f>"201912113918"</f>
        <v>201912113918</v>
      </c>
      <c r="F508" t="str">
        <f>"FERAL HOGS"</f>
        <v>FERAL HOGS</v>
      </c>
      <c r="G508" s="2">
        <v>65</v>
      </c>
      <c r="H508" t="str">
        <f>"FERAL HOGS"</f>
        <v>FERAL HOGS</v>
      </c>
    </row>
    <row r="509" spans="1:8" x14ac:dyDescent="0.25">
      <c r="A509" t="s">
        <v>148</v>
      </c>
      <c r="B509">
        <v>130330</v>
      </c>
      <c r="C509" s="2">
        <v>749.4</v>
      </c>
      <c r="D509" s="1">
        <v>43830</v>
      </c>
      <c r="E509" t="str">
        <f>"201912314357"</f>
        <v>201912314357</v>
      </c>
      <c r="F509" t="str">
        <f>"ACCT#405900029213 / 01012020"</f>
        <v>ACCT#405900029213 / 01012020</v>
      </c>
      <c r="G509" s="2">
        <v>374.7</v>
      </c>
      <c r="H509" t="str">
        <f>"ACCT#405900029213 / 01012020"</f>
        <v>ACCT#405900029213 / 01012020</v>
      </c>
    </row>
    <row r="510" spans="1:8" x14ac:dyDescent="0.25">
      <c r="E510" t="str">
        <f>"201912314358"</f>
        <v>201912314358</v>
      </c>
      <c r="F510" t="str">
        <f>"ACCT#405900029225 / 01012020"</f>
        <v>ACCT#405900029225 / 01012020</v>
      </c>
      <c r="G510" s="2">
        <v>187.35</v>
      </c>
      <c r="H510" t="str">
        <f>"ACCT#405900029225 / 01012020"</f>
        <v>ACCT#405900029225 / 01012020</v>
      </c>
    </row>
    <row r="511" spans="1:8" x14ac:dyDescent="0.25">
      <c r="E511" t="str">
        <f>"201912314359"</f>
        <v>201912314359</v>
      </c>
      <c r="F511" t="str">
        <f>"ACCT#405900028789 / 01012020"</f>
        <v>ACCT#405900028789 / 01012020</v>
      </c>
      <c r="G511" s="2">
        <v>187.35</v>
      </c>
      <c r="H511" t="str">
        <f>"ACCT#405900028789 / 01012020"</f>
        <v>ACCT#405900028789 / 01012020</v>
      </c>
    </row>
    <row r="512" spans="1:8" x14ac:dyDescent="0.25">
      <c r="A512" t="s">
        <v>149</v>
      </c>
      <c r="B512">
        <v>1927</v>
      </c>
      <c r="C512" s="2">
        <v>1820.93</v>
      </c>
      <c r="D512" s="1">
        <v>43823</v>
      </c>
      <c r="E512" t="str">
        <f>"29325B"</f>
        <v>29325B</v>
      </c>
      <c r="F512" t="str">
        <f>"INV 29325B"</f>
        <v>INV 29325B</v>
      </c>
      <c r="G512" s="2">
        <v>1820.93</v>
      </c>
      <c r="H512" t="str">
        <f>"INV 29325B"</f>
        <v>INV 29325B</v>
      </c>
    </row>
    <row r="513" spans="1:8" x14ac:dyDescent="0.25">
      <c r="A513" t="s">
        <v>150</v>
      </c>
      <c r="B513">
        <v>129965</v>
      </c>
      <c r="C513" s="2">
        <v>93.98</v>
      </c>
      <c r="D513" s="1">
        <v>43808</v>
      </c>
      <c r="E513" t="str">
        <f>"36144"</f>
        <v>36144</v>
      </c>
      <c r="F513" t="str">
        <f>"LOWER ARM CASTNG/PCT#4"</f>
        <v>LOWER ARM CASTNG/PCT#4</v>
      </c>
      <c r="G513" s="2">
        <v>93.98</v>
      </c>
      <c r="H513" t="str">
        <f>"LOWER ARM CASTNG/PCT#4"</f>
        <v>LOWER ARM CASTNG/PCT#4</v>
      </c>
    </row>
    <row r="514" spans="1:8" x14ac:dyDescent="0.25">
      <c r="A514" t="s">
        <v>150</v>
      </c>
      <c r="B514">
        <v>130186</v>
      </c>
      <c r="C514" s="2">
        <v>199</v>
      </c>
      <c r="D514" s="1">
        <v>43822</v>
      </c>
      <c r="E514" t="str">
        <f>"36648"</f>
        <v>36648</v>
      </c>
      <c r="F514" t="str">
        <f>"LABOR/PCT#4"</f>
        <v>LABOR/PCT#4</v>
      </c>
      <c r="G514" s="2">
        <v>199</v>
      </c>
      <c r="H514" t="str">
        <f>"LABOR/PCT#4"</f>
        <v>LABOR/PCT#4</v>
      </c>
    </row>
    <row r="515" spans="1:8" x14ac:dyDescent="0.25">
      <c r="A515" t="s">
        <v>151</v>
      </c>
      <c r="B515">
        <v>129966</v>
      </c>
      <c r="C515" s="2">
        <v>2376</v>
      </c>
      <c r="D515" s="1">
        <v>43808</v>
      </c>
      <c r="E515" t="str">
        <f>"INV-2737"</f>
        <v>INV-2737</v>
      </c>
      <c r="F515" t="str">
        <f>"Software"</f>
        <v>Software</v>
      </c>
      <c r="G515" s="2">
        <v>2376</v>
      </c>
      <c r="H515" t="str">
        <f>"DSL001-12"</f>
        <v>DSL001-12</v>
      </c>
    </row>
    <row r="516" spans="1:8" x14ac:dyDescent="0.25">
      <c r="A516" t="s">
        <v>152</v>
      </c>
      <c r="B516">
        <v>1895</v>
      </c>
      <c r="C516" s="2">
        <v>2475</v>
      </c>
      <c r="D516" s="1">
        <v>43809</v>
      </c>
      <c r="E516" t="str">
        <f>"201911263513"</f>
        <v>201911263513</v>
      </c>
      <c r="F516" t="str">
        <f>"CC20190406C AC20190322 2018I-T"</f>
        <v>CC20190406C AC20190322 2018I-T</v>
      </c>
      <c r="G516" s="2">
        <v>800</v>
      </c>
      <c r="H516" t="str">
        <f>"CC20190406C AC20190322 2018I-T"</f>
        <v>CC20190406C AC20190322 2018I-T</v>
      </c>
    </row>
    <row r="517" spans="1:8" x14ac:dyDescent="0.25">
      <c r="E517" t="str">
        <f>"201911263514"</f>
        <v>201911263514</v>
      </c>
      <c r="F517" t="str">
        <f>"BC2019022A"</f>
        <v>BC2019022A</v>
      </c>
      <c r="G517" s="2">
        <v>400</v>
      </c>
      <c r="H517" t="str">
        <f>"BC2019022A"</f>
        <v>BC2019022A</v>
      </c>
    </row>
    <row r="518" spans="1:8" x14ac:dyDescent="0.25">
      <c r="E518" t="str">
        <f>"201912033761"</f>
        <v>201912033761</v>
      </c>
      <c r="F518" t="str">
        <f>"19-19414"</f>
        <v>19-19414</v>
      </c>
      <c r="G518" s="2">
        <v>175</v>
      </c>
      <c r="H518" t="str">
        <f>"19-19414"</f>
        <v>19-19414</v>
      </c>
    </row>
    <row r="519" spans="1:8" x14ac:dyDescent="0.25">
      <c r="E519" t="str">
        <f>"201912033762"</f>
        <v>201912033762</v>
      </c>
      <c r="F519" t="str">
        <f>"19-19940"</f>
        <v>19-19940</v>
      </c>
      <c r="G519" s="2">
        <v>100</v>
      </c>
      <c r="H519" t="str">
        <f>"19-19940"</f>
        <v>19-19940</v>
      </c>
    </row>
    <row r="520" spans="1:8" x14ac:dyDescent="0.25">
      <c r="E520" t="str">
        <f>"201912033763"</f>
        <v>201912033763</v>
      </c>
      <c r="F520" t="str">
        <f>"57213"</f>
        <v>57213</v>
      </c>
      <c r="G520" s="2">
        <v>250</v>
      </c>
      <c r="H520" t="str">
        <f>"57213"</f>
        <v>57213</v>
      </c>
    </row>
    <row r="521" spans="1:8" x14ac:dyDescent="0.25">
      <c r="E521" t="str">
        <f>"201912033764"</f>
        <v>201912033764</v>
      </c>
      <c r="F521" t="str">
        <f>"57094 57095 CC20190406B 201905"</f>
        <v>57094 57095 CC20190406B 201905</v>
      </c>
      <c r="G521" s="2">
        <v>750</v>
      </c>
      <c r="H521" t="str">
        <f>"57094 57095 CC20190406B 201905"</f>
        <v>57094 57095 CC20190406B 201905</v>
      </c>
    </row>
    <row r="522" spans="1:8" x14ac:dyDescent="0.25">
      <c r="A522" t="s">
        <v>152</v>
      </c>
      <c r="B522">
        <v>1968</v>
      </c>
      <c r="C522" s="2">
        <v>12212.5</v>
      </c>
      <c r="D522" s="1">
        <v>43823</v>
      </c>
      <c r="E522" t="str">
        <f>"201912123977"</f>
        <v>201912123977</v>
      </c>
      <c r="F522" t="str">
        <f>"17053  C190083"</f>
        <v>17053  C190083</v>
      </c>
      <c r="G522" s="2">
        <v>600</v>
      </c>
      <c r="H522" t="str">
        <f>"17053  C190083"</f>
        <v>17053  C190083</v>
      </c>
    </row>
    <row r="523" spans="1:8" x14ac:dyDescent="0.25">
      <c r="E523" t="str">
        <f>"201912123978"</f>
        <v>201912123978</v>
      </c>
      <c r="F523" t="str">
        <f>"15956"</f>
        <v>15956</v>
      </c>
      <c r="G523" s="2">
        <v>400</v>
      </c>
      <c r="H523" t="str">
        <f>"15956"</f>
        <v>15956</v>
      </c>
    </row>
    <row r="524" spans="1:8" x14ac:dyDescent="0.25">
      <c r="E524" t="str">
        <f>"201912123979"</f>
        <v>201912123979</v>
      </c>
      <c r="F524" t="str">
        <f>"038162019B"</f>
        <v>038162019B</v>
      </c>
      <c r="G524" s="2">
        <v>400</v>
      </c>
      <c r="H524" t="str">
        <f>"038162019B"</f>
        <v>038162019B</v>
      </c>
    </row>
    <row r="525" spans="1:8" x14ac:dyDescent="0.25">
      <c r="E525" t="str">
        <f>"201912123980"</f>
        <v>201912123980</v>
      </c>
      <c r="F525" t="str">
        <f>"02-0117-2  02-0117-4"</f>
        <v>02-0117-2  02-0117-4</v>
      </c>
      <c r="G525" s="2">
        <v>600</v>
      </c>
      <c r="H525" t="str">
        <f>"02-0117-2  02-0117-4"</f>
        <v>02-0117-2  02-0117-4</v>
      </c>
    </row>
    <row r="526" spans="1:8" x14ac:dyDescent="0.25">
      <c r="E526" t="str">
        <f>"201912123981"</f>
        <v>201912123981</v>
      </c>
      <c r="F526" t="str">
        <f>"16808  16809  0207291/92/95"</f>
        <v>16808  16809  0207291/92/95</v>
      </c>
      <c r="G526" s="2">
        <v>6750</v>
      </c>
      <c r="H526" t="str">
        <f>"16808  16809  0207291/92/95"</f>
        <v>16808  16809  0207291/92/95</v>
      </c>
    </row>
    <row r="527" spans="1:8" x14ac:dyDescent="0.25">
      <c r="E527" t="str">
        <f>"201912174140"</f>
        <v>201912174140</v>
      </c>
      <c r="F527" t="str">
        <f>"20170367A"</f>
        <v>20170367A</v>
      </c>
      <c r="G527" s="2">
        <v>600</v>
      </c>
      <c r="H527" t="str">
        <f>"20170367A"</f>
        <v>20170367A</v>
      </c>
    </row>
    <row r="528" spans="1:8" x14ac:dyDescent="0.25">
      <c r="E528" t="str">
        <f>"201912174141"</f>
        <v>201912174141</v>
      </c>
      <c r="F528" t="str">
        <f>"FORGERY"</f>
        <v>FORGERY</v>
      </c>
      <c r="G528" s="2">
        <v>100</v>
      </c>
      <c r="H528" t="str">
        <f>"FORGERY"</f>
        <v>FORGERY</v>
      </c>
    </row>
    <row r="529" spans="1:8" x14ac:dyDescent="0.25">
      <c r="E529" t="str">
        <f>"201912174142"</f>
        <v>201912174142</v>
      </c>
      <c r="F529" t="str">
        <f>"423-6987"</f>
        <v>423-6987</v>
      </c>
      <c r="G529" s="2">
        <v>100</v>
      </c>
      <c r="H529" t="str">
        <f>"423-6987"</f>
        <v>423-6987</v>
      </c>
    </row>
    <row r="530" spans="1:8" x14ac:dyDescent="0.25">
      <c r="E530" t="str">
        <f>"201912174143"</f>
        <v>201912174143</v>
      </c>
      <c r="F530" t="str">
        <f>"1384-21  1388-335"</f>
        <v>1384-21  1388-335</v>
      </c>
      <c r="G530" s="2">
        <v>200</v>
      </c>
      <c r="H530" t="str">
        <f>"1384-21  1388-335"</f>
        <v>1384-21  1388-335</v>
      </c>
    </row>
    <row r="531" spans="1:8" x14ac:dyDescent="0.25">
      <c r="E531" t="str">
        <f>"201912174144"</f>
        <v>201912174144</v>
      </c>
      <c r="F531" t="str">
        <f>"14843"</f>
        <v>14843</v>
      </c>
      <c r="G531" s="2">
        <v>400</v>
      </c>
      <c r="H531" t="str">
        <f>"14843"</f>
        <v>14843</v>
      </c>
    </row>
    <row r="532" spans="1:8" x14ac:dyDescent="0.25">
      <c r="E532" t="str">
        <f>"201912174213"</f>
        <v>201912174213</v>
      </c>
      <c r="F532" t="str">
        <f>"19-19963"</f>
        <v>19-19963</v>
      </c>
      <c r="G532" s="2">
        <v>175</v>
      </c>
      <c r="H532" t="str">
        <f>"19-19963"</f>
        <v>19-19963</v>
      </c>
    </row>
    <row r="533" spans="1:8" x14ac:dyDescent="0.25">
      <c r="E533" t="str">
        <f>"201912174214"</f>
        <v>201912174214</v>
      </c>
      <c r="F533" t="str">
        <f>"19-19628"</f>
        <v>19-19628</v>
      </c>
      <c r="G533" s="2">
        <v>137.5</v>
      </c>
      <c r="H533" t="str">
        <f>"19-19628"</f>
        <v>19-19628</v>
      </c>
    </row>
    <row r="534" spans="1:8" x14ac:dyDescent="0.25">
      <c r="E534" t="str">
        <f>"201912174215"</f>
        <v>201912174215</v>
      </c>
      <c r="F534" t="str">
        <f>"57258  308162019D"</f>
        <v>57258  308162019D</v>
      </c>
      <c r="G534" s="2">
        <v>375</v>
      </c>
      <c r="H534" t="str">
        <f>"57258  308162019D"</f>
        <v>57258  308162019D</v>
      </c>
    </row>
    <row r="535" spans="1:8" x14ac:dyDescent="0.25">
      <c r="E535" t="str">
        <f>"201912174216"</f>
        <v>201912174216</v>
      </c>
      <c r="F535" t="str">
        <f>"56874 AC20191002A AC20191002"</f>
        <v>56874 AC20191002A AC20191002</v>
      </c>
      <c r="G535" s="2">
        <v>500</v>
      </c>
      <c r="H535" t="str">
        <f>"56874 AC20191002A AC20191002"</f>
        <v>56874 AC20191002A AC20191002</v>
      </c>
    </row>
    <row r="536" spans="1:8" x14ac:dyDescent="0.25">
      <c r="E536" t="str">
        <f>"201912174217"</f>
        <v>201912174217</v>
      </c>
      <c r="F536" t="str">
        <f>"BC201960830A  20190170"</f>
        <v>BC201960830A  20190170</v>
      </c>
      <c r="G536" s="2">
        <v>375</v>
      </c>
      <c r="H536" t="str">
        <f>"BC201960830A  20190170"</f>
        <v>BC201960830A  20190170</v>
      </c>
    </row>
    <row r="537" spans="1:8" x14ac:dyDescent="0.25">
      <c r="E537" t="str">
        <f>"201912174218"</f>
        <v>201912174218</v>
      </c>
      <c r="F537" t="str">
        <f>"57087"</f>
        <v>57087</v>
      </c>
      <c r="G537" s="2">
        <v>250</v>
      </c>
      <c r="H537" t="str">
        <f>"57087"</f>
        <v>57087</v>
      </c>
    </row>
    <row r="538" spans="1:8" x14ac:dyDescent="0.25">
      <c r="E538" t="str">
        <f>"201912174219"</f>
        <v>201912174219</v>
      </c>
      <c r="F538" t="str">
        <f>"57248"</f>
        <v>57248</v>
      </c>
      <c r="G538" s="2">
        <v>250</v>
      </c>
      <c r="H538" t="str">
        <f>"57248"</f>
        <v>57248</v>
      </c>
    </row>
    <row r="539" spans="1:8" x14ac:dyDescent="0.25">
      <c r="A539" t="s">
        <v>153</v>
      </c>
      <c r="B539">
        <v>130187</v>
      </c>
      <c r="C539" s="2">
        <v>100</v>
      </c>
      <c r="D539" s="1">
        <v>43822</v>
      </c>
      <c r="E539" t="str">
        <f>"201912113920"</f>
        <v>201912113920</v>
      </c>
      <c r="F539" t="str">
        <f>"FERAL HOGS"</f>
        <v>FERAL HOGS</v>
      </c>
      <c r="G539" s="2">
        <v>100</v>
      </c>
      <c r="H539" t="str">
        <f>"FERAL HOGS"</f>
        <v>FERAL HOGS</v>
      </c>
    </row>
    <row r="540" spans="1:8" x14ac:dyDescent="0.25">
      <c r="A540" t="s">
        <v>154</v>
      </c>
      <c r="B540">
        <v>1941</v>
      </c>
      <c r="C540" s="2">
        <v>1901.45</v>
      </c>
      <c r="D540" s="1">
        <v>43823</v>
      </c>
      <c r="E540" t="str">
        <f>"6253083351"</f>
        <v>6253083351</v>
      </c>
      <c r="F540" t="str">
        <f>"INV 6253083351"</f>
        <v>INV 6253083351</v>
      </c>
      <c r="G540" s="2">
        <v>960.56</v>
      </c>
      <c r="H540" t="str">
        <f>"INV 6253083351"</f>
        <v>INV 6253083351</v>
      </c>
    </row>
    <row r="541" spans="1:8" x14ac:dyDescent="0.25">
      <c r="E541" t="str">
        <f>"6253083352"</f>
        <v>6253083352</v>
      </c>
      <c r="F541" t="str">
        <f>"INV 6253083352"</f>
        <v>INV 6253083352</v>
      </c>
      <c r="G541" s="2">
        <v>179.94</v>
      </c>
      <c r="H541" t="str">
        <f>"INV 6253083352"</f>
        <v>INV 6253083352</v>
      </c>
    </row>
    <row r="542" spans="1:8" x14ac:dyDescent="0.25">
      <c r="E542" t="str">
        <f>"6253083353"</f>
        <v>6253083353</v>
      </c>
      <c r="F542" t="str">
        <f>"INV 6253083353"</f>
        <v>INV 6253083353</v>
      </c>
      <c r="G542" s="2">
        <v>760.95</v>
      </c>
      <c r="H542" t="str">
        <f>"INV 6253083353"</f>
        <v>INV 6253083353</v>
      </c>
    </row>
    <row r="543" spans="1:8" x14ac:dyDescent="0.25">
      <c r="A543" t="s">
        <v>155</v>
      </c>
      <c r="B543">
        <v>130188</v>
      </c>
      <c r="C543" s="2">
        <v>45</v>
      </c>
      <c r="D543" s="1">
        <v>43822</v>
      </c>
      <c r="E543" t="str">
        <f>"201912113921"</f>
        <v>201912113921</v>
      </c>
      <c r="F543" t="str">
        <f>"FERAL HOGS"</f>
        <v>FERAL HOGS</v>
      </c>
      <c r="G543" s="2">
        <v>45</v>
      </c>
      <c r="H543" t="str">
        <f>"FERAL HOGS"</f>
        <v>FERAL HOGS</v>
      </c>
    </row>
    <row r="544" spans="1:8" x14ac:dyDescent="0.25">
      <c r="A544" t="s">
        <v>156</v>
      </c>
      <c r="B544">
        <v>129967</v>
      </c>
      <c r="C544" s="2">
        <v>21750</v>
      </c>
      <c r="D544" s="1">
        <v>43808</v>
      </c>
      <c r="E544" t="str">
        <f>"1109087"</f>
        <v>1109087</v>
      </c>
      <c r="F544" t="str">
        <f>"Expres Vote Printers"</f>
        <v>Expres Vote Printers</v>
      </c>
      <c r="G544" s="2">
        <v>21750</v>
      </c>
      <c r="H544" t="str">
        <f>"ExPress Vote Printer"</f>
        <v>ExPress Vote Printer</v>
      </c>
    </row>
    <row r="545" spans="1:8" x14ac:dyDescent="0.25">
      <c r="A545" t="s">
        <v>157</v>
      </c>
      <c r="B545">
        <v>129968</v>
      </c>
      <c r="C545" s="2">
        <v>195.76</v>
      </c>
      <c r="D545" s="1">
        <v>43808</v>
      </c>
      <c r="E545" t="str">
        <f>"19-45433"</f>
        <v>19-45433</v>
      </c>
      <c r="F545" t="str">
        <f>"DISTANCE MEASURING TOOL"</f>
        <v>DISTANCE MEASURING TOOL</v>
      </c>
      <c r="G545" s="2">
        <v>195.76</v>
      </c>
      <c r="H545" t="str">
        <f>"DISTANCE MEASURING TOOL"</f>
        <v>DISTANCE MEASURING TOOL</v>
      </c>
    </row>
    <row r="546" spans="1:8" x14ac:dyDescent="0.25">
      <c r="A546" t="s">
        <v>158</v>
      </c>
      <c r="B546">
        <v>1867</v>
      </c>
      <c r="C546" s="2">
        <v>847</v>
      </c>
      <c r="D546" s="1">
        <v>43809</v>
      </c>
      <c r="E546" t="str">
        <f>"52421-20509/20510"</f>
        <v>52421-20509/20510</v>
      </c>
      <c r="F546" t="str">
        <f>"Public notices"</f>
        <v>Public notices</v>
      </c>
      <c r="G546" s="2">
        <v>82</v>
      </c>
      <c r="H546" t="str">
        <f>"Beverly C. Parsneau"</f>
        <v>Beverly C. Parsneau</v>
      </c>
    </row>
    <row r="547" spans="1:8" x14ac:dyDescent="0.25">
      <c r="E547" t="str">
        <f>""</f>
        <v/>
      </c>
      <c r="F547" t="str">
        <f>""</f>
        <v/>
      </c>
      <c r="H547" t="str">
        <f>"Flor Edith Martinez"</f>
        <v>Flor Edith Martinez</v>
      </c>
    </row>
    <row r="548" spans="1:8" x14ac:dyDescent="0.25">
      <c r="E548" t="str">
        <f>"52421-20515/16/17"</f>
        <v>52421-20515/16/17</v>
      </c>
      <c r="F548" t="str">
        <f>"Ad:  boundary change"</f>
        <v>Ad:  boundary change</v>
      </c>
      <c r="G548" s="2">
        <v>765</v>
      </c>
      <c r="H548" t="str">
        <f>"Ad:  boundary change"</f>
        <v>Ad:  boundary change</v>
      </c>
    </row>
    <row r="549" spans="1:8" x14ac:dyDescent="0.25">
      <c r="A549" t="s">
        <v>159</v>
      </c>
      <c r="B549">
        <v>129908</v>
      </c>
      <c r="C549" s="2">
        <v>1479.35</v>
      </c>
      <c r="D549" s="1">
        <v>43802</v>
      </c>
      <c r="E549" t="str">
        <f>"201912033708"</f>
        <v>201912033708</v>
      </c>
      <c r="F549" t="str">
        <f>"ACCT#007-0008410-002/11302019"</f>
        <v>ACCT#007-0008410-002/11302019</v>
      </c>
      <c r="G549" s="2">
        <v>216.64</v>
      </c>
      <c r="H549" t="str">
        <f>"ACCT#007-0008410-002/11302019"</f>
        <v>ACCT#007-0008410-002/11302019</v>
      </c>
    </row>
    <row r="550" spans="1:8" x14ac:dyDescent="0.25">
      <c r="E550" t="str">
        <f>"201912033709"</f>
        <v>201912033709</v>
      </c>
      <c r="F550" t="str">
        <f>"ACCT#007-0011501-000/11302019"</f>
        <v>ACCT#007-0011501-000/11302019</v>
      </c>
      <c r="G550" s="2">
        <v>226.96</v>
      </c>
      <c r="H550" t="str">
        <f>"ACCT#007-0011501-000/11302019"</f>
        <v>ACCT#007-0011501-000/11302019</v>
      </c>
    </row>
    <row r="551" spans="1:8" x14ac:dyDescent="0.25">
      <c r="E551" t="str">
        <f>"201912033710"</f>
        <v>201912033710</v>
      </c>
      <c r="F551" t="str">
        <f>"ACCT#007-0011510-000/11302019"</f>
        <v>ACCT#007-0011510-000/11302019</v>
      </c>
      <c r="G551" s="2">
        <v>240.58</v>
      </c>
      <c r="H551" t="str">
        <f>"ACCT#007-0011510-000/11302019"</f>
        <v>ACCT#007-0011510-000/11302019</v>
      </c>
    </row>
    <row r="552" spans="1:8" x14ac:dyDescent="0.25">
      <c r="E552" t="str">
        <f>"201912033711"</f>
        <v>201912033711</v>
      </c>
      <c r="F552" t="str">
        <f>"ACCT#007-0011530-000/11302019"</f>
        <v>ACCT#007-0011530-000/11302019</v>
      </c>
      <c r="G552" s="2">
        <v>98.12</v>
      </c>
      <c r="H552" t="str">
        <f>"ACCT#007-0011530-000/11302019"</f>
        <v>ACCT#007-0011530-000/11302019</v>
      </c>
    </row>
    <row r="553" spans="1:8" x14ac:dyDescent="0.25">
      <c r="E553" t="str">
        <f>"201912033712"</f>
        <v>201912033712</v>
      </c>
      <c r="F553" t="str">
        <f>"ACCT#007-0011534-001/11302019"</f>
        <v>ACCT#007-0011534-001/11302019</v>
      </c>
      <c r="G553" s="2">
        <v>169.3</v>
      </c>
      <c r="H553" t="str">
        <f>"ACCT#007-0011534-001/11302019"</f>
        <v>ACCT#007-0011534-001/11302019</v>
      </c>
    </row>
    <row r="554" spans="1:8" x14ac:dyDescent="0.25">
      <c r="E554" t="str">
        <f>"201912033713"</f>
        <v>201912033713</v>
      </c>
      <c r="F554" t="str">
        <f>"ACCT#007-0011535-000/11302019"</f>
        <v>ACCT#007-0011535-000/11302019</v>
      </c>
      <c r="G554" s="2">
        <v>388.41</v>
      </c>
      <c r="H554" t="str">
        <f>"ACCT#007-0011535-000/11302019"</f>
        <v>ACCT#007-0011535-000/11302019</v>
      </c>
    </row>
    <row r="555" spans="1:8" x14ac:dyDescent="0.25">
      <c r="E555" t="str">
        <f>"201912033714"</f>
        <v>201912033714</v>
      </c>
      <c r="F555" t="str">
        <f>"ACCT#007-0011544-001/11302019"</f>
        <v>ACCT#007-0011544-001/11302019</v>
      </c>
      <c r="G555" s="2">
        <v>131.32</v>
      </c>
      <c r="H555" t="str">
        <f>"ACCT#007-0011544-001/11302019"</f>
        <v>ACCT#007-0011544-001/11302019</v>
      </c>
    </row>
    <row r="556" spans="1:8" x14ac:dyDescent="0.25">
      <c r="E556" t="str">
        <f>"201912033715"</f>
        <v>201912033715</v>
      </c>
      <c r="F556" t="str">
        <f>"ACCT#007-0071128-001/11302019"</f>
        <v>ACCT#007-0071128-001/11302019</v>
      </c>
      <c r="G556" s="2">
        <v>8.02</v>
      </c>
      <c r="H556" t="str">
        <f>"ACCT#007-0071128-001/11302019"</f>
        <v>ACCT#007-0071128-001/11302019</v>
      </c>
    </row>
    <row r="557" spans="1:8" x14ac:dyDescent="0.25">
      <c r="A557" t="s">
        <v>159</v>
      </c>
      <c r="B557">
        <v>130331</v>
      </c>
      <c r="C557" s="2">
        <v>1487.74</v>
      </c>
      <c r="D557" s="1">
        <v>43830</v>
      </c>
      <c r="E557" t="str">
        <f>"201912314360"</f>
        <v>201912314360</v>
      </c>
      <c r="F557" t="str">
        <f>"ACCT#007-0008410-002/12312019"</f>
        <v>ACCT#007-0008410-002/12312019</v>
      </c>
      <c r="G557" s="2">
        <v>243.36</v>
      </c>
      <c r="H557" t="str">
        <f>"ACCT#007-0008410-002/12312019"</f>
        <v>ACCT#007-0008410-002/12312019</v>
      </c>
    </row>
    <row r="558" spans="1:8" x14ac:dyDescent="0.25">
      <c r="E558" t="str">
        <f>"201912314361"</f>
        <v>201912314361</v>
      </c>
      <c r="F558" t="str">
        <f>"ACCT#007-0011501-000/12312019"</f>
        <v>ACCT#007-0011501-000/12312019</v>
      </c>
      <c r="G558" s="2">
        <v>275.8</v>
      </c>
      <c r="H558" t="str">
        <f>"ACCT#007-0011501-000/12312019"</f>
        <v>ACCT#007-0011501-000/12312019</v>
      </c>
    </row>
    <row r="559" spans="1:8" x14ac:dyDescent="0.25">
      <c r="E559" t="str">
        <f>"201912314362"</f>
        <v>201912314362</v>
      </c>
      <c r="F559" t="str">
        <f>"ACCT#007-0011510-000/12312019"</f>
        <v>ACCT#007-0011510-000/12312019</v>
      </c>
      <c r="G559" s="2">
        <v>240.58</v>
      </c>
      <c r="H559" t="str">
        <f>"ACCT#007-0011510-000/12312019"</f>
        <v>ACCT#007-0011510-000/12312019</v>
      </c>
    </row>
    <row r="560" spans="1:8" x14ac:dyDescent="0.25">
      <c r="E560" t="str">
        <f>"201912314363"</f>
        <v>201912314363</v>
      </c>
      <c r="F560" t="str">
        <f>"ACCT#007-0011530-000/12312019"</f>
        <v>ACCT#007-0011530-000/12312019</v>
      </c>
      <c r="G560" s="2">
        <v>98.12</v>
      </c>
      <c r="H560" t="str">
        <f>"ACCT#007-0011530-000/12312019"</f>
        <v>ACCT#007-0011530-000/12312019</v>
      </c>
    </row>
    <row r="561" spans="1:8" x14ac:dyDescent="0.25">
      <c r="E561" t="str">
        <f>"201912314364"</f>
        <v>201912314364</v>
      </c>
      <c r="F561" t="str">
        <f>"ACCT#007-0011534-001/12312019"</f>
        <v>ACCT#007-0011534-001/12312019</v>
      </c>
      <c r="G561" s="2">
        <v>169.3</v>
      </c>
      <c r="H561" t="str">
        <f>"ACCT#007-0011534-001/12312019"</f>
        <v>ACCT#007-0011534-001/12312019</v>
      </c>
    </row>
    <row r="562" spans="1:8" x14ac:dyDescent="0.25">
      <c r="E562" t="str">
        <f>"201912314365"</f>
        <v>201912314365</v>
      </c>
      <c r="F562" t="str">
        <f>"ACCT#007-0011535-000/12312019"</f>
        <v>ACCT#007-0011535-000/12312019</v>
      </c>
      <c r="G562" s="2">
        <v>329.26</v>
      </c>
      <c r="H562" t="str">
        <f>"ACCT#007-0011535-000/12312019"</f>
        <v>ACCT#007-0011535-000/12312019</v>
      </c>
    </row>
    <row r="563" spans="1:8" x14ac:dyDescent="0.25">
      <c r="E563" t="str">
        <f>"201912314366"</f>
        <v>201912314366</v>
      </c>
      <c r="F563" t="str">
        <f>"ACCT#007-0011544-001/12312019"</f>
        <v>ACCT#007-0011544-001/12312019</v>
      </c>
      <c r="G563" s="2">
        <v>131.32</v>
      </c>
      <c r="H563" t="str">
        <f>"ACCT#007-0011544-001/12312019"</f>
        <v>ACCT#007-0011544-001/12312019</v>
      </c>
    </row>
    <row r="564" spans="1:8" x14ac:dyDescent="0.25">
      <c r="A564" t="s">
        <v>160</v>
      </c>
      <c r="B564">
        <v>129969</v>
      </c>
      <c r="C564" s="2">
        <v>1485</v>
      </c>
      <c r="D564" s="1">
        <v>43808</v>
      </c>
      <c r="E564" t="str">
        <f>"145-32169-01"</f>
        <v>145-32169-01</v>
      </c>
      <c r="F564" t="str">
        <f>"CUST#08888336/EMER PACK FOR LE"</f>
        <v>CUST#08888336/EMER PACK FOR LE</v>
      </c>
      <c r="G564" s="2">
        <v>1485</v>
      </c>
      <c r="H564" t="str">
        <f>"CUST#08888336/EMER PACK FOR LE"</f>
        <v>CUST#08888336/EMER PACK FOR LE</v>
      </c>
    </row>
    <row r="565" spans="1:8" x14ac:dyDescent="0.25">
      <c r="A565" t="s">
        <v>160</v>
      </c>
      <c r="B565">
        <v>130189</v>
      </c>
      <c r="C565" s="2">
        <v>820.5</v>
      </c>
      <c r="D565" s="1">
        <v>43822</v>
      </c>
      <c r="E565" t="str">
        <f>"145-33474-01"</f>
        <v>145-33474-01</v>
      </c>
      <c r="F565" t="str">
        <f>"INV 145-33474-01"</f>
        <v>INV 145-33474-01</v>
      </c>
      <c r="G565" s="2">
        <v>173.5</v>
      </c>
      <c r="H565" t="str">
        <f>"INV 145-33474-01"</f>
        <v>INV 145-33474-01</v>
      </c>
    </row>
    <row r="566" spans="1:8" x14ac:dyDescent="0.25">
      <c r="E566" t="str">
        <f>"145-33764-01"</f>
        <v>145-33764-01</v>
      </c>
      <c r="F566" t="str">
        <f>"INV 145-33764-01"</f>
        <v>INV 145-33764-01</v>
      </c>
      <c r="G566" s="2">
        <v>647</v>
      </c>
      <c r="H566" t="str">
        <f>"INV 145-33764-01"</f>
        <v>INV 145-33764-01</v>
      </c>
    </row>
    <row r="567" spans="1:8" x14ac:dyDescent="0.25">
      <c r="A567" t="s">
        <v>161</v>
      </c>
      <c r="B567">
        <v>129970</v>
      </c>
      <c r="C567" s="2">
        <v>15347.87</v>
      </c>
      <c r="D567" s="1">
        <v>43808</v>
      </c>
      <c r="E567" t="str">
        <f>"9402167724"</f>
        <v>9402167724</v>
      </c>
      <c r="F567" t="str">
        <f>"ACCT#912897/BOL#25886/PCT#3"</f>
        <v>ACCT#912897/BOL#25886/PCT#3</v>
      </c>
      <c r="G567" s="2">
        <v>15347.87</v>
      </c>
      <c r="H567" t="str">
        <f>"ACCT#912897/BOL#25886/PCT#3"</f>
        <v>ACCT#912897/BOL#25886/PCT#3</v>
      </c>
    </row>
    <row r="568" spans="1:8" x14ac:dyDescent="0.25">
      <c r="A568" t="s">
        <v>161</v>
      </c>
      <c r="B568">
        <v>130190</v>
      </c>
      <c r="C568" s="2">
        <v>51624.58</v>
      </c>
      <c r="D568" s="1">
        <v>43822</v>
      </c>
      <c r="E568" t="str">
        <f>"9402173818"</f>
        <v>9402173818</v>
      </c>
      <c r="F568" t="str">
        <f>"ACCT#912897/BOL#25954/PCT#3"</f>
        <v>ACCT#912897/BOL#25954/PCT#3</v>
      </c>
      <c r="G568" s="2">
        <v>16887.939999999999</v>
      </c>
      <c r="H568" t="str">
        <f>"ACCT#912897/BOL#25954/PCT#3"</f>
        <v>ACCT#912897/BOL#25954/PCT#3</v>
      </c>
    </row>
    <row r="569" spans="1:8" x14ac:dyDescent="0.25">
      <c r="E569" t="str">
        <f>"9402173819"</f>
        <v>9402173819</v>
      </c>
      <c r="F569" t="str">
        <f>"ACCT#912897/BOL#25947/PCT#3"</f>
        <v>ACCT#912897/BOL#25947/PCT#3</v>
      </c>
      <c r="G569" s="2">
        <v>17131.509999999998</v>
      </c>
      <c r="H569" t="str">
        <f>"ACCT#912897/BOL#25947/PCT#3"</f>
        <v>ACCT#912897/BOL#25947/PCT#3</v>
      </c>
    </row>
    <row r="570" spans="1:8" x14ac:dyDescent="0.25">
      <c r="E570" t="str">
        <f>"9402173820"</f>
        <v>9402173820</v>
      </c>
      <c r="F570" t="str">
        <f>"ACCT#912897/BOL#25949/PCT#3"</f>
        <v>ACCT#912897/BOL#25949/PCT#3</v>
      </c>
      <c r="G570" s="2">
        <v>17605.13</v>
      </c>
      <c r="H570" t="str">
        <f>"ACCT#912897/BOL#25949/PCT#3"</f>
        <v>ACCT#912897/BOL#25949/PCT#3</v>
      </c>
    </row>
    <row r="571" spans="1:8" x14ac:dyDescent="0.25">
      <c r="A571" t="s">
        <v>162</v>
      </c>
      <c r="B571">
        <v>130191</v>
      </c>
      <c r="C571" s="2">
        <v>35</v>
      </c>
      <c r="D571" s="1">
        <v>43822</v>
      </c>
      <c r="E571" t="str">
        <f>"201912184234"</f>
        <v>201912184234</v>
      </c>
      <c r="F571" t="str">
        <f>"ACCT#9290502/ADMIN FEE"</f>
        <v>ACCT#9290502/ADMIN FEE</v>
      </c>
      <c r="G571" s="2">
        <v>35</v>
      </c>
      <c r="H571" t="str">
        <f>"ACCT#9290502/ADMIN FEE"</f>
        <v>ACCT#9290502/ADMIN FEE</v>
      </c>
    </row>
    <row r="572" spans="1:8" x14ac:dyDescent="0.25">
      <c r="A572" t="s">
        <v>163</v>
      </c>
      <c r="B572">
        <v>130192</v>
      </c>
      <c r="C572" s="2">
        <v>5</v>
      </c>
      <c r="D572" s="1">
        <v>43822</v>
      </c>
      <c r="E572" t="str">
        <f>"201912113922"</f>
        <v>201912113922</v>
      </c>
      <c r="F572" t="str">
        <f>"FERAL HOGS"</f>
        <v>FERAL HOGS</v>
      </c>
      <c r="G572" s="2">
        <v>5</v>
      </c>
      <c r="H572" t="str">
        <f>"FERAL HOGS"</f>
        <v>FERAL HOGS</v>
      </c>
    </row>
    <row r="573" spans="1:8" x14ac:dyDescent="0.25">
      <c r="A573" t="s">
        <v>164</v>
      </c>
      <c r="B573">
        <v>1887</v>
      </c>
      <c r="C573" s="2">
        <v>344.31</v>
      </c>
      <c r="D573" s="1">
        <v>43809</v>
      </c>
      <c r="E573" t="str">
        <f>"3424957"</f>
        <v>3424957</v>
      </c>
      <c r="F573" t="str">
        <f>"ACCT#00405/PCT#2"</f>
        <v>ACCT#00405/PCT#2</v>
      </c>
      <c r="G573" s="2">
        <v>344.31</v>
      </c>
      <c r="H573" t="str">
        <f>"ACCT#00405/PCT#2"</f>
        <v>ACCT#00405/PCT#2</v>
      </c>
    </row>
    <row r="574" spans="1:8" x14ac:dyDescent="0.25">
      <c r="A574" t="s">
        <v>165</v>
      </c>
      <c r="B574">
        <v>129971</v>
      </c>
      <c r="C574" s="2">
        <v>400</v>
      </c>
      <c r="D574" s="1">
        <v>43808</v>
      </c>
      <c r="E574" t="str">
        <f>"64"</f>
        <v>64</v>
      </c>
      <c r="F574" t="str">
        <f>"REAL ESTATE SERVICES"</f>
        <v>REAL ESTATE SERVICES</v>
      </c>
      <c r="G574" s="2">
        <v>400</v>
      </c>
      <c r="H574" t="str">
        <f>"REAL ESTATE SERVICES"</f>
        <v>REAL ESTATE SERVICES</v>
      </c>
    </row>
    <row r="575" spans="1:8" x14ac:dyDescent="0.25">
      <c r="A575" t="s">
        <v>166</v>
      </c>
      <c r="B575">
        <v>1920</v>
      </c>
      <c r="C575" s="2">
        <v>564.38</v>
      </c>
      <c r="D575" s="1">
        <v>43823</v>
      </c>
      <c r="E575" t="str">
        <f>"4935721-00"</f>
        <v>4935721-00</v>
      </c>
      <c r="F575" t="str">
        <f>"CUST#702402-0001/RESTITUTION C"</f>
        <v>CUST#702402-0001/RESTITUTION C</v>
      </c>
      <c r="G575" s="2">
        <v>260.60000000000002</v>
      </c>
      <c r="H575" t="str">
        <f>"CUST#702402-0001/RESTITUTION C"</f>
        <v>CUST#702402-0001/RESTITUTION C</v>
      </c>
    </row>
    <row r="576" spans="1:8" x14ac:dyDescent="0.25">
      <c r="E576" t="str">
        <f>"4937681-00"</f>
        <v>4937681-00</v>
      </c>
      <c r="F576" t="str">
        <f>"CUST#702402-0001/RESTITUTION C"</f>
        <v>CUST#702402-0001/RESTITUTION C</v>
      </c>
      <c r="G576" s="2">
        <v>303.77999999999997</v>
      </c>
      <c r="H576" t="str">
        <f>"CUST#702402-0001/RESTITUTION C"</f>
        <v>CUST#702402-0001/RESTITUTION C</v>
      </c>
    </row>
    <row r="577" spans="1:8" x14ac:dyDescent="0.25">
      <c r="A577" t="s">
        <v>167</v>
      </c>
      <c r="B577">
        <v>1868</v>
      </c>
      <c r="C577" s="2">
        <v>8766.86</v>
      </c>
      <c r="D577" s="1">
        <v>43809</v>
      </c>
      <c r="E577" t="str">
        <f>"201912033661"</f>
        <v>201912033661</v>
      </c>
      <c r="F577" t="str">
        <f>"GRANT REIMBURSEMENT"</f>
        <v>GRANT REIMBURSEMENT</v>
      </c>
      <c r="G577" s="2">
        <v>8766.86</v>
      </c>
      <c r="H577" t="str">
        <f>"GRANT REIMBURSEMENT"</f>
        <v>GRANT REIMBURSEMENT</v>
      </c>
    </row>
    <row r="578" spans="1:8" x14ac:dyDescent="0.25">
      <c r="A578" t="s">
        <v>168</v>
      </c>
      <c r="B578">
        <v>1832</v>
      </c>
      <c r="C578" s="2">
        <v>32.799999999999997</v>
      </c>
      <c r="D578" s="1">
        <v>43809</v>
      </c>
      <c r="E578" t="str">
        <f>"314379"</f>
        <v>314379</v>
      </c>
      <c r="F578" t="str">
        <f>"ORD #96668/ANIMAL SHELTER"</f>
        <v>ORD #96668/ANIMAL SHELTER</v>
      </c>
      <c r="G578" s="2">
        <v>32.799999999999997</v>
      </c>
      <c r="H578" t="str">
        <f>"ORD #96668/ANIMAL SHELTER"</f>
        <v>ORD #96668/ANIMAL SHELTER</v>
      </c>
    </row>
    <row r="579" spans="1:8" x14ac:dyDescent="0.25">
      <c r="A579" t="s">
        <v>169</v>
      </c>
      <c r="B579">
        <v>129972</v>
      </c>
      <c r="C579" s="2">
        <v>30.64</v>
      </c>
      <c r="D579" s="1">
        <v>43808</v>
      </c>
      <c r="E579" t="str">
        <f>"6-845-39427"</f>
        <v>6-845-39427</v>
      </c>
      <c r="F579" t="str">
        <f>"ACCT#1230-5243-9"</f>
        <v>ACCT#1230-5243-9</v>
      </c>
      <c r="G579" s="2">
        <v>30.64</v>
      </c>
      <c r="H579" t="str">
        <f>"ACCT#1230-5243-9"</f>
        <v>ACCT#1230-5243-9</v>
      </c>
    </row>
    <row r="580" spans="1:8" x14ac:dyDescent="0.25">
      <c r="A580" t="s">
        <v>169</v>
      </c>
      <c r="B580">
        <v>130193</v>
      </c>
      <c r="C580" s="2">
        <v>34.97</v>
      </c>
      <c r="D580" s="1">
        <v>43822</v>
      </c>
      <c r="E580" t="str">
        <f>"6-743-14537"</f>
        <v>6-743-14537</v>
      </c>
      <c r="F580" t="str">
        <f>"ACCT#4702-9210-5/AUDITOR"</f>
        <v>ACCT#4702-9210-5/AUDITOR</v>
      </c>
      <c r="G580" s="2">
        <v>34.97</v>
      </c>
      <c r="H580" t="str">
        <f>"ACCT#4702-9210-5/AUDITOR"</f>
        <v>ACCT#4702-9210-5/AUDITOR</v>
      </c>
    </row>
    <row r="581" spans="1:8" x14ac:dyDescent="0.25">
      <c r="A581" t="s">
        <v>170</v>
      </c>
      <c r="B581">
        <v>129973</v>
      </c>
      <c r="C581" s="2">
        <v>639.23</v>
      </c>
      <c r="D581" s="1">
        <v>43808</v>
      </c>
      <c r="E581" t="str">
        <f>"40047340"</f>
        <v>40047340</v>
      </c>
      <c r="F581" t="str">
        <f>"ACCT#80975-001/PARTS/PCT#3"</f>
        <v>ACCT#80975-001/PARTS/PCT#3</v>
      </c>
      <c r="G581" s="2">
        <v>416.02</v>
      </c>
      <c r="H581" t="str">
        <f>"ACCT#80975-001/PARTS/PCT#3"</f>
        <v>ACCT#80975-001/PARTS/PCT#3</v>
      </c>
    </row>
    <row r="582" spans="1:8" x14ac:dyDescent="0.25">
      <c r="E582" t="str">
        <f>"40566529"</f>
        <v>40566529</v>
      </c>
      <c r="F582" t="str">
        <f>"ACCT#80975-001/PCT#2"</f>
        <v>ACCT#80975-001/PCT#2</v>
      </c>
      <c r="G582" s="2">
        <v>108.76</v>
      </c>
      <c r="H582" t="str">
        <f>"ACCT#80975-001/PCT#2"</f>
        <v>ACCT#80975-001/PCT#2</v>
      </c>
    </row>
    <row r="583" spans="1:8" x14ac:dyDescent="0.25">
      <c r="E583" t="str">
        <f>"40769785"</f>
        <v>40769785</v>
      </c>
      <c r="F583" t="str">
        <f>"ACCT#80975-001/FUEL FILTER/P3"</f>
        <v>ACCT#80975-001/FUEL FILTER/P3</v>
      </c>
      <c r="G583" s="2">
        <v>114.45</v>
      </c>
      <c r="H583" t="str">
        <f>"ACCT#80975-001/FUEL FILTER/P3"</f>
        <v>ACCT#80975-001/FUEL FILTER/P3</v>
      </c>
    </row>
    <row r="584" spans="1:8" x14ac:dyDescent="0.25">
      <c r="A584" t="s">
        <v>170</v>
      </c>
      <c r="B584">
        <v>130194</v>
      </c>
      <c r="C584" s="2">
        <v>706.35</v>
      </c>
      <c r="D584" s="1">
        <v>43822</v>
      </c>
      <c r="E584" t="str">
        <f>"41105730"</f>
        <v>41105730</v>
      </c>
      <c r="F584" t="str">
        <f>"ACCT#80975-001/PCT#2"</f>
        <v>ACCT#80975-001/PCT#2</v>
      </c>
      <c r="G584" s="2">
        <v>141.19999999999999</v>
      </c>
      <c r="H584" t="str">
        <f>"ACCT#80975-001/PCT#2"</f>
        <v>ACCT#80975-001/PCT#2</v>
      </c>
    </row>
    <row r="585" spans="1:8" x14ac:dyDescent="0.25">
      <c r="E585" t="str">
        <f>"41664109"</f>
        <v>41664109</v>
      </c>
      <c r="F585" t="str">
        <f>"ACCT#80975-001/PCT#2"</f>
        <v>ACCT#80975-001/PCT#2</v>
      </c>
      <c r="G585" s="2">
        <v>517.39</v>
      </c>
      <c r="H585" t="str">
        <f>"ACCT#80975-001/PCT#2"</f>
        <v>ACCT#80975-001/PCT#2</v>
      </c>
    </row>
    <row r="586" spans="1:8" x14ac:dyDescent="0.25">
      <c r="E586" t="str">
        <f>"41974356"</f>
        <v>41974356</v>
      </c>
      <c r="F586" t="str">
        <f>"PARTS / PRECINCT #3"</f>
        <v>PARTS / PRECINCT #3</v>
      </c>
      <c r="G586" s="2">
        <v>47.76</v>
      </c>
      <c r="H586" t="str">
        <f>"PARTS / PRECINCT #3"</f>
        <v>PARTS / PRECINCT #3</v>
      </c>
    </row>
    <row r="587" spans="1:8" x14ac:dyDescent="0.25">
      <c r="A587" t="s">
        <v>171</v>
      </c>
      <c r="B587">
        <v>1902</v>
      </c>
      <c r="C587" s="2">
        <v>6</v>
      </c>
      <c r="D587" s="1">
        <v>43823</v>
      </c>
      <c r="E587" t="str">
        <f>"201912164119"</f>
        <v>201912164119</v>
      </c>
      <c r="F587" t="str">
        <f>"REIMBURSE COUPON #28992"</f>
        <v>REIMBURSE COUPON #28992</v>
      </c>
      <c r="G587" s="2">
        <v>6</v>
      </c>
      <c r="H587" t="str">
        <f>"REIMBURSE COUPON #28992"</f>
        <v>REIMBURSE COUPON #28992</v>
      </c>
    </row>
    <row r="588" spans="1:8" x14ac:dyDescent="0.25">
      <c r="A588" t="s">
        <v>172</v>
      </c>
      <c r="B588">
        <v>129974</v>
      </c>
      <c r="C588" s="2">
        <v>590</v>
      </c>
      <c r="D588" s="1">
        <v>43808</v>
      </c>
      <c r="E588" t="str">
        <f>"70719"</f>
        <v>70719</v>
      </c>
      <c r="F588" t="str">
        <f>"CASE REVIEW-LE REPORTS 15 914"</f>
        <v>CASE REVIEW-LE REPORTS 15 914</v>
      </c>
      <c r="G588" s="2">
        <v>590</v>
      </c>
      <c r="H588" t="str">
        <f>"CASE REVIEW-LE REPORTS 15 914"</f>
        <v>CASE REVIEW-LE REPORTS 15 914</v>
      </c>
    </row>
    <row r="589" spans="1:8" x14ac:dyDescent="0.25">
      <c r="A589" t="s">
        <v>173</v>
      </c>
      <c r="B589">
        <v>1869</v>
      </c>
      <c r="C589" s="2">
        <v>625</v>
      </c>
      <c r="D589" s="1">
        <v>43809</v>
      </c>
      <c r="E589" t="str">
        <f>"201912033769"</f>
        <v>201912033769</v>
      </c>
      <c r="F589" t="str">
        <f>"57 030  57 234"</f>
        <v>57 030  57 234</v>
      </c>
      <c r="G589" s="2">
        <v>375</v>
      </c>
      <c r="H589" t="str">
        <f>"57 030  57 234"</f>
        <v>57 030  57 234</v>
      </c>
    </row>
    <row r="590" spans="1:8" x14ac:dyDescent="0.25">
      <c r="E590" t="str">
        <f>"201912033770"</f>
        <v>201912033770</v>
      </c>
      <c r="F590" t="str">
        <f>"56 034"</f>
        <v>56 034</v>
      </c>
      <c r="G590" s="2">
        <v>250</v>
      </c>
      <c r="H590" t="str">
        <f>"56 034"</f>
        <v>56 034</v>
      </c>
    </row>
    <row r="591" spans="1:8" x14ac:dyDescent="0.25">
      <c r="A591" t="s">
        <v>173</v>
      </c>
      <c r="B591">
        <v>1942</v>
      </c>
      <c r="C591" s="2">
        <v>500</v>
      </c>
      <c r="D591" s="1">
        <v>43823</v>
      </c>
      <c r="E591" t="str">
        <f>"201912174154"</f>
        <v>201912174154</v>
      </c>
      <c r="F591" t="str">
        <f>"57 020"</f>
        <v>57 020</v>
      </c>
      <c r="G591" s="2">
        <v>250</v>
      </c>
      <c r="H591" t="str">
        <f>"57 020"</f>
        <v>57 020</v>
      </c>
    </row>
    <row r="592" spans="1:8" x14ac:dyDescent="0.25">
      <c r="E592" t="str">
        <f>"201912174155"</f>
        <v>201912174155</v>
      </c>
      <c r="F592" t="str">
        <f>"57 280"</f>
        <v>57 280</v>
      </c>
      <c r="G592" s="2">
        <v>250</v>
      </c>
      <c r="H592" t="str">
        <f>"57 280"</f>
        <v>57 280</v>
      </c>
    </row>
    <row r="593" spans="1:8" x14ac:dyDescent="0.25">
      <c r="A593" t="s">
        <v>174</v>
      </c>
      <c r="B593">
        <v>1859</v>
      </c>
      <c r="C593" s="2">
        <v>72.5</v>
      </c>
      <c r="D593" s="1">
        <v>43809</v>
      </c>
      <c r="E593" t="str">
        <f>"201911273539"</f>
        <v>201911273539</v>
      </c>
      <c r="F593" t="str">
        <f>"MILEAGE REIMBURSEMENT"</f>
        <v>MILEAGE REIMBURSEMENT</v>
      </c>
      <c r="G593" s="2">
        <v>72.5</v>
      </c>
      <c r="H593" t="str">
        <f>"MILEAGE REIMBURSEMENT"</f>
        <v>MILEAGE REIMBURSEMENT</v>
      </c>
    </row>
    <row r="594" spans="1:8" x14ac:dyDescent="0.25">
      <c r="A594" t="s">
        <v>174</v>
      </c>
      <c r="B594">
        <v>1935</v>
      </c>
      <c r="C594" s="2">
        <v>445.62</v>
      </c>
      <c r="D594" s="1">
        <v>43823</v>
      </c>
      <c r="E594" t="str">
        <f>"201912164113"</f>
        <v>201912164113</v>
      </c>
      <c r="F594" t="str">
        <f>"MILEAGE REIMBURSEMENT"</f>
        <v>MILEAGE REIMBURSEMENT</v>
      </c>
      <c r="G594" s="2">
        <v>370.62</v>
      </c>
      <c r="H594" t="str">
        <f>"MILEAGE REIMBURSEMENT"</f>
        <v>MILEAGE REIMBURSEMENT</v>
      </c>
    </row>
    <row r="595" spans="1:8" x14ac:dyDescent="0.25">
      <c r="E595" t="str">
        <f>"201912164114"</f>
        <v>201912164114</v>
      </c>
      <c r="F595" t="str">
        <f>"PARKING REIMBURSEMENT"</f>
        <v>PARKING REIMBURSEMENT</v>
      </c>
      <c r="G595" s="2">
        <v>75</v>
      </c>
      <c r="H595" t="str">
        <f>"PARKING REIMBURSEMENT"</f>
        <v>PARKING REIMBURSEMENT</v>
      </c>
    </row>
    <row r="596" spans="1:8" x14ac:dyDescent="0.25">
      <c r="A596" t="s">
        <v>175</v>
      </c>
      <c r="B596">
        <v>129975</v>
      </c>
      <c r="C596" s="2">
        <v>35</v>
      </c>
      <c r="D596" s="1">
        <v>43808</v>
      </c>
      <c r="E596" t="str">
        <f>"201911273555"</f>
        <v>201911273555</v>
      </c>
      <c r="F596" t="str">
        <f>"FERAL HOGS"</f>
        <v>FERAL HOGS</v>
      </c>
      <c r="G596" s="2">
        <v>35</v>
      </c>
      <c r="H596" t="str">
        <f>"FERAL HOGS"</f>
        <v>FERAL HOGS</v>
      </c>
    </row>
    <row r="597" spans="1:8" x14ac:dyDescent="0.25">
      <c r="A597" t="s">
        <v>175</v>
      </c>
      <c r="B597">
        <v>130195</v>
      </c>
      <c r="C597" s="2">
        <v>10</v>
      </c>
      <c r="D597" s="1">
        <v>43822</v>
      </c>
      <c r="E597" t="str">
        <f>"201912113923"</f>
        <v>201912113923</v>
      </c>
      <c r="F597" t="str">
        <f>"FERAL HOGS"</f>
        <v>FERAL HOGS</v>
      </c>
      <c r="G597" s="2">
        <v>10</v>
      </c>
      <c r="H597" t="str">
        <f>"FERAL HOGS"</f>
        <v>FERAL HOGS</v>
      </c>
    </row>
    <row r="598" spans="1:8" x14ac:dyDescent="0.25">
      <c r="A598" t="s">
        <v>176</v>
      </c>
      <c r="B598">
        <v>1864</v>
      </c>
      <c r="C598" s="2">
        <v>131748</v>
      </c>
      <c r="D598" s="1">
        <v>43809</v>
      </c>
      <c r="E598" t="str">
        <f>"201912033729"</f>
        <v>201912033729</v>
      </c>
      <c r="F598" t="str">
        <f>"2020 Freightliner"</f>
        <v>2020 Freightliner</v>
      </c>
      <c r="G598" s="2">
        <v>131748</v>
      </c>
      <c r="H598" t="str">
        <f>"2020 Freightliner"</f>
        <v>2020 Freightliner</v>
      </c>
    </row>
    <row r="599" spans="1:8" x14ac:dyDescent="0.25">
      <c r="E599" t="str">
        <f>""</f>
        <v/>
      </c>
      <c r="F599" t="str">
        <f>""</f>
        <v/>
      </c>
      <c r="H599" t="str">
        <f>"DumpBody"</f>
        <v>DumpBody</v>
      </c>
    </row>
    <row r="600" spans="1:8" x14ac:dyDescent="0.25">
      <c r="E600" t="str">
        <f>""</f>
        <v/>
      </c>
      <c r="F600" t="str">
        <f>""</f>
        <v/>
      </c>
      <c r="H600" t="str">
        <f>"BuyBoard Fee"</f>
        <v>BuyBoard Fee</v>
      </c>
    </row>
    <row r="601" spans="1:8" x14ac:dyDescent="0.25">
      <c r="A601" t="s">
        <v>176</v>
      </c>
      <c r="B601">
        <v>1937</v>
      </c>
      <c r="C601" s="2">
        <v>17.5</v>
      </c>
      <c r="D601" s="1">
        <v>43823</v>
      </c>
      <c r="E601" t="str">
        <f>"30798AP"</f>
        <v>30798AP</v>
      </c>
      <c r="F601" t="str">
        <f>"ACCT#3324/PCT#3"</f>
        <v>ACCT#3324/PCT#3</v>
      </c>
      <c r="G601" s="2">
        <v>17.5</v>
      </c>
      <c r="H601" t="str">
        <f>"ACCT#3324/PCT#3"</f>
        <v>ACCT#3324/PCT#3</v>
      </c>
    </row>
    <row r="602" spans="1:8" x14ac:dyDescent="0.25">
      <c r="A602" t="s">
        <v>177</v>
      </c>
      <c r="B602">
        <v>1870</v>
      </c>
      <c r="C602" s="2">
        <v>671.59</v>
      </c>
      <c r="D602" s="1">
        <v>43809</v>
      </c>
      <c r="E602" t="str">
        <f>"110065"</f>
        <v>110065</v>
      </c>
      <c r="F602" t="str">
        <f>"BUSINESS CARDS-ELECTIONS"</f>
        <v>BUSINESS CARDS-ELECTIONS</v>
      </c>
      <c r="G602" s="2">
        <v>188.12</v>
      </c>
      <c r="H602" t="str">
        <f>"BUSINESS CARDS-ELECTIONS"</f>
        <v>BUSINESS CARDS-ELECTIONS</v>
      </c>
    </row>
    <row r="603" spans="1:8" x14ac:dyDescent="0.25">
      <c r="E603" t="str">
        <f>"110347"</f>
        <v>110347</v>
      </c>
      <c r="F603" t="str">
        <f>"BUSINESS CARDS-DVLPMT SVCS"</f>
        <v>BUSINESS CARDS-DVLPMT SVCS</v>
      </c>
      <c r="G603" s="2">
        <v>30.72</v>
      </c>
      <c r="H603" t="str">
        <f>"BUSINESS CARDS-DVLPMT SVCS"</f>
        <v>BUSINESS CARDS-DVLPMT SVCS</v>
      </c>
    </row>
    <row r="604" spans="1:8" x14ac:dyDescent="0.25">
      <c r="E604" t="str">
        <f>"110422"</f>
        <v>110422</v>
      </c>
      <c r="F604" t="str">
        <f>"PRINTING / ANIMAL CONTROL"</f>
        <v>PRINTING / ANIMAL CONTROL</v>
      </c>
      <c r="G604" s="2">
        <v>370.83</v>
      </c>
      <c r="H604" t="str">
        <f>"PRINTING / ANIMAL CONTROL"</f>
        <v>PRINTING / ANIMAL CONTROL</v>
      </c>
    </row>
    <row r="605" spans="1:8" x14ac:dyDescent="0.25">
      <c r="E605" t="str">
        <f>"110459"</f>
        <v>110459</v>
      </c>
      <c r="F605" t="str">
        <f>"INV GC 110459"</f>
        <v>INV GC 110459</v>
      </c>
      <c r="G605" s="2">
        <v>40.96</v>
      </c>
      <c r="H605" t="str">
        <f>"INV GC 110459"</f>
        <v>INV GC 110459</v>
      </c>
    </row>
    <row r="606" spans="1:8" x14ac:dyDescent="0.25">
      <c r="E606" t="str">
        <f>"110460"</f>
        <v>110460</v>
      </c>
      <c r="F606" t="str">
        <f>"INV GC 110460"</f>
        <v>INV GC 110460</v>
      </c>
      <c r="G606" s="2">
        <v>40.96</v>
      </c>
      <c r="H606" t="str">
        <f>"INV GC 110460"</f>
        <v>INV GC 110460</v>
      </c>
    </row>
    <row r="607" spans="1:8" x14ac:dyDescent="0.25">
      <c r="A607" t="s">
        <v>177</v>
      </c>
      <c r="B607">
        <v>1943</v>
      </c>
      <c r="C607" s="2">
        <v>414.31</v>
      </c>
      <c r="D607" s="1">
        <v>43823</v>
      </c>
      <c r="E607" t="str">
        <f>"110490"</f>
        <v>110490</v>
      </c>
      <c r="F607" t="str">
        <f>"BUSINESS CARDS/NOTICE OF VIOLA"</f>
        <v>BUSINESS CARDS/NOTICE OF VIOLA</v>
      </c>
      <c r="G607" s="2">
        <v>214.37</v>
      </c>
      <c r="H607" t="str">
        <f>"BUSINESS CARDS/NOTICE OF VIOLA"</f>
        <v>BUSINESS CARDS/NOTICE OF VIOLA</v>
      </c>
    </row>
    <row r="608" spans="1:8" x14ac:dyDescent="0.25">
      <c r="E608" t="str">
        <f>"110573"</f>
        <v>110573</v>
      </c>
      <c r="F608" t="str">
        <f>"INV GC 110573"</f>
        <v>INV GC 110573</v>
      </c>
      <c r="G608" s="2">
        <v>158.97999999999999</v>
      </c>
      <c r="H608" t="str">
        <f>"INV GC 110573"</f>
        <v>INV GC 110573</v>
      </c>
    </row>
    <row r="609" spans="1:8" x14ac:dyDescent="0.25">
      <c r="E609" t="str">
        <f>"110588"</f>
        <v>110588</v>
      </c>
      <c r="F609" t="str">
        <f>"INV GC 110588"</f>
        <v>INV GC 110588</v>
      </c>
      <c r="G609" s="2">
        <v>40.96</v>
      </c>
      <c r="H609" t="str">
        <f>"INV GC 110588"</f>
        <v>INV GC 110588</v>
      </c>
    </row>
    <row r="610" spans="1:8" x14ac:dyDescent="0.25">
      <c r="A610" t="s">
        <v>178</v>
      </c>
      <c r="B610">
        <v>129976</v>
      </c>
      <c r="C610" s="2">
        <v>190</v>
      </c>
      <c r="D610" s="1">
        <v>43808</v>
      </c>
      <c r="E610" t="str">
        <f>"014368070"</f>
        <v>014368070</v>
      </c>
      <c r="F610" t="str">
        <f>"INV 014368070"</f>
        <v>INV 014368070</v>
      </c>
      <c r="G610" s="2">
        <v>47.5</v>
      </c>
      <c r="H610" t="str">
        <f>"INV 014368070"</f>
        <v>INV 014368070</v>
      </c>
    </row>
    <row r="611" spans="1:8" x14ac:dyDescent="0.25">
      <c r="E611" t="str">
        <f>"04368087"</f>
        <v>04368087</v>
      </c>
      <c r="F611" t="str">
        <f>"INV 014368087"</f>
        <v>INV 014368087</v>
      </c>
      <c r="G611" s="2">
        <v>142.5</v>
      </c>
      <c r="H611" t="str">
        <f>"INV 014368087"</f>
        <v>INV 014368087</v>
      </c>
    </row>
    <row r="612" spans="1:8" x14ac:dyDescent="0.25">
      <c r="A612" t="s">
        <v>179</v>
      </c>
      <c r="B612">
        <v>1925</v>
      </c>
      <c r="C612" s="2">
        <v>3429</v>
      </c>
      <c r="D612" s="1">
        <v>43823</v>
      </c>
      <c r="E612" t="str">
        <f>"42785230610"</f>
        <v>42785230610</v>
      </c>
      <c r="F612" t="str">
        <f>"Repair"</f>
        <v>Repair</v>
      </c>
      <c r="G612" s="2">
        <v>3429</v>
      </c>
      <c r="H612" t="str">
        <f>"Labor/Materials"</f>
        <v>Labor/Materials</v>
      </c>
    </row>
    <row r="613" spans="1:8" x14ac:dyDescent="0.25">
      <c r="E613" t="str">
        <f>""</f>
        <v/>
      </c>
      <c r="F613" t="str">
        <f>""</f>
        <v/>
      </c>
      <c r="H613" t="str">
        <f>"Basis"</f>
        <v>Basis</v>
      </c>
    </row>
    <row r="614" spans="1:8" x14ac:dyDescent="0.25">
      <c r="A614" t="s">
        <v>180</v>
      </c>
      <c r="B614">
        <v>129977</v>
      </c>
      <c r="C614" s="2">
        <v>260</v>
      </c>
      <c r="D614" s="1">
        <v>43808</v>
      </c>
      <c r="E614" t="str">
        <f>"201911273556"</f>
        <v>201911273556</v>
      </c>
      <c r="F614" t="str">
        <f>"FERAL HOGS"</f>
        <v>FERAL HOGS</v>
      </c>
      <c r="G614" s="2">
        <v>220</v>
      </c>
      <c r="H614" t="str">
        <f>"FERAL HOGS"</f>
        <v>FERAL HOGS</v>
      </c>
    </row>
    <row r="615" spans="1:8" x14ac:dyDescent="0.25">
      <c r="E615" t="str">
        <f>"201911273557"</f>
        <v>201911273557</v>
      </c>
      <c r="F615" t="str">
        <f>"FERAL HOGS"</f>
        <v>FERAL HOGS</v>
      </c>
      <c r="G615" s="2">
        <v>35</v>
      </c>
      <c r="H615" t="str">
        <f>"FERAL HOGS"</f>
        <v>FERAL HOGS</v>
      </c>
    </row>
    <row r="616" spans="1:8" x14ac:dyDescent="0.25">
      <c r="E616" t="str">
        <f>"201911273558"</f>
        <v>201911273558</v>
      </c>
      <c r="F616" t="str">
        <f>"FERAL HOGS"</f>
        <v>FERAL HOGS</v>
      </c>
      <c r="G616" s="2">
        <v>5</v>
      </c>
      <c r="H616" t="str">
        <f>"FERAL HOGS"</f>
        <v>FERAL HOGS</v>
      </c>
    </row>
    <row r="617" spans="1:8" x14ac:dyDescent="0.25">
      <c r="A617" t="s">
        <v>181</v>
      </c>
      <c r="B617">
        <v>129978</v>
      </c>
      <c r="C617" s="2">
        <v>20</v>
      </c>
      <c r="D617" s="1">
        <v>43808</v>
      </c>
      <c r="E617" t="str">
        <f>"201911273559"</f>
        <v>201911273559</v>
      </c>
      <c r="F617" t="str">
        <f>"FERAL HOGS"</f>
        <v>FERAL HOGS</v>
      </c>
      <c r="G617" s="2">
        <v>20</v>
      </c>
    </row>
    <row r="618" spans="1:8" x14ac:dyDescent="0.25">
      <c r="A618" t="s">
        <v>182</v>
      </c>
      <c r="B618">
        <v>129979</v>
      </c>
      <c r="C618" s="2">
        <v>100</v>
      </c>
      <c r="D618" s="1">
        <v>43808</v>
      </c>
      <c r="E618" t="str">
        <f>"201912023658"</f>
        <v>201912023658</v>
      </c>
      <c r="F618" t="str">
        <f>"MEMBERSHIP-J. LUCERO"</f>
        <v>MEMBERSHIP-J. LUCERO</v>
      </c>
      <c r="G618" s="2">
        <v>50</v>
      </c>
      <c r="H618" t="str">
        <f>"MEMBERSHIP-J. LUCERO"</f>
        <v>MEMBERSHIP-J. LUCERO</v>
      </c>
    </row>
    <row r="619" spans="1:8" x14ac:dyDescent="0.25">
      <c r="E619" t="str">
        <f>"201912033659"</f>
        <v>201912033659</v>
      </c>
      <c r="F619" t="str">
        <f>"ANNUAL MEMBERSHIP-M. BORREGO"</f>
        <v>ANNUAL MEMBERSHIP-M. BORREGO</v>
      </c>
      <c r="G619" s="2">
        <v>50</v>
      </c>
      <c r="H619" t="str">
        <f>"ANNUAL MEMBERSHIP-M. BORREGO"</f>
        <v>ANNUAL MEMBERSHIP-M. BORREGO</v>
      </c>
    </row>
    <row r="620" spans="1:8" x14ac:dyDescent="0.25">
      <c r="A620" t="s">
        <v>183</v>
      </c>
      <c r="B620">
        <v>130196</v>
      </c>
      <c r="C620" s="2">
        <v>800</v>
      </c>
      <c r="D620" s="1">
        <v>43822</v>
      </c>
      <c r="E620" t="str">
        <f>"132904/132905"</f>
        <v>132904/132905</v>
      </c>
      <c r="F620" t="str">
        <f>"TRP/100132904 &amp; 100132905"</f>
        <v>TRP/100132904 &amp; 100132905</v>
      </c>
      <c r="G620" s="2">
        <v>800</v>
      </c>
      <c r="H620" t="str">
        <f>"INV TRP/100132904"</f>
        <v>INV TRP/100132904</v>
      </c>
    </row>
    <row r="621" spans="1:8" x14ac:dyDescent="0.25">
      <c r="E621" t="str">
        <f>""</f>
        <v/>
      </c>
      <c r="F621" t="str">
        <f>""</f>
        <v/>
      </c>
      <c r="H621" t="str">
        <f>"INV TRP/100132905"</f>
        <v>INV TRP/100132905</v>
      </c>
    </row>
    <row r="622" spans="1:8" x14ac:dyDescent="0.25">
      <c r="A622" t="s">
        <v>184</v>
      </c>
      <c r="B622">
        <v>130197</v>
      </c>
      <c r="C622" s="2">
        <v>207.98</v>
      </c>
      <c r="D622" s="1">
        <v>43822</v>
      </c>
      <c r="E622" t="str">
        <f>"9375533792"</f>
        <v>9375533792</v>
      </c>
      <c r="F622" t="str">
        <f>"INV 9375533792"</f>
        <v>INV 9375533792</v>
      </c>
      <c r="G622" s="2">
        <v>25.1</v>
      </c>
      <c r="H622" t="str">
        <f>"INV 9375533792"</f>
        <v>INV 9375533792</v>
      </c>
    </row>
    <row r="623" spans="1:8" x14ac:dyDescent="0.25">
      <c r="E623" t="str">
        <f>"9382986660"</f>
        <v>9382986660</v>
      </c>
      <c r="F623" t="str">
        <f>"INV 9382986660"</f>
        <v>INV 9382986660</v>
      </c>
      <c r="G623" s="2">
        <v>182.88</v>
      </c>
      <c r="H623" t="str">
        <f>"INV 9382986660"</f>
        <v>INV 9382986660</v>
      </c>
    </row>
    <row r="624" spans="1:8" x14ac:dyDescent="0.25">
      <c r="A624" t="s">
        <v>185</v>
      </c>
      <c r="B624">
        <v>129980</v>
      </c>
      <c r="C624" s="2">
        <v>550</v>
      </c>
      <c r="D624" s="1">
        <v>43808</v>
      </c>
      <c r="E624" t="str">
        <f>"5194"</f>
        <v>5194</v>
      </c>
      <c r="F624" t="str">
        <f>"LODGING REIMBURSEMENT"</f>
        <v>LODGING REIMBURSEMENT</v>
      </c>
      <c r="G624" s="2">
        <v>550</v>
      </c>
      <c r="H624" t="str">
        <f>"LODGING REIMBURSEMENT"</f>
        <v>LODGING REIMBURSEMENT</v>
      </c>
    </row>
    <row r="625" spans="1:8" x14ac:dyDescent="0.25">
      <c r="A625" t="s">
        <v>186</v>
      </c>
      <c r="B625">
        <v>1871</v>
      </c>
      <c r="C625" s="2">
        <v>134.32</v>
      </c>
      <c r="D625" s="1">
        <v>43809</v>
      </c>
      <c r="E625" t="str">
        <f>"INV0738205"</f>
        <v>INV0738205</v>
      </c>
      <c r="F625" t="str">
        <f>"INV0738205"</f>
        <v>INV0738205</v>
      </c>
      <c r="G625" s="2">
        <v>134.32</v>
      </c>
      <c r="H625" t="str">
        <f>"INV0738205"</f>
        <v>INV0738205</v>
      </c>
    </row>
    <row r="626" spans="1:8" x14ac:dyDescent="0.25">
      <c r="A626" t="s">
        <v>186</v>
      </c>
      <c r="B626">
        <v>1944</v>
      </c>
      <c r="C626" s="2">
        <v>250.74</v>
      </c>
      <c r="D626" s="1">
        <v>43823</v>
      </c>
      <c r="E626" t="str">
        <f>"INV0741924"</f>
        <v>INV0741924</v>
      </c>
      <c r="F626" t="str">
        <f>"INV0741924"</f>
        <v>INV0741924</v>
      </c>
      <c r="G626" s="2">
        <v>250.74</v>
      </c>
      <c r="H626" t="str">
        <f>"INV0741924"</f>
        <v>INV0741924</v>
      </c>
    </row>
    <row r="627" spans="1:8" x14ac:dyDescent="0.25">
      <c r="A627" t="s">
        <v>187</v>
      </c>
      <c r="B627">
        <v>129981</v>
      </c>
      <c r="C627" s="2">
        <v>170</v>
      </c>
      <c r="D627" s="1">
        <v>43808</v>
      </c>
      <c r="E627" t="str">
        <f>"13225"</f>
        <v>13225</v>
      </c>
      <c r="F627" t="str">
        <f>"SERVICE"</f>
        <v>SERVICE</v>
      </c>
      <c r="G627" s="2">
        <v>170</v>
      </c>
      <c r="H627" t="str">
        <f>"SERVICE"</f>
        <v>SERVICE</v>
      </c>
    </row>
    <row r="628" spans="1:8" x14ac:dyDescent="0.25">
      <c r="A628" t="s">
        <v>188</v>
      </c>
      <c r="B628">
        <v>1888</v>
      </c>
      <c r="C628" s="2">
        <v>322.60000000000002</v>
      </c>
      <c r="D628" s="1">
        <v>43809</v>
      </c>
      <c r="E628" t="str">
        <f>"1774459"</f>
        <v>1774459</v>
      </c>
      <c r="F628" t="str">
        <f>"Cleaning Supplies"</f>
        <v>Cleaning Supplies</v>
      </c>
      <c r="G628" s="2">
        <v>322.60000000000002</v>
      </c>
      <c r="H628" t="str">
        <f>"SUUU6"</f>
        <v>SUUU6</v>
      </c>
    </row>
    <row r="629" spans="1:8" x14ac:dyDescent="0.25">
      <c r="E629" t="str">
        <f>""</f>
        <v/>
      </c>
      <c r="F629" t="str">
        <f>""</f>
        <v/>
      </c>
      <c r="H629" t="str">
        <f>"32ROUNDC"</f>
        <v>32ROUNDC</v>
      </c>
    </row>
    <row r="630" spans="1:8" x14ac:dyDescent="0.25">
      <c r="E630" t="str">
        <f>""</f>
        <v/>
      </c>
      <c r="F630" t="str">
        <f>""</f>
        <v/>
      </c>
      <c r="H630" t="str">
        <f>"NABC"</f>
        <v>NABC</v>
      </c>
    </row>
    <row r="631" spans="1:8" x14ac:dyDescent="0.25">
      <c r="E631" t="str">
        <f>""</f>
        <v/>
      </c>
      <c r="F631" t="str">
        <f>""</f>
        <v/>
      </c>
      <c r="H631" t="str">
        <f>"BCCM"</f>
        <v>BCCM</v>
      </c>
    </row>
    <row r="632" spans="1:8" x14ac:dyDescent="0.25">
      <c r="A632" t="s">
        <v>188</v>
      </c>
      <c r="B632">
        <v>1961</v>
      </c>
      <c r="C632" s="2">
        <v>3264.99</v>
      </c>
      <c r="D632" s="1">
        <v>43823</v>
      </c>
      <c r="E632" t="str">
        <f>"1777402"</f>
        <v>1777402</v>
      </c>
      <c r="F632" t="str">
        <f>"INV 1777402"</f>
        <v>INV 1777402</v>
      </c>
      <c r="G632" s="2">
        <v>2371.1</v>
      </c>
      <c r="H632" t="str">
        <f>"INV 1777402"</f>
        <v>INV 1777402</v>
      </c>
    </row>
    <row r="633" spans="1:8" x14ac:dyDescent="0.25">
      <c r="E633" t="str">
        <f>"1781369 / 1777403"</f>
        <v>1781369 / 1777403</v>
      </c>
      <c r="F633" t="str">
        <f>"INV 1781369"</f>
        <v>INV 1781369</v>
      </c>
      <c r="G633" s="2">
        <v>893.89</v>
      </c>
      <c r="H633" t="str">
        <f>"INV 1781369"</f>
        <v>INV 1781369</v>
      </c>
    </row>
    <row r="634" spans="1:8" x14ac:dyDescent="0.25">
      <c r="E634" t="str">
        <f>""</f>
        <v/>
      </c>
      <c r="F634" t="str">
        <f>""</f>
        <v/>
      </c>
      <c r="H634" t="str">
        <f>"INV 1777403"</f>
        <v>INV 1777403</v>
      </c>
    </row>
    <row r="635" spans="1:8" x14ac:dyDescent="0.25">
      <c r="A635" t="s">
        <v>189</v>
      </c>
      <c r="B635">
        <v>1885</v>
      </c>
      <c r="C635" s="2">
        <v>85</v>
      </c>
      <c r="D635" s="1">
        <v>43809</v>
      </c>
      <c r="E635" t="str">
        <f>"925990"</f>
        <v>925990</v>
      </c>
      <c r="F635" t="str">
        <f>"ACCT#41985/TRANSPORT FEE/P3"</f>
        <v>ACCT#41985/TRANSPORT FEE/P3</v>
      </c>
      <c r="G635" s="2">
        <v>85</v>
      </c>
      <c r="H635" t="str">
        <f>"ACCT#41985/TRANSPORT FEE/P3"</f>
        <v>ACCT#41985/TRANSPORT FEE/P3</v>
      </c>
    </row>
    <row r="636" spans="1:8" x14ac:dyDescent="0.25">
      <c r="A636" t="s">
        <v>190</v>
      </c>
      <c r="B636">
        <v>1959</v>
      </c>
      <c r="C636" s="2">
        <v>37154.53</v>
      </c>
      <c r="D636" s="1">
        <v>43823</v>
      </c>
      <c r="E636" t="str">
        <f>"00028580"</f>
        <v>00028580</v>
      </c>
      <c r="F636" t="str">
        <f>"PROJ#032285.007/PCT#3"</f>
        <v>PROJ#032285.007/PCT#3</v>
      </c>
      <c r="G636" s="2">
        <v>11712.85</v>
      </c>
      <c r="H636" t="str">
        <f>"PROJ#032285.007/PCT#3"</f>
        <v>PROJ#032285.007/PCT#3</v>
      </c>
    </row>
    <row r="637" spans="1:8" x14ac:dyDescent="0.25">
      <c r="E637" t="str">
        <f>"10031537"</f>
        <v>10031537</v>
      </c>
      <c r="F637" t="str">
        <f>"PROJ#035837.001/TWBD FLOOD GRA"</f>
        <v>PROJ#035837.001/TWBD FLOOD GRA</v>
      </c>
      <c r="G637" s="2">
        <v>25441.68</v>
      </c>
      <c r="H637" t="str">
        <f>"PROJ#035837.001/TWBD FLOOD GRA"</f>
        <v>PROJ#035837.001/TWBD FLOOD GRA</v>
      </c>
    </row>
    <row r="638" spans="1:8" x14ac:dyDescent="0.25">
      <c r="A638" t="s">
        <v>191</v>
      </c>
      <c r="B638">
        <v>130198</v>
      </c>
      <c r="C638" s="2">
        <v>84.26</v>
      </c>
      <c r="D638" s="1">
        <v>43822</v>
      </c>
      <c r="E638" t="str">
        <f>"2944168"</f>
        <v>2944168</v>
      </c>
      <c r="F638" t="str">
        <f>"INV 2944168"</f>
        <v>INV 2944168</v>
      </c>
      <c r="G638" s="2">
        <v>84.26</v>
      </c>
      <c r="H638" t="str">
        <f>"INV 2944168"</f>
        <v>INV 2944168</v>
      </c>
    </row>
    <row r="639" spans="1:8" x14ac:dyDescent="0.25">
      <c r="A639" t="s">
        <v>192</v>
      </c>
      <c r="B639">
        <v>130199</v>
      </c>
      <c r="C639" s="2">
        <v>65</v>
      </c>
      <c r="D639" s="1">
        <v>43822</v>
      </c>
      <c r="E639" t="str">
        <f>"201912113924"</f>
        <v>201912113924</v>
      </c>
      <c r="F639" t="str">
        <f>"FERAL HOGS"</f>
        <v>FERAL HOGS</v>
      </c>
      <c r="G639" s="2">
        <v>65</v>
      </c>
      <c r="H639" t="str">
        <f>"FERAL HOGS"</f>
        <v>FERAL HOGS</v>
      </c>
    </row>
    <row r="640" spans="1:8" x14ac:dyDescent="0.25">
      <c r="A640" t="s">
        <v>193</v>
      </c>
      <c r="B640">
        <v>130200</v>
      </c>
      <c r="C640" s="2">
        <v>100</v>
      </c>
      <c r="D640" s="1">
        <v>43822</v>
      </c>
      <c r="E640" t="str">
        <f>"201912103882"</f>
        <v>201912103882</v>
      </c>
      <c r="F640" t="str">
        <f>"RESTITUTION-M. FELTS"</f>
        <v>RESTITUTION-M. FELTS</v>
      </c>
      <c r="G640" s="2">
        <v>100</v>
      </c>
      <c r="H640" t="str">
        <f>"RESTITUTION-M. FELTS"</f>
        <v>RESTITUTION-M. FELTS</v>
      </c>
    </row>
    <row r="641" spans="1:8" x14ac:dyDescent="0.25">
      <c r="A641" t="s">
        <v>194</v>
      </c>
      <c r="B641">
        <v>129982</v>
      </c>
      <c r="C641" s="2">
        <v>243.53</v>
      </c>
      <c r="D641" s="1">
        <v>43808</v>
      </c>
      <c r="E641" t="str">
        <f>"10743880"</f>
        <v>10743880</v>
      </c>
      <c r="F641" t="str">
        <f>"CUST#3324/PCT#4"</f>
        <v>CUST#3324/PCT#4</v>
      </c>
      <c r="G641" s="2">
        <v>243.53</v>
      </c>
      <c r="H641" t="str">
        <f>"CUST#3324/PCT#4"</f>
        <v>CUST#3324/PCT#4</v>
      </c>
    </row>
    <row r="642" spans="1:8" x14ac:dyDescent="0.25">
      <c r="A642" t="s">
        <v>195</v>
      </c>
      <c r="B642">
        <v>1946</v>
      </c>
      <c r="C642" s="2">
        <v>650</v>
      </c>
      <c r="D642" s="1">
        <v>43823</v>
      </c>
      <c r="E642" t="str">
        <f>"201912174230"</f>
        <v>201912174230</v>
      </c>
      <c r="F642" t="str">
        <f>"BASCOM L HODGES JR"</f>
        <v>BASCOM L HODGES JR</v>
      </c>
      <c r="G642" s="2">
        <v>650</v>
      </c>
      <c r="H642" t="str">
        <f>""</f>
        <v/>
      </c>
    </row>
    <row r="643" spans="1:8" x14ac:dyDescent="0.25">
      <c r="A643" t="s">
        <v>196</v>
      </c>
      <c r="B643">
        <v>130201</v>
      </c>
      <c r="C643" s="2">
        <v>650</v>
      </c>
      <c r="D643" s="1">
        <v>43822</v>
      </c>
      <c r="E643" t="str">
        <f>"201912103869"</f>
        <v>201912103869</v>
      </c>
      <c r="F643" t="str">
        <f>"423-4129"</f>
        <v>423-4129</v>
      </c>
      <c r="G643" s="2">
        <v>100</v>
      </c>
      <c r="H643" t="str">
        <f>"423-4129"</f>
        <v>423-4129</v>
      </c>
    </row>
    <row r="644" spans="1:8" x14ac:dyDescent="0.25">
      <c r="E644" t="str">
        <f>"201912103870"</f>
        <v>201912103870</v>
      </c>
      <c r="F644" t="str">
        <f>"423-225"</f>
        <v>423-225</v>
      </c>
      <c r="G644" s="2">
        <v>100</v>
      </c>
      <c r="H644" t="str">
        <f>"423-225"</f>
        <v>423-225</v>
      </c>
    </row>
    <row r="645" spans="1:8" x14ac:dyDescent="0.25">
      <c r="E645" t="str">
        <f>"201912174197"</f>
        <v>201912174197</v>
      </c>
      <c r="F645" t="str">
        <f>"19-19914"</f>
        <v>19-19914</v>
      </c>
      <c r="G645" s="2">
        <v>175</v>
      </c>
      <c r="H645" t="str">
        <f>"19-19914"</f>
        <v>19-19914</v>
      </c>
    </row>
    <row r="646" spans="1:8" x14ac:dyDescent="0.25">
      <c r="E646" t="str">
        <f>"201912184261"</f>
        <v>201912184261</v>
      </c>
      <c r="F646" t="str">
        <f>"18-19260"</f>
        <v>18-19260</v>
      </c>
      <c r="G646" s="2">
        <v>100</v>
      </c>
      <c r="H646" t="str">
        <f>"18-19260"</f>
        <v>18-19260</v>
      </c>
    </row>
    <row r="647" spans="1:8" x14ac:dyDescent="0.25">
      <c r="E647" t="str">
        <f>"201912184263"</f>
        <v>201912184263</v>
      </c>
      <c r="F647" t="str">
        <f>"19-19703"</f>
        <v>19-19703</v>
      </c>
      <c r="G647" s="2">
        <v>175</v>
      </c>
      <c r="H647" t="str">
        <f>"19-19703"</f>
        <v>19-19703</v>
      </c>
    </row>
    <row r="648" spans="1:8" x14ac:dyDescent="0.25">
      <c r="A648" t="s">
        <v>197</v>
      </c>
      <c r="B648">
        <v>130202</v>
      </c>
      <c r="C648" s="2">
        <v>50</v>
      </c>
      <c r="D648" s="1">
        <v>43822</v>
      </c>
      <c r="E648" t="str">
        <f>"201912174227"</f>
        <v>201912174227</v>
      </c>
      <c r="F648" t="str">
        <f>"PER DIEM - CORRECTION"</f>
        <v>PER DIEM - CORRECTION</v>
      </c>
      <c r="G648" s="2">
        <v>50</v>
      </c>
      <c r="H648" t="str">
        <f>"PER DIEM - CORRECTION"</f>
        <v>PER DIEM - CORRECTION</v>
      </c>
    </row>
    <row r="649" spans="1:8" x14ac:dyDescent="0.25">
      <c r="A649" t="s">
        <v>198</v>
      </c>
      <c r="B649">
        <v>1945</v>
      </c>
      <c r="C649" s="2">
        <v>1050.28</v>
      </c>
      <c r="D649" s="1">
        <v>43823</v>
      </c>
      <c r="E649" t="str">
        <f>"PCMA0041810"</f>
        <v>PCMA0041810</v>
      </c>
      <c r="F649" t="str">
        <f>"CUST#0129150/PCT#3"</f>
        <v>CUST#0129150/PCT#3</v>
      </c>
      <c r="G649" s="2">
        <v>-65.5</v>
      </c>
      <c r="H649" t="str">
        <f>"CUST#0129150/PCT#3"</f>
        <v>CUST#0129150/PCT#3</v>
      </c>
    </row>
    <row r="650" spans="1:8" x14ac:dyDescent="0.25">
      <c r="E650" t="str">
        <f>"PIKA0010478"</f>
        <v>PIKA0010478</v>
      </c>
      <c r="F650" t="str">
        <f>"CUST#0129050/PCT#1"</f>
        <v>CUST#0129050/PCT#1</v>
      </c>
      <c r="G650" s="2">
        <v>221.52</v>
      </c>
      <c r="H650" t="str">
        <f>"CUST#0129050/PCT#1"</f>
        <v>CUST#0129050/PCT#1</v>
      </c>
    </row>
    <row r="651" spans="1:8" x14ac:dyDescent="0.25">
      <c r="E651" t="str">
        <f>"PIMA0321536"</f>
        <v>PIMA0321536</v>
      </c>
      <c r="F651" t="str">
        <f>"CUST#0129050/PCT#1"</f>
        <v>CUST#0129050/PCT#1</v>
      </c>
      <c r="G651" s="2">
        <v>5.82</v>
      </c>
      <c r="H651" t="str">
        <f>"CUST#0129050/PCT#1"</f>
        <v>CUST#0129050/PCT#1</v>
      </c>
    </row>
    <row r="652" spans="1:8" x14ac:dyDescent="0.25">
      <c r="E652" t="str">
        <f>"PIMA0321883"</f>
        <v>PIMA0321883</v>
      </c>
      <c r="F652" t="str">
        <f>"CUST#0129100/PCT#2"</f>
        <v>CUST#0129100/PCT#2</v>
      </c>
      <c r="G652" s="2">
        <v>555.26</v>
      </c>
      <c r="H652" t="str">
        <f>"CUST#0129100/PCT#2"</f>
        <v>CUST#0129100/PCT#2</v>
      </c>
    </row>
    <row r="653" spans="1:8" x14ac:dyDescent="0.25">
      <c r="E653" t="str">
        <f>"PIMA0321884"</f>
        <v>PIMA0321884</v>
      </c>
      <c r="F653" t="str">
        <f>"CUST#0129150/PCT#3"</f>
        <v>CUST#0129150/PCT#3</v>
      </c>
      <c r="G653" s="2">
        <v>333.18</v>
      </c>
      <c r="H653" t="str">
        <f>"CUST#0129150/PCT#3"</f>
        <v>CUST#0129150/PCT#3</v>
      </c>
    </row>
    <row r="654" spans="1:8" x14ac:dyDescent="0.25">
      <c r="A654" t="s">
        <v>199</v>
      </c>
      <c r="B654">
        <v>129983</v>
      </c>
      <c r="C654" s="2">
        <v>2330.9899999999998</v>
      </c>
      <c r="D654" s="1">
        <v>43808</v>
      </c>
      <c r="E654" t="str">
        <f>"201912033731"</f>
        <v>201912033731</v>
      </c>
      <c r="F654" t="str">
        <f>"Acct# 0130"</f>
        <v>Acct# 0130</v>
      </c>
      <c r="G654" s="2">
        <v>2330.9899999999998</v>
      </c>
      <c r="H654" t="str">
        <f>"Inv# 542361"</f>
        <v>Inv# 542361</v>
      </c>
    </row>
    <row r="655" spans="1:8" x14ac:dyDescent="0.25">
      <c r="E655" t="str">
        <f>""</f>
        <v/>
      </c>
      <c r="F655" t="str">
        <f>""</f>
        <v/>
      </c>
      <c r="H655" t="str">
        <f>"Inv# 9542398"</f>
        <v>Inv# 9542398</v>
      </c>
    </row>
    <row r="656" spans="1:8" x14ac:dyDescent="0.25">
      <c r="E656" t="str">
        <f>""</f>
        <v/>
      </c>
      <c r="F656" t="str">
        <f>""</f>
        <v/>
      </c>
      <c r="H656" t="str">
        <f>"Inv# 3542948"</f>
        <v>Inv# 3542948</v>
      </c>
    </row>
    <row r="657" spans="5:8" x14ac:dyDescent="0.25">
      <c r="E657" t="str">
        <f>""</f>
        <v/>
      </c>
      <c r="F657" t="str">
        <f>""</f>
        <v/>
      </c>
      <c r="H657" t="str">
        <f>"Inv# 9970380"</f>
        <v>Inv# 9970380</v>
      </c>
    </row>
    <row r="658" spans="5:8" x14ac:dyDescent="0.25">
      <c r="E658" t="str">
        <f>""</f>
        <v/>
      </c>
      <c r="F658" t="str">
        <f>""</f>
        <v/>
      </c>
      <c r="H658" t="str">
        <f>"Inv# 3153903"</f>
        <v>Inv# 3153903</v>
      </c>
    </row>
    <row r="659" spans="5:8" x14ac:dyDescent="0.25">
      <c r="E659" t="str">
        <f>""</f>
        <v/>
      </c>
      <c r="F659" t="str">
        <f>""</f>
        <v/>
      </c>
      <c r="H659" t="str">
        <f>"Inv# 3153903"</f>
        <v>Inv# 3153903</v>
      </c>
    </row>
    <row r="660" spans="5:8" x14ac:dyDescent="0.25">
      <c r="E660" t="str">
        <f>""</f>
        <v/>
      </c>
      <c r="F660" t="str">
        <f>""</f>
        <v/>
      </c>
      <c r="H660" t="str">
        <f>"Inv# 1113103"</f>
        <v>Inv# 1113103</v>
      </c>
    </row>
    <row r="661" spans="5:8" x14ac:dyDescent="0.25">
      <c r="E661" t="str">
        <f>""</f>
        <v/>
      </c>
      <c r="F661" t="str">
        <f>""</f>
        <v/>
      </c>
      <c r="H661" t="str">
        <f>"Inv# 283655"</f>
        <v>Inv# 283655</v>
      </c>
    </row>
    <row r="662" spans="5:8" x14ac:dyDescent="0.25">
      <c r="E662" t="str">
        <f>""</f>
        <v/>
      </c>
      <c r="F662" t="str">
        <f>""</f>
        <v/>
      </c>
      <c r="H662" t="str">
        <f>"Inv# 904287"</f>
        <v>Inv# 904287</v>
      </c>
    </row>
    <row r="663" spans="5:8" x14ac:dyDescent="0.25">
      <c r="E663" t="str">
        <f>""</f>
        <v/>
      </c>
      <c r="F663" t="str">
        <f>""</f>
        <v/>
      </c>
      <c r="H663" t="str">
        <f>"Inv# 7022538"</f>
        <v>Inv# 7022538</v>
      </c>
    </row>
    <row r="664" spans="5:8" x14ac:dyDescent="0.25">
      <c r="E664" t="str">
        <f>""</f>
        <v/>
      </c>
      <c r="F664" t="str">
        <f>""</f>
        <v/>
      </c>
      <c r="H664" t="str">
        <f>"Inv# 2023032"</f>
        <v>Inv# 2023032</v>
      </c>
    </row>
    <row r="665" spans="5:8" x14ac:dyDescent="0.25">
      <c r="E665" t="str">
        <f>""</f>
        <v/>
      </c>
      <c r="F665" t="str">
        <f>""</f>
        <v/>
      </c>
      <c r="H665" t="str">
        <f>"Inv# 25085"</f>
        <v>Inv# 25085</v>
      </c>
    </row>
    <row r="666" spans="5:8" x14ac:dyDescent="0.25">
      <c r="E666" t="str">
        <f>""</f>
        <v/>
      </c>
      <c r="F666" t="str">
        <f>""</f>
        <v/>
      </c>
      <c r="H666" t="str">
        <f>"Inv# 2020828"</f>
        <v>Inv# 2020828</v>
      </c>
    </row>
    <row r="667" spans="5:8" x14ac:dyDescent="0.25">
      <c r="E667" t="str">
        <f>""</f>
        <v/>
      </c>
      <c r="F667" t="str">
        <f>""</f>
        <v/>
      </c>
      <c r="H667" t="str">
        <f>"Inv# 5010270"</f>
        <v>Inv# 5010270</v>
      </c>
    </row>
    <row r="668" spans="5:8" x14ac:dyDescent="0.25">
      <c r="E668" t="str">
        <f>""</f>
        <v/>
      </c>
      <c r="F668" t="str">
        <f>""</f>
        <v/>
      </c>
      <c r="H668" t="str">
        <f>"Inv# 1024964"</f>
        <v>Inv# 1024964</v>
      </c>
    </row>
    <row r="669" spans="5:8" x14ac:dyDescent="0.25">
      <c r="E669" t="str">
        <f>""</f>
        <v/>
      </c>
      <c r="F669" t="str">
        <f>""</f>
        <v/>
      </c>
      <c r="H669" t="str">
        <f>"Inv# 5153888"</f>
        <v>Inv# 5153888</v>
      </c>
    </row>
    <row r="670" spans="5:8" x14ac:dyDescent="0.25">
      <c r="E670" t="str">
        <f>""</f>
        <v/>
      </c>
      <c r="F670" t="str">
        <f>""</f>
        <v/>
      </c>
      <c r="H670" t="str">
        <f>"Inv# 4020628"</f>
        <v>Inv# 4020628</v>
      </c>
    </row>
    <row r="671" spans="5:8" x14ac:dyDescent="0.25">
      <c r="E671" t="str">
        <f>""</f>
        <v/>
      </c>
      <c r="F671" t="str">
        <f>""</f>
        <v/>
      </c>
      <c r="H671" t="str">
        <f>"Inv# 3522204"</f>
        <v>Inv# 3522204</v>
      </c>
    </row>
    <row r="672" spans="5:8" x14ac:dyDescent="0.25">
      <c r="E672" t="str">
        <f>""</f>
        <v/>
      </c>
      <c r="F672" t="str">
        <f>""</f>
        <v/>
      </c>
      <c r="H672" t="str">
        <f>"Inv# 1511414"</f>
        <v>Inv# 1511414</v>
      </c>
    </row>
    <row r="673" spans="1:8" x14ac:dyDescent="0.25">
      <c r="E673" t="str">
        <f>""</f>
        <v/>
      </c>
      <c r="F673" t="str">
        <f>""</f>
        <v/>
      </c>
      <c r="H673" t="str">
        <f>"Inv# 511477"</f>
        <v>Inv# 511477</v>
      </c>
    </row>
    <row r="674" spans="1:8" x14ac:dyDescent="0.25">
      <c r="E674" t="str">
        <f>""</f>
        <v/>
      </c>
      <c r="F674" t="str">
        <f>""</f>
        <v/>
      </c>
      <c r="H674" t="str">
        <f>"Inv# 2023040"</f>
        <v>Inv# 2023040</v>
      </c>
    </row>
    <row r="675" spans="1:8" x14ac:dyDescent="0.25">
      <c r="E675" t="str">
        <f>""</f>
        <v/>
      </c>
      <c r="F675" t="str">
        <f>""</f>
        <v/>
      </c>
      <c r="H675" t="str">
        <f>"Inv# 25028"</f>
        <v>Inv# 25028</v>
      </c>
    </row>
    <row r="676" spans="1:8" x14ac:dyDescent="0.25">
      <c r="E676" t="str">
        <f>""</f>
        <v/>
      </c>
      <c r="F676" t="str">
        <f>""</f>
        <v/>
      </c>
      <c r="H676" t="str">
        <f>"Inv# 6021461"</f>
        <v>Inv# 6021461</v>
      </c>
    </row>
    <row r="677" spans="1:8" x14ac:dyDescent="0.25">
      <c r="E677" t="str">
        <f>""</f>
        <v/>
      </c>
      <c r="F677" t="str">
        <f>""</f>
        <v/>
      </c>
      <c r="H677" t="str">
        <f>"Inv# 4102946"</f>
        <v>Inv# 4102946</v>
      </c>
    </row>
    <row r="678" spans="1:8" x14ac:dyDescent="0.25">
      <c r="E678" t="str">
        <f>""</f>
        <v/>
      </c>
      <c r="F678" t="str">
        <f>""</f>
        <v/>
      </c>
      <c r="H678" t="str">
        <f>"Inv# 9022294"</f>
        <v>Inv# 9022294</v>
      </c>
    </row>
    <row r="679" spans="1:8" x14ac:dyDescent="0.25">
      <c r="E679" t="str">
        <f>""</f>
        <v/>
      </c>
      <c r="F679" t="str">
        <f>""</f>
        <v/>
      </c>
      <c r="H679" t="str">
        <f>"Inv# 7511671"</f>
        <v>Inv# 7511671</v>
      </c>
    </row>
    <row r="680" spans="1:8" x14ac:dyDescent="0.25">
      <c r="E680" t="str">
        <f>""</f>
        <v/>
      </c>
      <c r="F680" t="str">
        <f>""</f>
        <v/>
      </c>
      <c r="H680" t="str">
        <f>"Inv# 3022906"</f>
        <v>Inv# 3022906</v>
      </c>
    </row>
    <row r="681" spans="1:8" x14ac:dyDescent="0.25">
      <c r="A681" t="s">
        <v>200</v>
      </c>
      <c r="B681">
        <v>129984</v>
      </c>
      <c r="C681" s="2">
        <v>430</v>
      </c>
      <c r="D681" s="1">
        <v>43808</v>
      </c>
      <c r="E681" t="str">
        <f>"0551243850"</f>
        <v>0551243850</v>
      </c>
      <c r="F681" t="str">
        <f>"ADA COMPLIANT/STANDARD UNIT"</f>
        <v>ADA COMPLIANT/STANDARD UNIT</v>
      </c>
      <c r="G681" s="2">
        <v>215</v>
      </c>
      <c r="H681" t="str">
        <f>"ADA COMPLIANT/STANDARD UNIT"</f>
        <v>ADA COMPLIANT/STANDARD UNIT</v>
      </c>
    </row>
    <row r="682" spans="1:8" x14ac:dyDescent="0.25">
      <c r="E682" t="str">
        <f>"0551245368"</f>
        <v>0551245368</v>
      </c>
      <c r="F682" t="str">
        <f>"375 RIVERSIDE LAUNCH"</f>
        <v>375 RIVERSIDE LAUNCH</v>
      </c>
      <c r="G682" s="2">
        <v>215</v>
      </c>
      <c r="H682" t="str">
        <f>"375 RIVERSIDE LAUNCH"</f>
        <v>375 RIVERSIDE LAUNCH</v>
      </c>
    </row>
    <row r="683" spans="1:8" x14ac:dyDescent="0.25">
      <c r="A683" t="s">
        <v>200</v>
      </c>
      <c r="B683">
        <v>130203</v>
      </c>
      <c r="C683" s="2">
        <v>430</v>
      </c>
      <c r="D683" s="1">
        <v>43822</v>
      </c>
      <c r="E683" t="str">
        <f>"0551351273"</f>
        <v>0551351273</v>
      </c>
      <c r="F683" t="str">
        <f>"CUST#212645/PCT#1"</f>
        <v>CUST#212645/PCT#1</v>
      </c>
      <c r="G683" s="2">
        <v>215</v>
      </c>
      <c r="H683" t="str">
        <f>"CUST#212645/PCT#1"</f>
        <v>CUST#212645/PCT#1</v>
      </c>
    </row>
    <row r="684" spans="1:8" x14ac:dyDescent="0.25">
      <c r="E684" t="str">
        <f>"0551352762"</f>
        <v>0551352762</v>
      </c>
      <c r="F684" t="str">
        <f>"ORD#212645-0002/375 RIVERSIDE"</f>
        <v>ORD#212645-0002/375 RIVERSIDE</v>
      </c>
      <c r="G684" s="2">
        <v>215</v>
      </c>
      <c r="H684" t="str">
        <f>"ORD#212645-0002/375 RIVERSIDE"</f>
        <v>ORD#212645-0002/375 RIVERSIDE</v>
      </c>
    </row>
    <row r="685" spans="1:8" x14ac:dyDescent="0.25">
      <c r="A685" t="s">
        <v>201</v>
      </c>
      <c r="B685">
        <v>130204</v>
      </c>
      <c r="C685" s="2">
        <v>3800</v>
      </c>
      <c r="D685" s="1">
        <v>43822</v>
      </c>
      <c r="E685" t="str">
        <f>"2479"</f>
        <v>2479</v>
      </c>
      <c r="F685" t="str">
        <f>"NOBIVAC/ANIMAL SERVICES"</f>
        <v>NOBIVAC/ANIMAL SERVICES</v>
      </c>
      <c r="G685" s="2">
        <v>1700</v>
      </c>
      <c r="H685" t="str">
        <f>"NOBIVAC/ANIMAL SERVICES"</f>
        <v>NOBIVAC/ANIMAL SERVICES</v>
      </c>
    </row>
    <row r="686" spans="1:8" x14ac:dyDescent="0.25">
      <c r="E686" t="str">
        <f>"2480"</f>
        <v>2480</v>
      </c>
      <c r="F686" t="str">
        <f>"MINI MICROCHIPS/ANIMAL SVCS"</f>
        <v>MINI MICROCHIPS/ANIMAL SVCS</v>
      </c>
      <c r="G686" s="2">
        <v>2100</v>
      </c>
      <c r="H686" t="str">
        <f>"MINI MICROCHIPS/ANIMAL SVCS"</f>
        <v>MINI MICROCHIPS/ANIMAL SVCS</v>
      </c>
    </row>
    <row r="687" spans="1:8" x14ac:dyDescent="0.25">
      <c r="A687" t="s">
        <v>202</v>
      </c>
      <c r="B687">
        <v>1893</v>
      </c>
      <c r="C687" s="2">
        <v>1723.56</v>
      </c>
      <c r="D687" s="1">
        <v>43809</v>
      </c>
      <c r="E687" t="str">
        <f>"98764"</f>
        <v>98764</v>
      </c>
      <c r="F687" t="str">
        <f>"CUST#BASTROP1/PCT#1"</f>
        <v>CUST#BASTROP1/PCT#1</v>
      </c>
      <c r="G687" s="2">
        <v>1723.56</v>
      </c>
      <c r="H687" t="str">
        <f>"CUST#BASTROP1/PCT#1"</f>
        <v>CUST#BASTROP1/PCT#1</v>
      </c>
    </row>
    <row r="688" spans="1:8" x14ac:dyDescent="0.25">
      <c r="A688" t="s">
        <v>203</v>
      </c>
      <c r="B688">
        <v>129985</v>
      </c>
      <c r="C688" s="2">
        <v>555</v>
      </c>
      <c r="D688" s="1">
        <v>43808</v>
      </c>
      <c r="E688" t="str">
        <f>"SL2019-11_00004"</f>
        <v>SL2019-11_00004</v>
      </c>
      <c r="F688" t="str">
        <f>"SHELTERLUV SOFTWARE"</f>
        <v>SHELTERLUV SOFTWARE</v>
      </c>
      <c r="G688" s="2">
        <v>555</v>
      </c>
      <c r="H688" t="str">
        <f>"SHELTERLUV SOFTWARE"</f>
        <v>SHELTERLUV SOFTWARE</v>
      </c>
    </row>
    <row r="689" spans="1:8" x14ac:dyDescent="0.25">
      <c r="A689" t="s">
        <v>204</v>
      </c>
      <c r="B689">
        <v>129986</v>
      </c>
      <c r="C689" s="2">
        <v>455</v>
      </c>
      <c r="D689" s="1">
        <v>43808</v>
      </c>
      <c r="E689" t="str">
        <f>"201911273560"</f>
        <v>201911273560</v>
      </c>
      <c r="F689" t="str">
        <f>"FERAL HOGS"</f>
        <v>FERAL HOGS</v>
      </c>
      <c r="G689" s="2">
        <v>455</v>
      </c>
      <c r="H689" t="str">
        <f>"FERAL HOGS"</f>
        <v>FERAL HOGS</v>
      </c>
    </row>
    <row r="690" spans="1:8" x14ac:dyDescent="0.25">
      <c r="A690" t="s">
        <v>205</v>
      </c>
      <c r="B690">
        <v>130205</v>
      </c>
      <c r="C690" s="2">
        <v>5650</v>
      </c>
      <c r="D690" s="1">
        <v>43822</v>
      </c>
      <c r="E690" t="str">
        <f>"2019121603"</f>
        <v>2019121603</v>
      </c>
      <c r="F690" t="str">
        <f>"JUSTICE CASHIERING"</f>
        <v>JUSTICE CASHIERING</v>
      </c>
      <c r="G690" s="2">
        <v>5650</v>
      </c>
      <c r="H690" t="str">
        <f>"JUSTICE CASHIERING"</f>
        <v>JUSTICE CASHIERING</v>
      </c>
    </row>
    <row r="691" spans="1:8" x14ac:dyDescent="0.25">
      <c r="A691" t="s">
        <v>206</v>
      </c>
      <c r="B691">
        <v>130206</v>
      </c>
      <c r="C691" s="2">
        <v>268</v>
      </c>
      <c r="D691" s="1">
        <v>43822</v>
      </c>
      <c r="E691" t="str">
        <f>"3055660685"</f>
        <v>3055660685</v>
      </c>
      <c r="F691" t="str">
        <f>"ACCT#187947/ANIMAL CONTROL"</f>
        <v>ACCT#187947/ANIMAL CONTROL</v>
      </c>
      <c r="G691" s="2">
        <v>268</v>
      </c>
      <c r="H691" t="str">
        <f>"ACCT#187947/ANIMAL CONTROL"</f>
        <v>ACCT#187947/ANIMAL CONTROL</v>
      </c>
    </row>
    <row r="692" spans="1:8" x14ac:dyDescent="0.25">
      <c r="A692" t="s">
        <v>207</v>
      </c>
      <c r="B692">
        <v>1953</v>
      </c>
      <c r="C692" s="2">
        <v>2430</v>
      </c>
      <c r="D692" s="1">
        <v>43823</v>
      </c>
      <c r="E692" t="str">
        <f>"68876"</f>
        <v>68876</v>
      </c>
      <c r="F692" t="str">
        <f>"PROF SVCS - JANUARY 2020"</f>
        <v>PROF SVCS - JANUARY 2020</v>
      </c>
      <c r="G692" s="2">
        <v>2430</v>
      </c>
      <c r="H692" t="str">
        <f>"PROF SVCS - JANUARY 2020"</f>
        <v>PROF SVCS - JANUARY 2020</v>
      </c>
    </row>
    <row r="693" spans="1:8" x14ac:dyDescent="0.25">
      <c r="E693" t="str">
        <f>""</f>
        <v/>
      </c>
      <c r="F693" t="str">
        <f>""</f>
        <v/>
      </c>
      <c r="H693" t="str">
        <f>"PROF SVCS - JANUARY 2020"</f>
        <v>PROF SVCS - JANUARY 2020</v>
      </c>
    </row>
    <row r="694" spans="1:8" x14ac:dyDescent="0.25">
      <c r="A694" t="s">
        <v>208</v>
      </c>
      <c r="B694">
        <v>130207</v>
      </c>
      <c r="C694" s="2">
        <v>155.25</v>
      </c>
      <c r="D694" s="1">
        <v>43822</v>
      </c>
      <c r="E694" t="str">
        <f>"IN-494972"</f>
        <v>IN-494972</v>
      </c>
      <c r="F694" t="str">
        <f>"ACCT#020796/FREIGHT IN/PCT#2"</f>
        <v>ACCT#020796/FREIGHT IN/PCT#2</v>
      </c>
      <c r="G694" s="2">
        <v>155.25</v>
      </c>
      <c r="H694" t="str">
        <f>"ACCT#020796/FREIGHT IN/PCT#2"</f>
        <v>ACCT#020796/FREIGHT IN/PCT#2</v>
      </c>
    </row>
    <row r="695" spans="1:8" x14ac:dyDescent="0.25">
      <c r="A695" t="s">
        <v>209</v>
      </c>
      <c r="B695">
        <v>129987</v>
      </c>
      <c r="C695" s="2">
        <v>79.03</v>
      </c>
      <c r="D695" s="1">
        <v>43808</v>
      </c>
      <c r="E695" t="str">
        <f>"CDJP689"</f>
        <v>CDJP689</v>
      </c>
      <c r="F695" t="str">
        <f>"CUST ID:AX773/COUNTY CLERK"</f>
        <v>CUST ID:AX773/COUNTY CLERK</v>
      </c>
      <c r="G695" s="2">
        <v>79.03</v>
      </c>
      <c r="H695" t="str">
        <f>"CUST ID:AX773/COUNTY CLERK"</f>
        <v>CUST ID:AX773/COUNTY CLERK</v>
      </c>
    </row>
    <row r="696" spans="1:8" x14ac:dyDescent="0.25">
      <c r="A696" t="s">
        <v>210</v>
      </c>
      <c r="B696">
        <v>1852</v>
      </c>
      <c r="C696" s="2">
        <v>285.36</v>
      </c>
      <c r="D696" s="1">
        <v>43809</v>
      </c>
      <c r="E696" t="str">
        <f>"201911263521"</f>
        <v>201911263521</v>
      </c>
      <c r="F696" t="str">
        <f>"REIMBURSE MILEAGE"</f>
        <v>REIMBURSE MILEAGE</v>
      </c>
      <c r="G696" s="2">
        <v>95.12</v>
      </c>
      <c r="H696" t="str">
        <f>"REIMBURSE MILEAGE"</f>
        <v>REIMBURSE MILEAGE</v>
      </c>
    </row>
    <row r="697" spans="1:8" x14ac:dyDescent="0.25">
      <c r="E697" t="str">
        <f>"201911263522"</f>
        <v>201911263522</v>
      </c>
      <c r="F697" t="str">
        <f>"MILEAGE REIMBURSEMENT"</f>
        <v>MILEAGE REIMBURSEMENT</v>
      </c>
      <c r="G697" s="2">
        <v>190.24</v>
      </c>
      <c r="H697" t="str">
        <f>"MILEAGE REIMBURSEMENT"</f>
        <v>MILEAGE REIMBURSEMENT</v>
      </c>
    </row>
    <row r="698" spans="1:8" x14ac:dyDescent="0.25">
      <c r="A698" t="s">
        <v>211</v>
      </c>
      <c r="B698">
        <v>129988</v>
      </c>
      <c r="C698" s="2">
        <v>100</v>
      </c>
      <c r="D698" s="1">
        <v>43808</v>
      </c>
      <c r="E698" t="str">
        <f>"201911273561"</f>
        <v>201911273561</v>
      </c>
      <c r="F698" t="str">
        <f>"FERAL HOGS"</f>
        <v>FERAL HOGS</v>
      </c>
      <c r="G698" s="2">
        <v>100</v>
      </c>
      <c r="H698" t="str">
        <f>"FERAL HOGS"</f>
        <v>FERAL HOGS</v>
      </c>
    </row>
    <row r="699" spans="1:8" x14ac:dyDescent="0.25">
      <c r="A699" t="s">
        <v>212</v>
      </c>
      <c r="B699">
        <v>130208</v>
      </c>
      <c r="C699" s="2">
        <v>1100</v>
      </c>
      <c r="D699" s="1">
        <v>43822</v>
      </c>
      <c r="E699" t="str">
        <f>"201912174159"</f>
        <v>201912174159</v>
      </c>
      <c r="F699" t="str">
        <f>"J-3203"</f>
        <v>J-3203</v>
      </c>
      <c r="G699" s="2">
        <v>100</v>
      </c>
      <c r="H699" t="str">
        <f>"J-3203"</f>
        <v>J-3203</v>
      </c>
    </row>
    <row r="700" spans="1:8" x14ac:dyDescent="0.25">
      <c r="E700" t="str">
        <f>"201912174160"</f>
        <v>201912174160</v>
      </c>
      <c r="F700" t="str">
        <f>"J-3203"</f>
        <v>J-3203</v>
      </c>
      <c r="G700" s="2">
        <v>250</v>
      </c>
      <c r="H700" t="str">
        <f>"J-3203"</f>
        <v>J-3203</v>
      </c>
    </row>
    <row r="701" spans="1:8" x14ac:dyDescent="0.25">
      <c r="E701" t="str">
        <f>"201912174161"</f>
        <v>201912174161</v>
      </c>
      <c r="F701" t="str">
        <f>"408249-2"</f>
        <v>408249-2</v>
      </c>
      <c r="G701" s="2">
        <v>250</v>
      </c>
      <c r="H701" t="str">
        <f>"408249-2"</f>
        <v>408249-2</v>
      </c>
    </row>
    <row r="702" spans="1:8" x14ac:dyDescent="0.25">
      <c r="E702" t="str">
        <f>"201912174162"</f>
        <v>201912174162</v>
      </c>
      <c r="F702" t="str">
        <f>"56 838"</f>
        <v>56 838</v>
      </c>
      <c r="G702" s="2">
        <v>250</v>
      </c>
      <c r="H702" t="str">
        <f>"56 838"</f>
        <v>56 838</v>
      </c>
    </row>
    <row r="703" spans="1:8" x14ac:dyDescent="0.25">
      <c r="E703" t="str">
        <f>"201912174163"</f>
        <v>201912174163</v>
      </c>
      <c r="F703" t="str">
        <f>"JP1070716E"</f>
        <v>JP1070716E</v>
      </c>
      <c r="G703" s="2">
        <v>250</v>
      </c>
      <c r="H703" t="str">
        <f>"JP1070716E"</f>
        <v>JP1070716E</v>
      </c>
    </row>
    <row r="704" spans="1:8" x14ac:dyDescent="0.25">
      <c r="A704" t="s">
        <v>213</v>
      </c>
      <c r="B704">
        <v>130209</v>
      </c>
      <c r="C704" s="2">
        <v>49</v>
      </c>
      <c r="D704" s="1">
        <v>43822</v>
      </c>
      <c r="E704" t="str">
        <f>"201912123984"</f>
        <v>201912123984</v>
      </c>
      <c r="F704" t="str">
        <f>"CUST ID:08176/PCT#4"</f>
        <v>CUST ID:08176/PCT#4</v>
      </c>
      <c r="G704" s="2">
        <v>49</v>
      </c>
      <c r="H704" t="str">
        <f>"CUST ID:08176/PCT#4"</f>
        <v>CUST ID:08176/PCT#4</v>
      </c>
    </row>
    <row r="705" spans="1:8" x14ac:dyDescent="0.25">
      <c r="A705" t="s">
        <v>214</v>
      </c>
      <c r="B705">
        <v>1892</v>
      </c>
      <c r="C705" s="2">
        <v>500</v>
      </c>
      <c r="D705" s="1">
        <v>43809</v>
      </c>
      <c r="E705" t="str">
        <f>"201912033768"</f>
        <v>201912033768</v>
      </c>
      <c r="F705" t="str">
        <f>"56 870"</f>
        <v>56 870</v>
      </c>
      <c r="G705" s="2">
        <v>500</v>
      </c>
      <c r="H705" t="str">
        <f>"56 870"</f>
        <v>56 870</v>
      </c>
    </row>
    <row r="706" spans="1:8" x14ac:dyDescent="0.25">
      <c r="A706" t="s">
        <v>214</v>
      </c>
      <c r="B706">
        <v>1964</v>
      </c>
      <c r="C706" s="2">
        <v>1747.5</v>
      </c>
      <c r="D706" s="1">
        <v>43823</v>
      </c>
      <c r="E706" t="str">
        <f>"12773"</f>
        <v>12773</v>
      </c>
      <c r="F706" t="str">
        <f>"AD LITEM FEE"</f>
        <v>AD LITEM FEE</v>
      </c>
      <c r="G706" s="2">
        <v>150</v>
      </c>
      <c r="H706" t="str">
        <f>"AD LITEM FEE"</f>
        <v>AD LITEM FEE</v>
      </c>
    </row>
    <row r="707" spans="1:8" x14ac:dyDescent="0.25">
      <c r="E707" t="str">
        <f>"201912103868"</f>
        <v>201912103868</v>
      </c>
      <c r="F707" t="str">
        <f>"423-3367"</f>
        <v>423-3367</v>
      </c>
      <c r="G707" s="2">
        <v>997.5</v>
      </c>
      <c r="H707" t="str">
        <f>"423-3367"</f>
        <v>423-3367</v>
      </c>
    </row>
    <row r="708" spans="1:8" x14ac:dyDescent="0.25">
      <c r="E708" t="str">
        <f>"201912174168"</f>
        <v>201912174168</v>
      </c>
      <c r="F708" t="str">
        <f>"18-19410"</f>
        <v>18-19410</v>
      </c>
      <c r="G708" s="2">
        <v>100</v>
      </c>
      <c r="H708" t="str">
        <f>"18-19410"</f>
        <v>18-19410</v>
      </c>
    </row>
    <row r="709" spans="1:8" x14ac:dyDescent="0.25">
      <c r="E709" t="str">
        <f>"201912174169"</f>
        <v>201912174169</v>
      </c>
      <c r="F709" t="str">
        <f>"18-18974"</f>
        <v>18-18974</v>
      </c>
      <c r="G709" s="2">
        <v>100</v>
      </c>
      <c r="H709" t="str">
        <f>"18-18974"</f>
        <v>18-18974</v>
      </c>
    </row>
    <row r="710" spans="1:8" x14ac:dyDescent="0.25">
      <c r="E710" t="str">
        <f>"201912184253"</f>
        <v>201912184253</v>
      </c>
      <c r="F710" t="str">
        <f>"19-19734"</f>
        <v>19-19734</v>
      </c>
      <c r="G710" s="2">
        <v>100</v>
      </c>
      <c r="H710" t="str">
        <f>"19-19734"</f>
        <v>19-19734</v>
      </c>
    </row>
    <row r="711" spans="1:8" x14ac:dyDescent="0.25">
      <c r="E711" t="str">
        <f>"201912184254"</f>
        <v>201912184254</v>
      </c>
      <c r="F711" t="str">
        <f>"19-19465"</f>
        <v>19-19465</v>
      </c>
      <c r="G711" s="2">
        <v>100</v>
      </c>
      <c r="H711" t="str">
        <f>"19-19465"</f>
        <v>19-19465</v>
      </c>
    </row>
    <row r="712" spans="1:8" x14ac:dyDescent="0.25">
      <c r="E712" t="str">
        <f>"201912184255"</f>
        <v>201912184255</v>
      </c>
      <c r="F712" t="str">
        <f>"19-19418"</f>
        <v>19-19418</v>
      </c>
      <c r="G712" s="2">
        <v>100</v>
      </c>
      <c r="H712" t="str">
        <f>"19-19418"</f>
        <v>19-19418</v>
      </c>
    </row>
    <row r="713" spans="1:8" x14ac:dyDescent="0.25">
      <c r="E713" t="str">
        <f>"201912184256"</f>
        <v>201912184256</v>
      </c>
      <c r="F713" t="str">
        <f>"19-19572"</f>
        <v>19-19572</v>
      </c>
      <c r="G713" s="2">
        <v>100</v>
      </c>
      <c r="H713" t="str">
        <f>"19-19572"</f>
        <v>19-19572</v>
      </c>
    </row>
    <row r="714" spans="1:8" x14ac:dyDescent="0.25">
      <c r="A714" t="s">
        <v>215</v>
      </c>
      <c r="B714">
        <v>129989</v>
      </c>
      <c r="C714" s="2">
        <v>449</v>
      </c>
      <c r="D714" s="1">
        <v>43808</v>
      </c>
      <c r="E714" t="str">
        <f>"1177"</f>
        <v>1177</v>
      </c>
      <c r="F714" t="str">
        <f>"INV 1177 / UNIT 7083"</f>
        <v>INV 1177 / UNIT 7083</v>
      </c>
      <c r="G714" s="2">
        <v>275</v>
      </c>
      <c r="H714" t="str">
        <f>"INV 1177 / UNIT 7083"</f>
        <v>INV 1177 / UNIT 7083</v>
      </c>
    </row>
    <row r="715" spans="1:8" x14ac:dyDescent="0.25">
      <c r="E715" t="str">
        <f>"1182"</f>
        <v>1182</v>
      </c>
      <c r="F715" t="str">
        <f>"INV 1182"</f>
        <v>INV 1182</v>
      </c>
      <c r="G715" s="2">
        <v>174</v>
      </c>
      <c r="H715" t="str">
        <f>"INV 1182"</f>
        <v>INV 1182</v>
      </c>
    </row>
    <row r="716" spans="1:8" x14ac:dyDescent="0.25">
      <c r="A716" t="s">
        <v>215</v>
      </c>
      <c r="B716">
        <v>130210</v>
      </c>
      <c r="C716" s="2">
        <v>353</v>
      </c>
      <c r="D716" s="1">
        <v>43822</v>
      </c>
      <c r="E716" t="str">
        <f>"1173"</f>
        <v>1173</v>
      </c>
      <c r="F716" t="str">
        <f>"INV 1173 / UNIT 3858"</f>
        <v>INV 1173 / UNIT 3858</v>
      </c>
      <c r="G716" s="2">
        <v>179</v>
      </c>
      <c r="H716" t="str">
        <f>"INV 1173 / UNIT 3858"</f>
        <v>INV 1173 / UNIT 3858</v>
      </c>
    </row>
    <row r="717" spans="1:8" x14ac:dyDescent="0.25">
      <c r="E717" t="str">
        <f>"1191"</f>
        <v>1191</v>
      </c>
      <c r="F717" t="str">
        <f>"INV 1191 / UNIT 4720"</f>
        <v>INV 1191 / UNIT 4720</v>
      </c>
      <c r="G717" s="2">
        <v>174</v>
      </c>
      <c r="H717" t="str">
        <f>"INV 1191 / UNIT 4720"</f>
        <v>INV 1191 / UNIT 4720</v>
      </c>
    </row>
    <row r="718" spans="1:8" x14ac:dyDescent="0.25">
      <c r="A718" t="s">
        <v>216</v>
      </c>
      <c r="B718">
        <v>1846</v>
      </c>
      <c r="C718" s="2">
        <v>85</v>
      </c>
      <c r="D718" s="1">
        <v>43809</v>
      </c>
      <c r="E718" t="str">
        <f>"201911273562"</f>
        <v>201911273562</v>
      </c>
      <c r="F718" t="str">
        <f>"FERAL HOGS"</f>
        <v>FERAL HOGS</v>
      </c>
      <c r="G718" s="2">
        <v>85</v>
      </c>
      <c r="H718" t="str">
        <f>"FERAL HOGS"</f>
        <v>FERAL HOGS</v>
      </c>
    </row>
    <row r="719" spans="1:8" x14ac:dyDescent="0.25">
      <c r="A719" t="s">
        <v>217</v>
      </c>
      <c r="B719">
        <v>130211</v>
      </c>
      <c r="C719" s="2">
        <v>25</v>
      </c>
      <c r="D719" s="1">
        <v>43822</v>
      </c>
      <c r="E719" t="str">
        <f>"201912174226"</f>
        <v>201912174226</v>
      </c>
      <c r="F719" t="str">
        <f>"REIMBURSEMENT"</f>
        <v>REIMBURSEMENT</v>
      </c>
      <c r="G719" s="2">
        <v>25</v>
      </c>
      <c r="H719" t="str">
        <f>"REIMBURSEMENT"</f>
        <v>REIMBURSEMENT</v>
      </c>
    </row>
    <row r="720" spans="1:8" x14ac:dyDescent="0.25">
      <c r="A720" t="s">
        <v>218</v>
      </c>
      <c r="B720">
        <v>130212</v>
      </c>
      <c r="C720" s="2">
        <v>65</v>
      </c>
      <c r="D720" s="1">
        <v>43822</v>
      </c>
      <c r="E720" t="str">
        <f>"201912113925"</f>
        <v>201912113925</v>
      </c>
      <c r="F720" t="str">
        <f>"FERAL HOGS"</f>
        <v>FERAL HOGS</v>
      </c>
      <c r="G720" s="2">
        <v>65</v>
      </c>
      <c r="H720" t="str">
        <f>"FERAL HOGS"</f>
        <v>FERAL HOGS</v>
      </c>
    </row>
    <row r="721" spans="1:8" x14ac:dyDescent="0.25">
      <c r="A721" t="s">
        <v>219</v>
      </c>
      <c r="B721">
        <v>129990</v>
      </c>
      <c r="C721" s="2">
        <v>1475</v>
      </c>
      <c r="D721" s="1">
        <v>43808</v>
      </c>
      <c r="E721" t="str">
        <f>"201912033771"</f>
        <v>201912033771</v>
      </c>
      <c r="F721" t="str">
        <f>"19-19862"</f>
        <v>19-19862</v>
      </c>
      <c r="G721" s="2">
        <v>150</v>
      </c>
      <c r="H721" t="str">
        <f>"19-19862"</f>
        <v>19-19862</v>
      </c>
    </row>
    <row r="722" spans="1:8" x14ac:dyDescent="0.25">
      <c r="E722" t="str">
        <f>"201912033772"</f>
        <v>201912033772</v>
      </c>
      <c r="F722" t="str">
        <f>"19-19680"</f>
        <v>19-19680</v>
      </c>
      <c r="G722" s="2">
        <v>375</v>
      </c>
      <c r="H722" t="str">
        <f>"19-19680"</f>
        <v>19-19680</v>
      </c>
    </row>
    <row r="723" spans="1:8" x14ac:dyDescent="0.25">
      <c r="E723" t="str">
        <f>"201912033773"</f>
        <v>201912033773</v>
      </c>
      <c r="F723" t="str">
        <f>"19-19632"</f>
        <v>19-19632</v>
      </c>
      <c r="G723" s="2">
        <v>150</v>
      </c>
      <c r="H723" t="str">
        <f>"19-19632"</f>
        <v>19-19632</v>
      </c>
    </row>
    <row r="724" spans="1:8" x14ac:dyDescent="0.25">
      <c r="E724" t="str">
        <f>"201912033774"</f>
        <v>201912033774</v>
      </c>
      <c r="F724" t="str">
        <f>"19-19537"</f>
        <v>19-19537</v>
      </c>
      <c r="G724" s="2">
        <v>150</v>
      </c>
      <c r="H724" t="str">
        <f>"19-19537"</f>
        <v>19-19537</v>
      </c>
    </row>
    <row r="725" spans="1:8" x14ac:dyDescent="0.25">
      <c r="E725" t="str">
        <f>"201912033775"</f>
        <v>201912033775</v>
      </c>
      <c r="F725" t="str">
        <f>"19-19963"</f>
        <v>19-19963</v>
      </c>
      <c r="G725" s="2">
        <v>125</v>
      </c>
      <c r="H725" t="str">
        <f>"19-19963"</f>
        <v>19-19963</v>
      </c>
    </row>
    <row r="726" spans="1:8" x14ac:dyDescent="0.25">
      <c r="E726" t="str">
        <f>"201912033776"</f>
        <v>201912033776</v>
      </c>
      <c r="F726" t="str">
        <f>"19-19864"</f>
        <v>19-19864</v>
      </c>
      <c r="G726" s="2">
        <v>150</v>
      </c>
      <c r="H726" t="str">
        <f>"19-19864"</f>
        <v>19-19864</v>
      </c>
    </row>
    <row r="727" spans="1:8" x14ac:dyDescent="0.25">
      <c r="E727" t="str">
        <f>"201912033777"</f>
        <v>201912033777</v>
      </c>
      <c r="F727" t="str">
        <f>"13-16188"</f>
        <v>13-16188</v>
      </c>
      <c r="G727" s="2">
        <v>375</v>
      </c>
      <c r="H727" t="str">
        <f>"13-16188"</f>
        <v>13-16188</v>
      </c>
    </row>
    <row r="728" spans="1:8" x14ac:dyDescent="0.25">
      <c r="A728" t="s">
        <v>219</v>
      </c>
      <c r="B728">
        <v>130213</v>
      </c>
      <c r="C728" s="2">
        <v>1050</v>
      </c>
      <c r="D728" s="1">
        <v>43822</v>
      </c>
      <c r="E728" t="str">
        <f>"201912174170"</f>
        <v>201912174170</v>
      </c>
      <c r="F728" t="str">
        <f>"19 19680"</f>
        <v>19 19680</v>
      </c>
      <c r="G728" s="2">
        <v>150</v>
      </c>
      <c r="H728" t="str">
        <f>"19 19680"</f>
        <v>19 19680</v>
      </c>
    </row>
    <row r="729" spans="1:8" x14ac:dyDescent="0.25">
      <c r="E729" t="str">
        <f>"201912174171"</f>
        <v>201912174171</v>
      </c>
      <c r="F729" t="str">
        <f>"19-19963"</f>
        <v>19-19963</v>
      </c>
      <c r="G729" s="2">
        <v>150</v>
      </c>
      <c r="H729" t="str">
        <f>"19-19963"</f>
        <v>19-19963</v>
      </c>
    </row>
    <row r="730" spans="1:8" x14ac:dyDescent="0.25">
      <c r="E730" t="str">
        <f>"201912174172"</f>
        <v>201912174172</v>
      </c>
      <c r="F730" t="str">
        <f>"19-19537"</f>
        <v>19-19537</v>
      </c>
      <c r="G730" s="2">
        <v>75</v>
      </c>
      <c r="H730" t="str">
        <f>"19-19537"</f>
        <v>19-19537</v>
      </c>
    </row>
    <row r="731" spans="1:8" x14ac:dyDescent="0.25">
      <c r="E731" t="str">
        <f>"201912174173"</f>
        <v>201912174173</v>
      </c>
      <c r="F731" t="str">
        <f>"J-3207"</f>
        <v>J-3207</v>
      </c>
      <c r="G731" s="2">
        <v>250</v>
      </c>
      <c r="H731" t="str">
        <f>"J-3207"</f>
        <v>J-3207</v>
      </c>
    </row>
    <row r="732" spans="1:8" x14ac:dyDescent="0.25">
      <c r="E732" t="str">
        <f>"201912174174"</f>
        <v>201912174174</v>
      </c>
      <c r="F732" t="str">
        <f>"19-19963"</f>
        <v>19-19963</v>
      </c>
      <c r="G732" s="2">
        <v>250</v>
      </c>
      <c r="H732" t="str">
        <f>"19-19963"</f>
        <v>19-19963</v>
      </c>
    </row>
    <row r="733" spans="1:8" x14ac:dyDescent="0.25">
      <c r="E733" t="str">
        <f>"201912174175"</f>
        <v>201912174175</v>
      </c>
      <c r="F733" t="str">
        <f>"13-16188"</f>
        <v>13-16188</v>
      </c>
      <c r="G733" s="2">
        <v>175</v>
      </c>
      <c r="H733" t="str">
        <f>"13-16188"</f>
        <v>13-16188</v>
      </c>
    </row>
    <row r="734" spans="1:8" x14ac:dyDescent="0.25">
      <c r="A734" t="s">
        <v>220</v>
      </c>
      <c r="B734">
        <v>1834</v>
      </c>
      <c r="C734" s="2">
        <v>400</v>
      </c>
      <c r="D734" s="1">
        <v>43809</v>
      </c>
      <c r="E734" t="str">
        <f>"201911263523"</f>
        <v>201911263523</v>
      </c>
      <c r="F734" t="str">
        <f>"TOWER MOWING MAINTENANCE"</f>
        <v>TOWER MOWING MAINTENANCE</v>
      </c>
      <c r="G734" s="2">
        <v>400</v>
      </c>
      <c r="H734" t="str">
        <f>"TOWER MOWING MAINTENANCE"</f>
        <v>TOWER MOWING MAINTENANCE</v>
      </c>
    </row>
    <row r="735" spans="1:8" x14ac:dyDescent="0.25">
      <c r="A735" t="s">
        <v>221</v>
      </c>
      <c r="B735">
        <v>1872</v>
      </c>
      <c r="C735" s="2">
        <v>513.69000000000005</v>
      </c>
      <c r="D735" s="1">
        <v>43809</v>
      </c>
      <c r="E735" t="str">
        <f>"201911273579"</f>
        <v>201911273579</v>
      </c>
      <c r="F735" t="str">
        <f>"REIMBURSE-MEALS/HOTEL/MILEAGE"</f>
        <v>REIMBURSE-MEALS/HOTEL/MILEAGE</v>
      </c>
      <c r="G735" s="2">
        <v>513.69000000000005</v>
      </c>
      <c r="H735" t="str">
        <f>"REIMBURSE-MEALS/HOTEL/MILEAGE"</f>
        <v>REIMBURSE-MEALS/HOTEL/MILEAGE</v>
      </c>
    </row>
    <row r="736" spans="1:8" x14ac:dyDescent="0.25">
      <c r="E736" t="str">
        <f>""</f>
        <v/>
      </c>
      <c r="F736" t="str">
        <f>""</f>
        <v/>
      </c>
      <c r="H736" t="str">
        <f>"REIMBURSE-MEALS/HOTEL/MILEAGE"</f>
        <v>REIMBURSE-MEALS/HOTEL/MILEAGE</v>
      </c>
    </row>
    <row r="737" spans="1:9" x14ac:dyDescent="0.25">
      <c r="A737" t="s">
        <v>222</v>
      </c>
      <c r="B737">
        <v>129991</v>
      </c>
      <c r="C737" s="2">
        <v>60</v>
      </c>
      <c r="D737" s="1">
        <v>43808</v>
      </c>
      <c r="E737" t="str">
        <f>"201911273563"</f>
        <v>201911273563</v>
      </c>
      <c r="F737" t="str">
        <f>"FERAL HOGS"</f>
        <v>FERAL HOGS</v>
      </c>
      <c r="G737" s="2">
        <v>60</v>
      </c>
      <c r="H737" t="str">
        <f>"FERAL HOGS"</f>
        <v>FERAL HOGS</v>
      </c>
    </row>
    <row r="738" spans="1:9" x14ac:dyDescent="0.25">
      <c r="A738" t="s">
        <v>223</v>
      </c>
      <c r="B738">
        <v>1886</v>
      </c>
      <c r="C738" s="2">
        <v>1400</v>
      </c>
      <c r="D738" s="1">
        <v>43809</v>
      </c>
      <c r="E738" t="str">
        <f>"201911273531"</f>
        <v>201911273531</v>
      </c>
      <c r="F738" t="str">
        <f>"423-6945  1360-355"</f>
        <v>423-6945  1360-355</v>
      </c>
      <c r="G738" s="2">
        <v>200</v>
      </c>
      <c r="H738" t="str">
        <f>"423-6945  1360-355"</f>
        <v>423-6945  1360-355</v>
      </c>
    </row>
    <row r="739" spans="1:9" x14ac:dyDescent="0.25">
      <c r="E739" t="str">
        <f>"201911273532"</f>
        <v>201911273532</v>
      </c>
      <c r="F739" t="str">
        <f>"16480"</f>
        <v>16480</v>
      </c>
      <c r="G739" s="2">
        <v>400</v>
      </c>
      <c r="H739" t="str">
        <f>"16480"</f>
        <v>16480</v>
      </c>
    </row>
    <row r="740" spans="1:9" x14ac:dyDescent="0.25">
      <c r="E740" t="str">
        <f>"201911273533"</f>
        <v>201911273533</v>
      </c>
      <c r="F740" t="str">
        <f>"423-6944  1355-21"</f>
        <v>423-6944  1355-21</v>
      </c>
      <c r="G740" s="2">
        <v>200</v>
      </c>
      <c r="H740" t="str">
        <f>"423-6944  1355-21"</f>
        <v>423-6944  1355-21</v>
      </c>
    </row>
    <row r="741" spans="1:9" x14ac:dyDescent="0.25">
      <c r="E741" t="str">
        <f>"201911273534"</f>
        <v>201911273534</v>
      </c>
      <c r="F741" t="str">
        <f>"20180508  CC20181214-A"</f>
        <v>20180508  CC20181214-A</v>
      </c>
      <c r="G741" s="2">
        <v>225</v>
      </c>
      <c r="H741" t="str">
        <f>"20180508  CC20181214-A"</f>
        <v>20180508  CC20181214-A</v>
      </c>
    </row>
    <row r="742" spans="1:9" x14ac:dyDescent="0.25">
      <c r="E742" t="str">
        <f>"201912033767"</f>
        <v>201912033767</v>
      </c>
      <c r="F742" t="str">
        <f>"57148  57149"</f>
        <v>57148  57149</v>
      </c>
      <c r="G742" s="2">
        <v>375</v>
      </c>
      <c r="H742" t="str">
        <f>"57148  57149"</f>
        <v>57148  57149</v>
      </c>
    </row>
    <row r="743" spans="1:9" x14ac:dyDescent="0.25">
      <c r="A743" t="s">
        <v>223</v>
      </c>
      <c r="B743">
        <v>1960</v>
      </c>
      <c r="C743" s="2">
        <v>650</v>
      </c>
      <c r="D743" s="1">
        <v>43823</v>
      </c>
      <c r="E743" t="str">
        <f>"201912123982"</f>
        <v>201912123982</v>
      </c>
      <c r="F743" t="str">
        <f>"16665"</f>
        <v>16665</v>
      </c>
      <c r="G743" s="2">
        <v>400</v>
      </c>
      <c r="H743" t="str">
        <f>"16665"</f>
        <v>16665</v>
      </c>
    </row>
    <row r="744" spans="1:9" x14ac:dyDescent="0.25">
      <c r="E744" t="str">
        <f>"201912174152"</f>
        <v>201912174152</v>
      </c>
      <c r="F744" t="str">
        <f>"02.0904.1"</f>
        <v>02.0904.1</v>
      </c>
      <c r="G744" s="2">
        <v>250</v>
      </c>
      <c r="H744" t="str">
        <f>"02.0904.1"</f>
        <v>02.0904.1</v>
      </c>
    </row>
    <row r="745" spans="1:9" x14ac:dyDescent="0.25">
      <c r="A745" t="s">
        <v>224</v>
      </c>
      <c r="B745">
        <v>130214</v>
      </c>
      <c r="C745" s="2">
        <v>2742.5</v>
      </c>
      <c r="D745" s="1">
        <v>43822</v>
      </c>
      <c r="E745" t="str">
        <f>"201912123974"</f>
        <v>201912123974</v>
      </c>
      <c r="F745" t="str">
        <f>"423-2327"</f>
        <v>423-2327</v>
      </c>
      <c r="G745" s="2">
        <v>2585</v>
      </c>
      <c r="H745" t="str">
        <f>"423-2327"</f>
        <v>423-2327</v>
      </c>
    </row>
    <row r="746" spans="1:9" x14ac:dyDescent="0.25">
      <c r="E746" t="str">
        <f>"201912174153"</f>
        <v>201912174153</v>
      </c>
      <c r="F746" t="str">
        <f>"19-19739"</f>
        <v>19-19739</v>
      </c>
      <c r="G746" s="2">
        <v>157.5</v>
      </c>
      <c r="H746" t="str">
        <f>"19-19739"</f>
        <v>19-19739</v>
      </c>
    </row>
    <row r="747" spans="1:9" x14ac:dyDescent="0.25">
      <c r="A747" t="s">
        <v>225</v>
      </c>
      <c r="B747">
        <v>130215</v>
      </c>
      <c r="C747" s="2">
        <v>265</v>
      </c>
      <c r="D747" s="1">
        <v>43822</v>
      </c>
      <c r="E747" t="str">
        <f>"924822"</f>
        <v>924822</v>
      </c>
      <c r="F747" t="str">
        <f>"TRASH PICK UP/PCT#1"</f>
        <v>TRASH PICK UP/PCT#1</v>
      </c>
      <c r="G747" s="2">
        <v>265</v>
      </c>
      <c r="H747" t="str">
        <f>"TRASH PICK UP/PCT#1"</f>
        <v>TRASH PICK UP/PCT#1</v>
      </c>
    </row>
    <row r="748" spans="1:9" x14ac:dyDescent="0.25">
      <c r="A748" t="s">
        <v>226</v>
      </c>
      <c r="B748">
        <v>130216</v>
      </c>
      <c r="C748" s="2">
        <v>109</v>
      </c>
      <c r="D748" s="1">
        <v>43822</v>
      </c>
      <c r="E748" t="s">
        <v>227</v>
      </c>
      <c r="F748" t="s">
        <v>228</v>
      </c>
      <c r="G748" s="2" t="str">
        <f>"RESTITUTION-C. FERRIS"</f>
        <v>RESTITUTION-C. FERRIS</v>
      </c>
      <c r="H748" t="str">
        <f>"210-0000"</f>
        <v>210-0000</v>
      </c>
      <c r="I748" t="str">
        <f>""</f>
        <v/>
      </c>
    </row>
    <row r="749" spans="1:9" x14ac:dyDescent="0.25">
      <c r="A749" t="s">
        <v>229</v>
      </c>
      <c r="B749">
        <v>130217</v>
      </c>
      <c r="C749" s="2">
        <v>35</v>
      </c>
      <c r="D749" s="1">
        <v>43822</v>
      </c>
      <c r="E749" t="str">
        <f>"201912113926"</f>
        <v>201912113926</v>
      </c>
      <c r="F749" t="str">
        <f>"FERAL HOGS"</f>
        <v>FERAL HOGS</v>
      </c>
      <c r="G749" s="2">
        <v>35</v>
      </c>
      <c r="H749" t="str">
        <f>"FERAL HOGS"</f>
        <v>FERAL HOGS</v>
      </c>
    </row>
    <row r="750" spans="1:9" x14ac:dyDescent="0.25">
      <c r="A750" t="s">
        <v>230</v>
      </c>
      <c r="B750">
        <v>1873</v>
      </c>
      <c r="C750" s="2">
        <v>2617</v>
      </c>
      <c r="D750" s="1">
        <v>43809</v>
      </c>
      <c r="E750" t="str">
        <f>"259"</f>
        <v>259</v>
      </c>
      <c r="F750" t="str">
        <f>"TOWER RENT"</f>
        <v>TOWER RENT</v>
      </c>
      <c r="G750" s="2">
        <v>2617</v>
      </c>
      <c r="H750" t="str">
        <f>"TOWER RENT"</f>
        <v>TOWER RENT</v>
      </c>
    </row>
    <row r="751" spans="1:9" x14ac:dyDescent="0.25">
      <c r="A751" t="s">
        <v>231</v>
      </c>
      <c r="B751">
        <v>129992</v>
      </c>
      <c r="C751" s="2">
        <v>210</v>
      </c>
      <c r="D751" s="1">
        <v>43808</v>
      </c>
      <c r="E751" t="str">
        <f>"2099"</f>
        <v>2099</v>
      </c>
      <c r="F751" t="str">
        <f>"PORTABLE TOIL/HANDICAP"</f>
        <v>PORTABLE TOIL/HANDICAP</v>
      </c>
      <c r="G751" s="2">
        <v>210</v>
      </c>
      <c r="H751" t="str">
        <f>"PORTABLE TOIL/HANDICAP"</f>
        <v>PORTABLE TOIL/HANDICAP</v>
      </c>
    </row>
    <row r="752" spans="1:9" x14ac:dyDescent="0.25">
      <c r="A752" t="s">
        <v>232</v>
      </c>
      <c r="B752">
        <v>130218</v>
      </c>
      <c r="C752" s="2">
        <v>920.36</v>
      </c>
      <c r="D752" s="1">
        <v>43822</v>
      </c>
      <c r="E752" t="str">
        <f>"261704"</f>
        <v>261704</v>
      </c>
      <c r="F752" t="str">
        <f>"PARTS / PCT 1"</f>
        <v>PARTS / PCT 1</v>
      </c>
      <c r="G752" s="2">
        <v>920.36</v>
      </c>
      <c r="H752" t="str">
        <f>"PARTS / PCT 1"</f>
        <v>PARTS / PCT 1</v>
      </c>
    </row>
    <row r="753" spans="1:8" x14ac:dyDescent="0.25">
      <c r="A753" t="s">
        <v>233</v>
      </c>
      <c r="B753">
        <v>129993</v>
      </c>
      <c r="C753" s="2">
        <v>43752.03</v>
      </c>
      <c r="D753" s="1">
        <v>43808</v>
      </c>
      <c r="E753" t="str">
        <f>"815097"</f>
        <v>815097</v>
      </c>
      <c r="F753" t="str">
        <f>"IT-Call CTR V2"</f>
        <v>IT-Call CTR V2</v>
      </c>
      <c r="G753" s="2">
        <v>17974.37</v>
      </c>
      <c r="H753" t="str">
        <f>"IT-Call CTR V2"</f>
        <v>IT-Call CTR V2</v>
      </c>
    </row>
    <row r="754" spans="1:8" x14ac:dyDescent="0.25">
      <c r="E754" t="str">
        <f>"815704"</f>
        <v>815704</v>
      </c>
      <c r="F754" t="str">
        <f>"Cedar Creek Migration"</f>
        <v>Cedar Creek Migration</v>
      </c>
      <c r="G754" s="2">
        <v>25777.66</v>
      </c>
      <c r="H754" t="str">
        <f>"Cedar Creek Migration"</f>
        <v>Cedar Creek Migration</v>
      </c>
    </row>
    <row r="755" spans="1:8" x14ac:dyDescent="0.25">
      <c r="A755" t="s">
        <v>233</v>
      </c>
      <c r="B755">
        <v>130219</v>
      </c>
      <c r="C755" s="2">
        <v>1432.83</v>
      </c>
      <c r="D755" s="1">
        <v>43822</v>
      </c>
      <c r="E755" t="str">
        <f>"815709"</f>
        <v>815709</v>
      </c>
      <c r="F755" t="str">
        <f>"CUST#10222/IT DEPT"</f>
        <v>CUST#10222/IT DEPT</v>
      </c>
      <c r="G755" s="2">
        <v>1432.83</v>
      </c>
      <c r="H755" t="str">
        <f>"CUST#10222/IT DEPT"</f>
        <v>CUST#10222/IT DEPT</v>
      </c>
    </row>
    <row r="756" spans="1:8" x14ac:dyDescent="0.25">
      <c r="A756" t="s">
        <v>234</v>
      </c>
      <c r="B756">
        <v>1914</v>
      </c>
      <c r="C756" s="2">
        <v>480</v>
      </c>
      <c r="D756" s="1">
        <v>43823</v>
      </c>
      <c r="E756" t="str">
        <f>"273442"</f>
        <v>273442</v>
      </c>
      <c r="F756" t="str">
        <f>"SVC CALL-MIKE FISHER BLDG"</f>
        <v>SVC CALL-MIKE FISHER BLDG</v>
      </c>
      <c r="G756" s="2">
        <v>480</v>
      </c>
      <c r="H756" t="str">
        <f>"SVC CALL-MIKE FISHER BLDG"</f>
        <v>SVC CALL-MIKE FISHER BLDG</v>
      </c>
    </row>
    <row r="757" spans="1:8" x14ac:dyDescent="0.25">
      <c r="A757" t="s">
        <v>235</v>
      </c>
      <c r="B757">
        <v>130220</v>
      </c>
      <c r="C757" s="2">
        <v>140</v>
      </c>
      <c r="D757" s="1">
        <v>43822</v>
      </c>
      <c r="E757" t="str">
        <f>"201912174131"</f>
        <v>201912174131</v>
      </c>
      <c r="F757" t="str">
        <f>"TRAVEL ADVANCE - PER DIEM"</f>
        <v>TRAVEL ADVANCE - PER DIEM</v>
      </c>
      <c r="G757" s="2">
        <v>140</v>
      </c>
      <c r="H757" t="str">
        <f>"TRAVEL ADVANCE - PER DIEM"</f>
        <v>TRAVEL ADVANCE - PER DIEM</v>
      </c>
    </row>
    <row r="758" spans="1:8" x14ac:dyDescent="0.25">
      <c r="A758" t="s">
        <v>236</v>
      </c>
      <c r="B758">
        <v>130222</v>
      </c>
      <c r="C758" s="2">
        <v>366.33</v>
      </c>
      <c r="D758" s="1">
        <v>43822</v>
      </c>
      <c r="E758" t="str">
        <f>"X301064606-01"</f>
        <v>X301064606-01</v>
      </c>
      <c r="F758" t="str">
        <f>"BRACKET ASSY/PCT#1"</f>
        <v>BRACKET ASSY/PCT#1</v>
      </c>
      <c r="G758" s="2">
        <v>366.33</v>
      </c>
      <c r="H758" t="str">
        <f>"BRACKET ASSY/PCT#1"</f>
        <v>BRACKET ASSY/PCT#1</v>
      </c>
    </row>
    <row r="759" spans="1:8" x14ac:dyDescent="0.25">
      <c r="A759" t="s">
        <v>237</v>
      </c>
      <c r="B759">
        <v>129994</v>
      </c>
      <c r="C759" s="2">
        <v>1988.54</v>
      </c>
      <c r="D759" s="1">
        <v>43808</v>
      </c>
      <c r="E759" t="str">
        <f>"201912033690"</f>
        <v>201912033690</v>
      </c>
      <c r="F759" t="str">
        <f>"ACCT#1162/GEN SVCS"</f>
        <v>ACCT#1162/GEN SVCS</v>
      </c>
      <c r="G759" s="2">
        <v>29.16</v>
      </c>
      <c r="H759" t="str">
        <f>"ACCT#1162/GEN SVCS"</f>
        <v>ACCT#1162/GEN SVCS</v>
      </c>
    </row>
    <row r="760" spans="1:8" x14ac:dyDescent="0.25">
      <c r="E760" t="str">
        <f>"201912033692"</f>
        <v>201912033692</v>
      </c>
      <c r="F760" t="str">
        <f>"ACCT#1645/WILDFIRE MITIGATION"</f>
        <v>ACCT#1645/WILDFIRE MITIGATION</v>
      </c>
      <c r="G760" s="2">
        <v>582.04999999999995</v>
      </c>
      <c r="H760" t="str">
        <f>"ACCT#1645/WILDFIRE MITIGATION"</f>
        <v>ACCT#1645/WILDFIRE MITIGATION</v>
      </c>
    </row>
    <row r="761" spans="1:8" x14ac:dyDescent="0.25">
      <c r="E761" t="str">
        <f>"201912033693"</f>
        <v>201912033693</v>
      </c>
      <c r="F761" t="str">
        <f>"CUST#1650/GEN SVCS"</f>
        <v>CUST#1650/GEN SVCS</v>
      </c>
      <c r="G761" s="2">
        <v>223.46</v>
      </c>
      <c r="H761" t="str">
        <f>"CUST#1650/GEN SVCS"</f>
        <v>CUST#1650/GEN SVCS</v>
      </c>
    </row>
    <row r="762" spans="1:8" x14ac:dyDescent="0.25">
      <c r="E762" t="str">
        <f>""</f>
        <v/>
      </c>
      <c r="F762" t="str">
        <f>""</f>
        <v/>
      </c>
      <c r="H762" t="str">
        <f>"CUST#1650/GEN SVCS"</f>
        <v>CUST#1650/GEN SVCS</v>
      </c>
    </row>
    <row r="763" spans="1:8" x14ac:dyDescent="0.25">
      <c r="E763" t="str">
        <f>"201912033697"</f>
        <v>201912033697</v>
      </c>
      <c r="F763" t="str">
        <f>"ACCT#1700/PCT#2"</f>
        <v>ACCT#1700/PCT#2</v>
      </c>
      <c r="G763" s="2">
        <v>31.98</v>
      </c>
      <c r="H763" t="str">
        <f>"ACCT#1700/PCT#2"</f>
        <v>ACCT#1700/PCT#2</v>
      </c>
    </row>
    <row r="764" spans="1:8" x14ac:dyDescent="0.25">
      <c r="E764" t="str">
        <f>"201912033698"</f>
        <v>201912033698</v>
      </c>
      <c r="F764" t="str">
        <f>"ACCT#1750/PCT#3"</f>
        <v>ACCT#1750/PCT#3</v>
      </c>
      <c r="G764" s="2">
        <v>897.65</v>
      </c>
      <c r="H764" t="str">
        <f>"ACCT#1750/PCT#3"</f>
        <v>ACCT#1750/PCT#3</v>
      </c>
    </row>
    <row r="765" spans="1:8" x14ac:dyDescent="0.25">
      <c r="E765" t="str">
        <f>"201912043785"</f>
        <v>201912043785</v>
      </c>
      <c r="F765" t="str">
        <f>"CUST#1650/PCT#1"</f>
        <v>CUST#1650/PCT#1</v>
      </c>
      <c r="G765" s="2">
        <v>224.24</v>
      </c>
      <c r="H765" t="str">
        <f>"CUST#1650/PCT#1"</f>
        <v>CUST#1650/PCT#1</v>
      </c>
    </row>
    <row r="766" spans="1:8" x14ac:dyDescent="0.25">
      <c r="A766" t="s">
        <v>238</v>
      </c>
      <c r="B766">
        <v>129995</v>
      </c>
      <c r="C766" s="2">
        <v>1855.92</v>
      </c>
      <c r="D766" s="1">
        <v>43808</v>
      </c>
      <c r="E766" t="str">
        <f>"11209937 11260979"</f>
        <v>11209937 11260979</v>
      </c>
      <c r="F766" t="str">
        <f>"INV 11209937"</f>
        <v>INV 11209937</v>
      </c>
      <c r="G766" s="2">
        <v>1855.92</v>
      </c>
      <c r="H766" t="str">
        <f>"INV 11209937"</f>
        <v>INV 11209937</v>
      </c>
    </row>
    <row r="767" spans="1:8" x14ac:dyDescent="0.25">
      <c r="E767" t="str">
        <f>""</f>
        <v/>
      </c>
      <c r="F767" t="str">
        <f>""</f>
        <v/>
      </c>
      <c r="H767" t="str">
        <f>"INV 11260979"</f>
        <v>INV 11260979</v>
      </c>
    </row>
    <row r="768" spans="1:8" x14ac:dyDescent="0.25">
      <c r="A768" t="s">
        <v>238</v>
      </c>
      <c r="B768">
        <v>130223</v>
      </c>
      <c r="C768" s="2">
        <v>2062.4699999999998</v>
      </c>
      <c r="D768" s="1">
        <v>43822</v>
      </c>
      <c r="E768" t="str">
        <f>"12049744/12110568"</f>
        <v>12049744/12110568</v>
      </c>
      <c r="F768" t="str">
        <f>"INV 12049744"</f>
        <v>INV 12049744</v>
      </c>
      <c r="G768" s="2">
        <v>2062.4699999999998</v>
      </c>
      <c r="H768" t="str">
        <f>"INV 12049744"</f>
        <v>INV 12049744</v>
      </c>
    </row>
    <row r="769" spans="1:8" x14ac:dyDescent="0.25">
      <c r="E769" t="str">
        <f>""</f>
        <v/>
      </c>
      <c r="F769" t="str">
        <f>""</f>
        <v/>
      </c>
      <c r="H769" t="str">
        <f>"INV 12110568"</f>
        <v>INV 12110568</v>
      </c>
    </row>
    <row r="770" spans="1:8" x14ac:dyDescent="0.25">
      <c r="A770" t="s">
        <v>239</v>
      </c>
      <c r="B770">
        <v>1861</v>
      </c>
      <c r="C770" s="2">
        <v>268.54000000000002</v>
      </c>
      <c r="D770" s="1">
        <v>43809</v>
      </c>
      <c r="E770" t="str">
        <f>"201912033695"</f>
        <v>201912033695</v>
      </c>
      <c r="F770" t="str">
        <f>"MILEAGE REIMBURSEMENT"</f>
        <v>MILEAGE REIMBURSEMENT</v>
      </c>
      <c r="G770" s="2">
        <v>268.54000000000002</v>
      </c>
      <c r="H770" t="str">
        <f>"MILEAGE REIMBURSEMENT"</f>
        <v>MILEAGE REIMBURSEMENT</v>
      </c>
    </row>
    <row r="771" spans="1:8" x14ac:dyDescent="0.25">
      <c r="A771" t="s">
        <v>239</v>
      </c>
      <c r="B771">
        <v>1936</v>
      </c>
      <c r="C771" s="2">
        <v>150</v>
      </c>
      <c r="D771" s="1">
        <v>43823</v>
      </c>
      <c r="E771" t="str">
        <f>"201912164121"</f>
        <v>201912164121</v>
      </c>
      <c r="F771" t="str">
        <f>"CLEANING SVC 12/07/19"</f>
        <v>CLEANING SVC 12/07/19</v>
      </c>
      <c r="G771" s="2">
        <v>150</v>
      </c>
      <c r="H771" t="str">
        <f>"CLEANING SVC 12/07/19"</f>
        <v>CLEANING SVC 12/07/19</v>
      </c>
    </row>
    <row r="772" spans="1:8" x14ac:dyDescent="0.25">
      <c r="A772" t="s">
        <v>240</v>
      </c>
      <c r="B772">
        <v>129909</v>
      </c>
      <c r="C772" s="2">
        <v>50.25</v>
      </c>
      <c r="D772" s="1">
        <v>43802</v>
      </c>
      <c r="E772" t="str">
        <f>"201912033716"</f>
        <v>201912033716</v>
      </c>
      <c r="F772" t="str">
        <f>"ACCT#1-09-00072-02 1 / 1122201"</f>
        <v>ACCT#1-09-00072-02 1 / 1122201</v>
      </c>
      <c r="G772" s="2">
        <v>50.25</v>
      </c>
      <c r="H772" t="str">
        <f>"ACCT#1-09-00072-02 1 / 1122201"</f>
        <v>ACCT#1-09-00072-02 1 / 1122201</v>
      </c>
    </row>
    <row r="773" spans="1:8" x14ac:dyDescent="0.25">
      <c r="A773" t="s">
        <v>240</v>
      </c>
      <c r="B773">
        <v>130332</v>
      </c>
      <c r="C773" s="2">
        <v>50.25</v>
      </c>
      <c r="D773" s="1">
        <v>43830</v>
      </c>
      <c r="E773" t="str">
        <f>"201912314367"</f>
        <v>201912314367</v>
      </c>
      <c r="F773" t="str">
        <f>"ACCT#1-09-00072-02 1 /12202019"</f>
        <v>ACCT#1-09-00072-02 1 /12202019</v>
      </c>
      <c r="G773" s="2">
        <v>50.25</v>
      </c>
      <c r="H773" t="str">
        <f>"ACCT#1-09-00072-02 1 /12202019"</f>
        <v>ACCT#1-09-00072-02 1 /12202019</v>
      </c>
    </row>
    <row r="774" spans="1:8" x14ac:dyDescent="0.25">
      <c r="A774" t="s">
        <v>241</v>
      </c>
      <c r="B774">
        <v>130224</v>
      </c>
      <c r="C774" s="2">
        <v>1040</v>
      </c>
      <c r="D774" s="1">
        <v>43822</v>
      </c>
      <c r="E774" t="str">
        <f>"0558274129"</f>
        <v>0558274129</v>
      </c>
      <c r="F774" t="str">
        <f>"INV 0558274129"</f>
        <v>INV 0558274129</v>
      </c>
      <c r="G774" s="2">
        <v>1040</v>
      </c>
      <c r="H774" t="str">
        <f>"INV 0558274129"</f>
        <v>INV 0558274129</v>
      </c>
    </row>
    <row r="775" spans="1:8" x14ac:dyDescent="0.25">
      <c r="A775" t="s">
        <v>242</v>
      </c>
      <c r="B775">
        <v>129996</v>
      </c>
      <c r="C775" s="2">
        <v>225</v>
      </c>
      <c r="D775" s="1">
        <v>43808</v>
      </c>
      <c r="E775" t="str">
        <f>"19878"</f>
        <v>19878</v>
      </c>
      <c r="F775" t="str">
        <f>"SPANISH INTERPRETATION 1SC-000"</f>
        <v>SPANISH INTERPRETATION 1SC-000</v>
      </c>
      <c r="G775" s="2">
        <v>225</v>
      </c>
      <c r="H775" t="str">
        <f>"SPANISH INTERPRETATION 1SC-000"</f>
        <v>SPANISH INTERPRETATION 1SC-000</v>
      </c>
    </row>
    <row r="776" spans="1:8" x14ac:dyDescent="0.25">
      <c r="A776" t="s">
        <v>243</v>
      </c>
      <c r="B776">
        <v>130225</v>
      </c>
      <c r="C776" s="2">
        <v>1115.05</v>
      </c>
      <c r="D776" s="1">
        <v>43822</v>
      </c>
      <c r="E776" t="str">
        <f>"1211621-20191130"</f>
        <v>1211621-20191130</v>
      </c>
      <c r="F776" t="str">
        <f>"BILL ID:1211621/HEALTH SERVICE"</f>
        <v>BILL ID:1211621/HEALTH SERVICE</v>
      </c>
      <c r="G776" s="2">
        <v>503.15</v>
      </c>
      <c r="H776" t="str">
        <f>"BILL ID:1211621/HEALTH SERVICE"</f>
        <v>BILL ID:1211621/HEALTH SERVICE</v>
      </c>
    </row>
    <row r="777" spans="1:8" x14ac:dyDescent="0.25">
      <c r="E777" t="str">
        <f>"1361725-20191130"</f>
        <v>1361725-20191130</v>
      </c>
      <c r="F777" t="str">
        <f>"BILL ID:1361725/INDIGENT HEALT"</f>
        <v>BILL ID:1361725/INDIGENT HEALT</v>
      </c>
      <c r="G777" s="2">
        <v>150</v>
      </c>
      <c r="H777" t="str">
        <f>"BILL ID:1361725/INDIGENT HEALT"</f>
        <v>BILL ID:1361725/INDIGENT HEALT</v>
      </c>
    </row>
    <row r="778" spans="1:8" x14ac:dyDescent="0.25">
      <c r="E778" t="str">
        <f>"1394645-20191130"</f>
        <v>1394645-20191130</v>
      </c>
      <c r="F778" t="str">
        <f>"BILL ID:1394645/COUNTY CLERK"</f>
        <v>BILL ID:1394645/COUNTY CLERK</v>
      </c>
      <c r="G778" s="2">
        <v>59.5</v>
      </c>
      <c r="H778" t="str">
        <f>"BILL ID:1394645/COUNTY CLERK"</f>
        <v>BILL ID:1394645/COUNTY CLERK</v>
      </c>
    </row>
    <row r="779" spans="1:8" x14ac:dyDescent="0.25">
      <c r="E779" t="str">
        <f>"1420944-20191130"</f>
        <v>1420944-20191130</v>
      </c>
      <c r="F779" t="str">
        <f>"BILL ID:1420944/SHERIFF'S OFFI"</f>
        <v>BILL ID:1420944/SHERIFF'S OFFI</v>
      </c>
      <c r="G779" s="2">
        <v>302.39999999999998</v>
      </c>
      <c r="H779" t="str">
        <f>"BILL ID:1420944/SHERIFF'S OFFI"</f>
        <v>BILL ID:1420944/SHERIFF'S OFFI</v>
      </c>
    </row>
    <row r="780" spans="1:8" x14ac:dyDescent="0.25">
      <c r="E780" t="str">
        <f>"1489870-20191130"</f>
        <v>1489870-20191130</v>
      </c>
      <c r="F780" t="str">
        <f>"BILL ID:1489870/DISTRICT CLERK"</f>
        <v>BILL ID:1489870/DISTRICT CLERK</v>
      </c>
      <c r="G780" s="2">
        <v>100</v>
      </c>
      <c r="H780" t="str">
        <f>"BILL ID:1489870/DISTRICT CLERK"</f>
        <v>BILL ID:1489870/DISTRICT CLERK</v>
      </c>
    </row>
    <row r="781" spans="1:8" x14ac:dyDescent="0.25">
      <c r="A781" t="s">
        <v>244</v>
      </c>
      <c r="B781">
        <v>129997</v>
      </c>
      <c r="C781" s="2">
        <v>233.17</v>
      </c>
      <c r="D781" s="1">
        <v>43808</v>
      </c>
      <c r="E781" t="str">
        <f>"1705509"</f>
        <v>1705509</v>
      </c>
      <c r="F781" t="str">
        <f>"ACCT#15717/601 COOL WATER"</f>
        <v>ACCT#15717/601 COOL WATER</v>
      </c>
      <c r="G781" s="2">
        <v>233.17</v>
      </c>
      <c r="H781" t="str">
        <f>"ACCT#15717/601 COOL WATER"</f>
        <v>ACCT#15717/601 COOL WATER</v>
      </c>
    </row>
    <row r="782" spans="1:8" x14ac:dyDescent="0.25">
      <c r="A782" t="s">
        <v>245</v>
      </c>
      <c r="B782">
        <v>1879</v>
      </c>
      <c r="C782" s="2">
        <v>143</v>
      </c>
      <c r="D782" s="1">
        <v>43809</v>
      </c>
      <c r="E782" t="str">
        <f>"201912033674"</f>
        <v>201912033674</v>
      </c>
      <c r="F782" t="str">
        <f>"TITLE ONLY (SHERIFF'S OFFICE)"</f>
        <v>TITLE ONLY (SHERIFF'S OFFICE)</v>
      </c>
      <c r="G782" s="2">
        <v>25.5</v>
      </c>
      <c r="H782" t="str">
        <f>"TITLE ONLY (SHERIFF'S OFFICE)"</f>
        <v>TITLE ONLY (SHERIFF'S OFFICE)</v>
      </c>
    </row>
    <row r="783" spans="1:8" x14ac:dyDescent="0.25">
      <c r="E783" t="str">
        <f>"201912033681"</f>
        <v>201912033681</v>
      </c>
      <c r="F783" t="str">
        <f>"VEHICLE REGISTRATION"</f>
        <v>VEHICLE REGISTRATION</v>
      </c>
      <c r="G783" s="2">
        <v>7.5</v>
      </c>
      <c r="H783" t="str">
        <f>"VEHICLE REGISTRATION"</f>
        <v>VEHICLE REGISTRATION</v>
      </c>
    </row>
    <row r="784" spans="1:8" x14ac:dyDescent="0.25">
      <c r="E784" t="str">
        <f>"201912033717"</f>
        <v>201912033717</v>
      </c>
      <c r="F784" t="str">
        <f>"TITLE TRANSFERS (DVLPMNT SVCS)"</f>
        <v>TITLE TRANSFERS (DVLPMNT SVCS)</v>
      </c>
      <c r="G784" s="2">
        <v>43.5</v>
      </c>
      <c r="H784" t="str">
        <f>"TITLE TRANSFERS (DVLPMNT SVCS)"</f>
        <v>TITLE TRANSFERS (DVLPMNT SVCS)</v>
      </c>
    </row>
    <row r="785" spans="1:8" x14ac:dyDescent="0.25">
      <c r="E785" t="str">
        <f>"201912033728"</f>
        <v>201912033728</v>
      </c>
      <c r="F785" t="str">
        <f>"TITLE TRANSFER/PCT#1"</f>
        <v>TITLE TRANSFER/PCT#1</v>
      </c>
      <c r="G785" s="2">
        <v>27</v>
      </c>
      <c r="H785" t="str">
        <f>"TITLE TRANSFER/PCT#1"</f>
        <v>TITLE TRANSFER/PCT#1</v>
      </c>
    </row>
    <row r="786" spans="1:8" x14ac:dyDescent="0.25">
      <c r="E786" t="str">
        <f>"201912043783"</f>
        <v>201912043783</v>
      </c>
      <c r="F786" t="str">
        <f>"TITLE TRANSFER/REG/PCT#2"</f>
        <v>TITLE TRANSFER/REG/PCT#2</v>
      </c>
      <c r="G786" s="2">
        <v>27</v>
      </c>
      <c r="H786" t="str">
        <f>"TITLE TRANSFER/REG/PCT#2"</f>
        <v>TITLE TRANSFER/REG/PCT#2</v>
      </c>
    </row>
    <row r="787" spans="1:8" x14ac:dyDescent="0.25">
      <c r="E787" t="str">
        <f>"201912043784"</f>
        <v>201912043784</v>
      </c>
      <c r="F787" t="str">
        <f>"TITLE ONLY/SHERIFF"</f>
        <v>TITLE ONLY/SHERIFF</v>
      </c>
      <c r="G787" s="2">
        <v>12.5</v>
      </c>
      <c r="H787" t="str">
        <f>"TITLE ONLY/SHERIFF"</f>
        <v>TITLE ONLY/SHERIFF</v>
      </c>
    </row>
    <row r="788" spans="1:8" x14ac:dyDescent="0.25">
      <c r="A788" t="s">
        <v>245</v>
      </c>
      <c r="B788">
        <v>1951</v>
      </c>
      <c r="C788" s="2">
        <v>156.5</v>
      </c>
      <c r="D788" s="1">
        <v>43823</v>
      </c>
      <c r="E788" t="str">
        <f>"201912113934"</f>
        <v>201912113934</v>
      </c>
      <c r="F788" t="str">
        <f>"VEHICLE REGISTRATION/PCT#3"</f>
        <v>VEHICLE REGISTRATION/PCT#3</v>
      </c>
      <c r="G788" s="2">
        <v>22</v>
      </c>
      <c r="H788" t="str">
        <f>"VEHICLE REGISTRATION/PCT#3"</f>
        <v>VEHICLE REGISTRATION/PCT#3</v>
      </c>
    </row>
    <row r="789" spans="1:8" x14ac:dyDescent="0.25">
      <c r="E789" t="str">
        <f>"201912123973"</f>
        <v>201912123973</v>
      </c>
      <c r="F789" t="str">
        <f>"2011 FORD VEHCILE REGISTRATION"</f>
        <v>2011 FORD VEHCILE REGISTRATION</v>
      </c>
      <c r="G789" s="2">
        <v>7.5</v>
      </c>
      <c r="H789" t="str">
        <f>"2011 FORD VEHCILE REGISTRATION"</f>
        <v>2011 FORD VEHCILE REGISTRATION</v>
      </c>
    </row>
    <row r="790" spans="1:8" x14ac:dyDescent="0.25">
      <c r="E790" t="str">
        <f>"201912184231"</f>
        <v>201912184231</v>
      </c>
      <c r="F790" t="str">
        <f>"VEHICLE REGISTRATIONS"</f>
        <v>VEHICLE REGISTRATIONS</v>
      </c>
      <c r="G790" s="2">
        <v>7.5</v>
      </c>
      <c r="H790" t="str">
        <f>"VEHICLE REGISTRATIONS"</f>
        <v>VEHICLE REGISTRATIONS</v>
      </c>
    </row>
    <row r="791" spans="1:8" x14ac:dyDescent="0.25">
      <c r="E791" t="str">
        <f>"201912184232"</f>
        <v>201912184232</v>
      </c>
      <c r="F791" t="str">
        <f>"VEHICLE REGISTRATIONS SHERIFF"</f>
        <v>VEHICLE REGISTRATIONS SHERIFF</v>
      </c>
      <c r="G791" s="2">
        <v>52.5</v>
      </c>
      <c r="H791" t="str">
        <f>"VEHICLE REGISTRATIONS SHERIFF"</f>
        <v>VEHICLE REGISTRATIONS SHERIFF</v>
      </c>
    </row>
    <row r="792" spans="1:8" x14ac:dyDescent="0.25">
      <c r="E792" t="str">
        <f>"201912184262"</f>
        <v>201912184262</v>
      </c>
      <c r="F792" t="str">
        <f>"VEHICLE REGIST / PCT 1"</f>
        <v>VEHICLE REGIST / PCT 1</v>
      </c>
      <c r="G792" s="2">
        <v>67</v>
      </c>
      <c r="H792" t="str">
        <f>"VEHICLE REGIST / PCT 1"</f>
        <v>VEHICLE REGIST / PCT 1</v>
      </c>
    </row>
    <row r="793" spans="1:8" x14ac:dyDescent="0.25">
      <c r="A793" t="s">
        <v>246</v>
      </c>
      <c r="B793">
        <v>130226</v>
      </c>
      <c r="C793" s="2">
        <v>80</v>
      </c>
      <c r="D793" s="1">
        <v>43822</v>
      </c>
      <c r="E793" t="str">
        <f>"13127"</f>
        <v>13127</v>
      </c>
      <c r="F793" t="str">
        <f>"SERVICE"</f>
        <v>SERVICE</v>
      </c>
      <c r="G793" s="2">
        <v>80</v>
      </c>
      <c r="H793" t="str">
        <f>"SERVICE"</f>
        <v>SERVICE</v>
      </c>
    </row>
    <row r="794" spans="1:8" x14ac:dyDescent="0.25">
      <c r="A794" t="s">
        <v>247</v>
      </c>
      <c r="B794">
        <v>1850</v>
      </c>
      <c r="C794" s="2">
        <v>63421.1</v>
      </c>
      <c r="D794" s="1">
        <v>43809</v>
      </c>
      <c r="E794" t="str">
        <f>"201912033666"</f>
        <v>201912033666</v>
      </c>
      <c r="F794" t="str">
        <f>"GRANT REIMBURSEMENT"</f>
        <v>GRANT REIMBURSEMENT</v>
      </c>
      <c r="G794" s="2">
        <v>63421.1</v>
      </c>
      <c r="H794" t="str">
        <f>"GRANT REIMBURSEMENT"</f>
        <v>GRANT REIMBURSEMENT</v>
      </c>
    </row>
    <row r="795" spans="1:8" x14ac:dyDescent="0.25">
      <c r="A795" t="s">
        <v>247</v>
      </c>
      <c r="B795">
        <v>1922</v>
      </c>
      <c r="C795" s="2">
        <v>1759.19</v>
      </c>
      <c r="D795" s="1">
        <v>43823</v>
      </c>
      <c r="E795" t="str">
        <f>"201912184274"</f>
        <v>201912184274</v>
      </c>
      <c r="F795" t="str">
        <f>"INDIGENT HEALTH"</f>
        <v>INDIGENT HEALTH</v>
      </c>
      <c r="G795" s="2">
        <v>1759.19</v>
      </c>
      <c r="H795" t="str">
        <f>"INDIGENT HEALTH"</f>
        <v>INDIGENT HEALTH</v>
      </c>
    </row>
    <row r="796" spans="1:8" x14ac:dyDescent="0.25">
      <c r="E796" t="str">
        <f>""</f>
        <v/>
      </c>
      <c r="F796" t="str">
        <f>""</f>
        <v/>
      </c>
      <c r="H796" t="str">
        <f>"INDIGENT HEALTH"</f>
        <v>INDIGENT HEALTH</v>
      </c>
    </row>
    <row r="797" spans="1:8" x14ac:dyDescent="0.25">
      <c r="E797" t="str">
        <f>""</f>
        <v/>
      </c>
      <c r="F797" t="str">
        <f>""</f>
        <v/>
      </c>
      <c r="H797" t="str">
        <f>"INDIGENT HEALTH"</f>
        <v>INDIGENT HEALTH</v>
      </c>
    </row>
    <row r="798" spans="1:8" x14ac:dyDescent="0.25">
      <c r="A798" t="s">
        <v>248</v>
      </c>
      <c r="B798">
        <v>1856</v>
      </c>
      <c r="C798" s="2">
        <v>884</v>
      </c>
      <c r="D798" s="1">
        <v>43809</v>
      </c>
      <c r="E798" t="str">
        <f>"201912033720"</f>
        <v>201912033720</v>
      </c>
      <c r="F798" t="str">
        <f>"TRASH REMOVAL 12/2-12/7/PCT#4"</f>
        <v>TRASH REMOVAL 12/2-12/7/PCT#4</v>
      </c>
      <c r="G798" s="2">
        <v>572</v>
      </c>
      <c r="H798" t="str">
        <f>"TRASH REMOVAL 12/2-12/7/PCT#4"</f>
        <v>TRASH REMOVAL 12/2-12/7/PCT#4</v>
      </c>
    </row>
    <row r="799" spans="1:8" x14ac:dyDescent="0.25">
      <c r="E799" t="str">
        <f>"201912033721"</f>
        <v>201912033721</v>
      </c>
      <c r="F799" t="str">
        <f>"TRASH REMOVAL 11/25-11/29/P4"</f>
        <v>TRASH REMOVAL 11/25-11/29/P4</v>
      </c>
      <c r="G799" s="2">
        <v>312</v>
      </c>
      <c r="H799" t="str">
        <f>"TRASH REMOVAL 11/25-11/29/P4"</f>
        <v>TRASH REMOVAL 11/25-11/29/P4</v>
      </c>
    </row>
    <row r="800" spans="1:8" x14ac:dyDescent="0.25">
      <c r="A800" t="s">
        <v>248</v>
      </c>
      <c r="B800">
        <v>1930</v>
      </c>
      <c r="C800" s="2">
        <v>786.5</v>
      </c>
      <c r="D800" s="1">
        <v>43823</v>
      </c>
      <c r="E800" t="str">
        <f>"201912174150"</f>
        <v>201912174150</v>
      </c>
      <c r="F800" t="str">
        <f>"TRASH REMOVAL 12/9-12/20/PCT#4"</f>
        <v>TRASH REMOVAL 12/9-12/20/PCT#4</v>
      </c>
      <c r="G800" s="2">
        <v>786.5</v>
      </c>
      <c r="H800" t="str">
        <f>"TRASH REMOVAL 12/9-12/20/PCT#4"</f>
        <v>TRASH REMOVAL 12/9-12/20/PCT#4</v>
      </c>
    </row>
    <row r="801" spans="1:8" x14ac:dyDescent="0.25">
      <c r="A801" t="s">
        <v>249</v>
      </c>
      <c r="B801">
        <v>129998</v>
      </c>
      <c r="C801" s="2">
        <v>20</v>
      </c>
      <c r="D801" s="1">
        <v>43808</v>
      </c>
      <c r="E801" t="str">
        <f>"201911273564"</f>
        <v>201911273564</v>
      </c>
      <c r="F801" t="str">
        <f>"FERAL HOGS"</f>
        <v>FERAL HOGS</v>
      </c>
      <c r="G801" s="2">
        <v>20</v>
      </c>
      <c r="H801" t="str">
        <f>"FERAL HOGS"</f>
        <v>FERAL HOGS</v>
      </c>
    </row>
    <row r="802" spans="1:8" x14ac:dyDescent="0.25">
      <c r="A802" t="s">
        <v>249</v>
      </c>
      <c r="B802">
        <v>130227</v>
      </c>
      <c r="C802" s="2">
        <v>20</v>
      </c>
      <c r="D802" s="1">
        <v>43822</v>
      </c>
      <c r="E802" t="str">
        <f>"201912113927"</f>
        <v>201912113927</v>
      </c>
      <c r="F802" t="str">
        <f>"FERAL HOGS"</f>
        <v>FERAL HOGS</v>
      </c>
      <c r="G802" s="2">
        <v>20</v>
      </c>
      <c r="H802" t="str">
        <f>"FERAL HOGS"</f>
        <v>FERAL HOGS</v>
      </c>
    </row>
    <row r="803" spans="1:8" x14ac:dyDescent="0.25">
      <c r="A803" t="s">
        <v>250</v>
      </c>
      <c r="B803">
        <v>1882</v>
      </c>
      <c r="C803" s="2">
        <v>11</v>
      </c>
      <c r="D803" s="1">
        <v>43809</v>
      </c>
      <c r="E803" t="str">
        <f>"10-0081759"</f>
        <v>10-0081759</v>
      </c>
      <c r="F803" t="str">
        <f>"INV 10-0081759 /UNIT 1079"</f>
        <v>INV 10-0081759 /UNIT 1079</v>
      </c>
      <c r="G803" s="2">
        <v>11</v>
      </c>
      <c r="H803" t="str">
        <f>"INV 10-0081759 /UNIT 1079"</f>
        <v>INV 10-0081759 /UNIT 1079</v>
      </c>
    </row>
    <row r="804" spans="1:8" x14ac:dyDescent="0.25">
      <c r="A804" t="s">
        <v>250</v>
      </c>
      <c r="B804">
        <v>1957</v>
      </c>
      <c r="C804" s="2">
        <v>11</v>
      </c>
      <c r="D804" s="1">
        <v>43823</v>
      </c>
      <c r="E804" t="str">
        <f>"10-0082381"</f>
        <v>10-0082381</v>
      </c>
      <c r="F804" t="str">
        <f>"INV 10-0082381 /UNIT 6557"</f>
        <v>INV 10-0082381 /UNIT 6557</v>
      </c>
      <c r="G804" s="2">
        <v>11</v>
      </c>
      <c r="H804" t="str">
        <f>"INV 10-0082381 /UNIT 6557"</f>
        <v>INV 10-0082381 /UNIT 6557</v>
      </c>
    </row>
    <row r="805" spans="1:8" x14ac:dyDescent="0.25">
      <c r="A805" t="s">
        <v>251</v>
      </c>
      <c r="B805">
        <v>129999</v>
      </c>
      <c r="C805" s="2">
        <v>150</v>
      </c>
      <c r="D805" s="1">
        <v>43808</v>
      </c>
      <c r="E805" t="str">
        <f>"201911273565"</f>
        <v>201911273565</v>
      </c>
      <c r="F805" t="str">
        <f>"FERAL HOGS"</f>
        <v>FERAL HOGS</v>
      </c>
      <c r="G805" s="2">
        <v>85</v>
      </c>
      <c r="H805" t="str">
        <f>"FERAL HOGS"</f>
        <v>FERAL HOGS</v>
      </c>
    </row>
    <row r="806" spans="1:8" x14ac:dyDescent="0.25">
      <c r="E806" t="str">
        <f>"201911273566"</f>
        <v>201911273566</v>
      </c>
      <c r="F806" t="str">
        <f>"FERAL HOGS"</f>
        <v>FERAL HOGS</v>
      </c>
      <c r="G806" s="2">
        <v>65</v>
      </c>
      <c r="H806" t="str">
        <f>"FERAL HOGS"</f>
        <v>FERAL HOGS</v>
      </c>
    </row>
    <row r="807" spans="1:8" x14ac:dyDescent="0.25">
      <c r="A807" t="s">
        <v>252</v>
      </c>
      <c r="B807">
        <v>130000</v>
      </c>
      <c r="C807" s="2">
        <v>7316</v>
      </c>
      <c r="D807" s="1">
        <v>43808</v>
      </c>
      <c r="E807" t="str">
        <f>"708"</f>
        <v>708</v>
      </c>
      <c r="F807" t="str">
        <f>"WATER DAMAGE RESTORATION"</f>
        <v>WATER DAMAGE RESTORATION</v>
      </c>
      <c r="G807" s="2">
        <v>7026</v>
      </c>
      <c r="H807" t="str">
        <f>"WATER DAMAGE RESTORATION"</f>
        <v>WATER DAMAGE RESTORATION</v>
      </c>
    </row>
    <row r="808" spans="1:8" x14ac:dyDescent="0.25">
      <c r="E808" t="str">
        <f>"810"</f>
        <v>810</v>
      </c>
      <c r="F808" t="str">
        <f>"CARPET CLEAN-OFFICE"</f>
        <v>CARPET CLEAN-OFFICE</v>
      </c>
      <c r="G808" s="2">
        <v>290</v>
      </c>
      <c r="H808" t="str">
        <f>"CARPET CLEAN-OFFICE"</f>
        <v>CARPET CLEAN-OFFICE</v>
      </c>
    </row>
    <row r="809" spans="1:8" x14ac:dyDescent="0.25">
      <c r="A809" t="s">
        <v>253</v>
      </c>
      <c r="B809">
        <v>130001</v>
      </c>
      <c r="C809" s="2">
        <v>45</v>
      </c>
      <c r="D809" s="1">
        <v>43808</v>
      </c>
      <c r="E809" t="str">
        <f>"201911273567"</f>
        <v>201911273567</v>
      </c>
      <c r="F809" t="str">
        <f>"FERAL HOGS"</f>
        <v>FERAL HOGS</v>
      </c>
      <c r="G809" s="2">
        <v>45</v>
      </c>
      <c r="H809" t="str">
        <f>"FERAL HOGS"</f>
        <v>FERAL HOGS</v>
      </c>
    </row>
    <row r="810" spans="1:8" x14ac:dyDescent="0.25">
      <c r="A810" t="s">
        <v>254</v>
      </c>
      <c r="B810">
        <v>130228</v>
      </c>
      <c r="C810" s="2">
        <v>33.270000000000003</v>
      </c>
      <c r="D810" s="1">
        <v>43822</v>
      </c>
      <c r="E810" t="str">
        <f>"201912184275"</f>
        <v>201912184275</v>
      </c>
      <c r="F810" t="str">
        <f>"INDIGENT HEALTH"</f>
        <v>INDIGENT HEALTH</v>
      </c>
      <c r="G810" s="2">
        <v>33.270000000000003</v>
      </c>
      <c r="H810" t="str">
        <f>"INDIGENT HEALTH"</f>
        <v>INDIGENT HEALTH</v>
      </c>
    </row>
    <row r="811" spans="1:8" x14ac:dyDescent="0.25">
      <c r="A811" t="s">
        <v>255</v>
      </c>
      <c r="B811">
        <v>1918</v>
      </c>
      <c r="C811" s="2">
        <v>3406.25</v>
      </c>
      <c r="D811" s="1">
        <v>43823</v>
      </c>
      <c r="E811" t="str">
        <f>"201912174184"</f>
        <v>201912174184</v>
      </c>
      <c r="F811" t="str">
        <f>"J-3206"</f>
        <v>J-3206</v>
      </c>
      <c r="G811" s="2">
        <v>250</v>
      </c>
      <c r="H811" t="str">
        <f>"J-3206"</f>
        <v>J-3206</v>
      </c>
    </row>
    <row r="812" spans="1:8" x14ac:dyDescent="0.25">
      <c r="E812" t="str">
        <f>"201912174185"</f>
        <v>201912174185</v>
      </c>
      <c r="F812" t="str">
        <f>"BC20190812  9253540273A001"</f>
        <v>BC20190812  9253540273A001</v>
      </c>
      <c r="G812" s="2">
        <v>125</v>
      </c>
      <c r="H812" t="str">
        <f>"BC20190812  9253540273A001"</f>
        <v>BC20190812  9253540273A001</v>
      </c>
    </row>
    <row r="813" spans="1:8" x14ac:dyDescent="0.25">
      <c r="E813" t="str">
        <f>"201912174186"</f>
        <v>201912174186</v>
      </c>
      <c r="F813" t="str">
        <f>"56 762"</f>
        <v>56 762</v>
      </c>
      <c r="G813" s="2">
        <v>250</v>
      </c>
      <c r="H813" t="str">
        <f>"56 762"</f>
        <v>56 762</v>
      </c>
    </row>
    <row r="814" spans="1:8" x14ac:dyDescent="0.25">
      <c r="E814" t="str">
        <f>"201912174187"</f>
        <v>201912174187</v>
      </c>
      <c r="F814" t="str">
        <f>"56 406"</f>
        <v>56 406</v>
      </c>
      <c r="G814" s="2">
        <v>250</v>
      </c>
      <c r="H814" t="str">
        <f>"56 406"</f>
        <v>56 406</v>
      </c>
    </row>
    <row r="815" spans="1:8" x14ac:dyDescent="0.25">
      <c r="E815" t="str">
        <f>"201912174188"</f>
        <v>201912174188</v>
      </c>
      <c r="F815" t="str">
        <f>"56 405"</f>
        <v>56 405</v>
      </c>
      <c r="G815" s="2">
        <v>125</v>
      </c>
      <c r="H815" t="str">
        <f>"56 405"</f>
        <v>56 405</v>
      </c>
    </row>
    <row r="816" spans="1:8" x14ac:dyDescent="0.25">
      <c r="E816" t="str">
        <f>"201912174189"</f>
        <v>201912174189</v>
      </c>
      <c r="F816" t="str">
        <f>"17-18533"</f>
        <v>17-18533</v>
      </c>
      <c r="G816" s="2">
        <v>437.5</v>
      </c>
      <c r="H816" t="str">
        <f>"17-18533"</f>
        <v>17-18533</v>
      </c>
    </row>
    <row r="817" spans="1:8" x14ac:dyDescent="0.25">
      <c r="E817" t="str">
        <f>"201912184257"</f>
        <v>201912184257</v>
      </c>
      <c r="F817" t="str">
        <f>"19-19768"</f>
        <v>19-19768</v>
      </c>
      <c r="G817" s="2">
        <v>243.75</v>
      </c>
      <c r="H817" t="str">
        <f>"19-19768"</f>
        <v>19-19768</v>
      </c>
    </row>
    <row r="818" spans="1:8" x14ac:dyDescent="0.25">
      <c r="E818" t="str">
        <f>"201912184258"</f>
        <v>201912184258</v>
      </c>
      <c r="F818" t="str">
        <f>"19-19704"</f>
        <v>19-19704</v>
      </c>
      <c r="G818" s="2">
        <v>362.5</v>
      </c>
      <c r="H818" t="str">
        <f>"19-19704"</f>
        <v>19-19704</v>
      </c>
    </row>
    <row r="819" spans="1:8" x14ac:dyDescent="0.25">
      <c r="E819" t="str">
        <f>"201912184259"</f>
        <v>201912184259</v>
      </c>
      <c r="F819" t="str">
        <f>"19-19967"</f>
        <v>19-19967</v>
      </c>
      <c r="G819" s="2">
        <v>925</v>
      </c>
      <c r="H819" t="str">
        <f>"19-19967"</f>
        <v>19-19967</v>
      </c>
    </row>
    <row r="820" spans="1:8" x14ac:dyDescent="0.25">
      <c r="E820" t="str">
        <f>"201912184260"</f>
        <v>201912184260</v>
      </c>
      <c r="F820" t="str">
        <f>"19-19465"</f>
        <v>19-19465</v>
      </c>
      <c r="G820" s="2">
        <v>437.5</v>
      </c>
      <c r="H820" t="str">
        <f>"19-19465"</f>
        <v>19-19465</v>
      </c>
    </row>
    <row r="821" spans="1:8" x14ac:dyDescent="0.25">
      <c r="A821" t="s">
        <v>256</v>
      </c>
      <c r="B821">
        <v>130229</v>
      </c>
      <c r="C821" s="2">
        <v>282.10000000000002</v>
      </c>
      <c r="D821" s="1">
        <v>43822</v>
      </c>
      <c r="E821" t="str">
        <f>"20798626"</f>
        <v>20798626</v>
      </c>
      <c r="F821" t="str">
        <f>"ACCT#41472/PCT#1"</f>
        <v>ACCT#41472/PCT#1</v>
      </c>
      <c r="G821" s="2">
        <v>26.73</v>
      </c>
      <c r="H821" t="str">
        <f>"ACCT#41472/PCT#1"</f>
        <v>ACCT#41472/PCT#1</v>
      </c>
    </row>
    <row r="822" spans="1:8" x14ac:dyDescent="0.25">
      <c r="E822" t="str">
        <f>"20798709"</f>
        <v>20798709</v>
      </c>
      <c r="F822" t="str">
        <f>"ACCT#45057/PCT#4"</f>
        <v>ACCT#45057/PCT#4</v>
      </c>
      <c r="G822" s="2">
        <v>48.73</v>
      </c>
      <c r="H822" t="str">
        <f>"ACCT#45057/PCT#4"</f>
        <v>ACCT#45057/PCT#4</v>
      </c>
    </row>
    <row r="823" spans="1:8" x14ac:dyDescent="0.25">
      <c r="E823" t="str">
        <f>"20798766"</f>
        <v>20798766</v>
      </c>
      <c r="F823" t="str">
        <f>"INV 20798766"</f>
        <v>INV 20798766</v>
      </c>
      <c r="G823" s="2">
        <v>56.64</v>
      </c>
      <c r="H823" t="str">
        <f>"INV 20798766"</f>
        <v>INV 20798766</v>
      </c>
    </row>
    <row r="824" spans="1:8" x14ac:dyDescent="0.25">
      <c r="E824" t="str">
        <f>"20806342"</f>
        <v>20806342</v>
      </c>
      <c r="F824" t="str">
        <f>"ACCT#S9549/PCT#1"</f>
        <v>ACCT#S9549/PCT#1</v>
      </c>
      <c r="G824" s="2">
        <v>150</v>
      </c>
      <c r="H824" t="str">
        <f>"ACCT#S9549/PCT#1"</f>
        <v>ACCT#S9549/PCT#1</v>
      </c>
    </row>
    <row r="825" spans="1:8" x14ac:dyDescent="0.25">
      <c r="A825" t="s">
        <v>257</v>
      </c>
      <c r="B825">
        <v>130002</v>
      </c>
      <c r="C825" s="2">
        <v>650</v>
      </c>
      <c r="D825" s="1">
        <v>43808</v>
      </c>
      <c r="E825" t="str">
        <f>"201912033735"</f>
        <v>201912033735</v>
      </c>
      <c r="F825" t="str">
        <f>"McCOURT &amp; SONS EQUIPMENT  INC."</f>
        <v>McCOURT &amp; SONS EQUIPMENT  INC.</v>
      </c>
      <c r="G825" s="2">
        <v>650</v>
      </c>
      <c r="H825" t="str">
        <f>"Reclaimer Transport"</f>
        <v>Reclaimer Transport</v>
      </c>
    </row>
    <row r="826" spans="1:8" x14ac:dyDescent="0.25">
      <c r="A826" t="s">
        <v>258</v>
      </c>
      <c r="B826">
        <v>1874</v>
      </c>
      <c r="C826" s="2">
        <v>40.76</v>
      </c>
      <c r="D826" s="1">
        <v>43809</v>
      </c>
      <c r="E826" t="str">
        <f>"201912043781"</f>
        <v>201912043781</v>
      </c>
      <c r="F826" t="str">
        <f>"ACCT#900-98011130 001"</f>
        <v>ACCT#900-98011130 001</v>
      </c>
      <c r="G826" s="2">
        <v>40.76</v>
      </c>
      <c r="H826" t="str">
        <f>"ACCT#900-98011130 001"</f>
        <v>ACCT#900-98011130 001</v>
      </c>
    </row>
    <row r="827" spans="1:8" x14ac:dyDescent="0.25">
      <c r="A827" t="s">
        <v>259</v>
      </c>
      <c r="B827">
        <v>130003</v>
      </c>
      <c r="C827" s="2">
        <v>17190.71</v>
      </c>
      <c r="D827" s="1">
        <v>43808</v>
      </c>
      <c r="E827" t="str">
        <f>"12867"</f>
        <v>12867</v>
      </c>
      <c r="F827" t="str">
        <f t="shared" ref="F827:F832" si="15">"ABST FEE"</f>
        <v>ABST FEE</v>
      </c>
      <c r="G827" s="2">
        <v>225</v>
      </c>
      <c r="H827" t="str">
        <f t="shared" ref="H827:H832" si="16">"ABST FEE"</f>
        <v>ABST FEE</v>
      </c>
    </row>
    <row r="828" spans="1:8" x14ac:dyDescent="0.25">
      <c r="E828" t="str">
        <f>"13026"</f>
        <v>13026</v>
      </c>
      <c r="F828" t="str">
        <f t="shared" si="15"/>
        <v>ABST FEE</v>
      </c>
      <c r="G828" s="2">
        <v>225</v>
      </c>
      <c r="H828" t="str">
        <f t="shared" si="16"/>
        <v>ABST FEE</v>
      </c>
    </row>
    <row r="829" spans="1:8" x14ac:dyDescent="0.25">
      <c r="E829" t="str">
        <f>"13045"</f>
        <v>13045</v>
      </c>
      <c r="F829" t="str">
        <f t="shared" si="15"/>
        <v>ABST FEE</v>
      </c>
      <c r="G829" s="2">
        <v>150</v>
      </c>
      <c r="H829" t="str">
        <f t="shared" si="16"/>
        <v>ABST FEE</v>
      </c>
    </row>
    <row r="830" spans="1:8" x14ac:dyDescent="0.25">
      <c r="E830" t="str">
        <f>"13164"</f>
        <v>13164</v>
      </c>
      <c r="F830" t="str">
        <f t="shared" si="15"/>
        <v>ABST FEE</v>
      </c>
      <c r="G830" s="2">
        <v>225</v>
      </c>
      <c r="H830" t="str">
        <f t="shared" si="16"/>
        <v>ABST FEE</v>
      </c>
    </row>
    <row r="831" spans="1:8" x14ac:dyDescent="0.25">
      <c r="E831" t="str">
        <f>"13270"</f>
        <v>13270</v>
      </c>
      <c r="F831" t="str">
        <f t="shared" si="15"/>
        <v>ABST FEE</v>
      </c>
      <c r="G831" s="2">
        <v>225</v>
      </c>
      <c r="H831" t="str">
        <f t="shared" si="16"/>
        <v>ABST FEE</v>
      </c>
    </row>
    <row r="832" spans="1:8" x14ac:dyDescent="0.25">
      <c r="E832" t="str">
        <f>"13302"</f>
        <v>13302</v>
      </c>
      <c r="F832" t="str">
        <f t="shared" si="15"/>
        <v>ABST FEE</v>
      </c>
      <c r="G832" s="2">
        <v>225</v>
      </c>
      <c r="H832" t="str">
        <f t="shared" si="16"/>
        <v>ABST FEE</v>
      </c>
    </row>
    <row r="833" spans="1:8" x14ac:dyDescent="0.25">
      <c r="E833" t="str">
        <f>"201912033738"</f>
        <v>201912033738</v>
      </c>
      <c r="F833" t="str">
        <f>"COLLECT OF DELINQ TAXES-NOV19"</f>
        <v>COLLECT OF DELINQ TAXES-NOV19</v>
      </c>
      <c r="G833" s="2">
        <v>15740.71</v>
      </c>
      <c r="H833" t="str">
        <f>"COLLECT OF DELINQ TAXES-NOV19"</f>
        <v>COLLECT OF DELINQ TAXES-NOV19</v>
      </c>
    </row>
    <row r="834" spans="1:8" x14ac:dyDescent="0.25">
      <c r="E834" t="str">
        <f>"7888"</f>
        <v>7888</v>
      </c>
      <c r="F834" t="str">
        <f>"ABST FEE"</f>
        <v>ABST FEE</v>
      </c>
      <c r="G834" s="2">
        <v>175</v>
      </c>
      <c r="H834" t="str">
        <f>"ABST FEE"</f>
        <v>ABST FEE</v>
      </c>
    </row>
    <row r="835" spans="1:8" x14ac:dyDescent="0.25">
      <c r="A835" t="s">
        <v>259</v>
      </c>
      <c r="B835">
        <v>130230</v>
      </c>
      <c r="C835" s="2">
        <v>450</v>
      </c>
      <c r="D835" s="1">
        <v>43822</v>
      </c>
      <c r="E835" t="str">
        <f>"12773"</f>
        <v>12773</v>
      </c>
      <c r="F835" t="str">
        <f>"ABST FEE"</f>
        <v>ABST FEE</v>
      </c>
      <c r="G835" s="2">
        <v>225</v>
      </c>
      <c r="H835" t="str">
        <f>"ABST FEE"</f>
        <v>ABST FEE</v>
      </c>
    </row>
    <row r="836" spans="1:8" x14ac:dyDescent="0.25">
      <c r="E836" t="str">
        <f>"13127"</f>
        <v>13127</v>
      </c>
      <c r="F836" t="str">
        <f>"ABST FEE"</f>
        <v>ABST FEE</v>
      </c>
      <c r="G836" s="2">
        <v>225</v>
      </c>
      <c r="H836" t="str">
        <f>"ABST FEE"</f>
        <v>ABST FEE</v>
      </c>
    </row>
    <row r="837" spans="1:8" x14ac:dyDescent="0.25">
      <c r="A837" t="s">
        <v>260</v>
      </c>
      <c r="B837">
        <v>130231</v>
      </c>
      <c r="C837" s="2">
        <v>593.29</v>
      </c>
      <c r="D837" s="1">
        <v>43822</v>
      </c>
      <c r="E837" t="str">
        <f>"70737735/70742112"</f>
        <v>70737735/70742112</v>
      </c>
      <c r="F837" t="str">
        <f>"INV 70737735"</f>
        <v>INV 70737735</v>
      </c>
      <c r="G837" s="2">
        <v>593.29</v>
      </c>
      <c r="H837" t="str">
        <f>"INV 70737735"</f>
        <v>INV 70737735</v>
      </c>
    </row>
    <row r="838" spans="1:8" x14ac:dyDescent="0.25">
      <c r="E838" t="str">
        <f>""</f>
        <v/>
      </c>
      <c r="F838" t="str">
        <f>""</f>
        <v/>
      </c>
      <c r="H838" t="str">
        <f>"INV 70742112"</f>
        <v>INV 70742112</v>
      </c>
    </row>
    <row r="839" spans="1:8" x14ac:dyDescent="0.25">
      <c r="A839" t="s">
        <v>261</v>
      </c>
      <c r="B839">
        <v>130232</v>
      </c>
      <c r="C839" s="2">
        <v>1923.31</v>
      </c>
      <c r="D839" s="1">
        <v>43822</v>
      </c>
      <c r="E839" t="str">
        <f>"201912184276"</f>
        <v>201912184276</v>
      </c>
      <c r="F839" t="str">
        <f>"INDIGENT HEALTH"</f>
        <v>INDIGENT HEALTH</v>
      </c>
      <c r="G839" s="2">
        <v>1923.31</v>
      </c>
      <c r="H839" t="str">
        <f>"INDIGENT HEALTH"</f>
        <v>INDIGENT HEALTH</v>
      </c>
    </row>
    <row r="840" spans="1:8" x14ac:dyDescent="0.25">
      <c r="E840" t="str">
        <f>""</f>
        <v/>
      </c>
      <c r="F840" t="str">
        <f>""</f>
        <v/>
      </c>
      <c r="H840" t="str">
        <f>"INDIGENT HEALTH"</f>
        <v>INDIGENT HEALTH</v>
      </c>
    </row>
    <row r="841" spans="1:8" x14ac:dyDescent="0.25">
      <c r="A841" t="s">
        <v>262</v>
      </c>
      <c r="B841">
        <v>1858</v>
      </c>
      <c r="C841" s="2">
        <v>1500</v>
      </c>
      <c r="D841" s="1">
        <v>43809</v>
      </c>
      <c r="E841" t="str">
        <f>"201912033742"</f>
        <v>201912033742</v>
      </c>
      <c r="F841" t="str">
        <f>"VET SURG SVCS/NOV 21/25 DEC 2"</f>
        <v>VET SURG SVCS/NOV 21/25 DEC 2</v>
      </c>
      <c r="G841" s="2">
        <v>1500</v>
      </c>
      <c r="H841" t="str">
        <f>"VET SURG SVCS/NOV 21/25 DEC 2"</f>
        <v>VET SURG SVCS/NOV 21/25 DEC 2</v>
      </c>
    </row>
    <row r="842" spans="1:8" x14ac:dyDescent="0.25">
      <c r="A842" t="s">
        <v>262</v>
      </c>
      <c r="B842">
        <v>1934</v>
      </c>
      <c r="C842" s="2">
        <v>2000</v>
      </c>
      <c r="D842" s="1">
        <v>43823</v>
      </c>
      <c r="E842" t="str">
        <f>"201912184233"</f>
        <v>201912184233</v>
      </c>
      <c r="F842" t="str">
        <f>"VET SURG SVCS 12/5 8 12 &amp; 16"</f>
        <v>VET SURG SVCS 12/5 8 12 &amp; 16</v>
      </c>
      <c r="G842" s="2">
        <v>2000</v>
      </c>
      <c r="H842" t="str">
        <f>"VET SURG SVCS 12/5 8 12 &amp; 16"</f>
        <v>VET SURG SVCS 12/5 8 12 &amp; 16</v>
      </c>
    </row>
    <row r="843" spans="1:8" x14ac:dyDescent="0.25">
      <c r="A843" t="s">
        <v>263</v>
      </c>
      <c r="B843">
        <v>130233</v>
      </c>
      <c r="C843" s="2">
        <v>230</v>
      </c>
      <c r="D843" s="1">
        <v>43822</v>
      </c>
      <c r="E843" t="str">
        <f>"201912174133"</f>
        <v>201912174133</v>
      </c>
      <c r="F843" t="str">
        <f>"TRAVEL ADVANCE - PER DIEM"</f>
        <v>TRAVEL ADVANCE - PER DIEM</v>
      </c>
      <c r="G843" s="2">
        <v>230</v>
      </c>
      <c r="H843" t="str">
        <f>"TRAVEL ADVANCE - PER DIEM"</f>
        <v>TRAVEL ADVANCE - PER DIEM</v>
      </c>
    </row>
    <row r="844" spans="1:8" x14ac:dyDescent="0.25">
      <c r="A844" t="s">
        <v>264</v>
      </c>
      <c r="B844">
        <v>130234</v>
      </c>
      <c r="C844" s="2">
        <v>95</v>
      </c>
      <c r="D844" s="1">
        <v>43822</v>
      </c>
      <c r="E844" t="str">
        <f>"201912113928"</f>
        <v>201912113928</v>
      </c>
      <c r="F844" t="str">
        <f>"FERAL HOGS"</f>
        <v>FERAL HOGS</v>
      </c>
      <c r="G844" s="2">
        <v>95</v>
      </c>
      <c r="H844" t="str">
        <f>"FERAL HOGS"</f>
        <v>FERAL HOGS</v>
      </c>
    </row>
    <row r="845" spans="1:8" x14ac:dyDescent="0.25">
      <c r="A845" t="s">
        <v>265</v>
      </c>
      <c r="B845">
        <v>130235</v>
      </c>
      <c r="C845" s="2">
        <v>2075</v>
      </c>
      <c r="D845" s="1">
        <v>43822</v>
      </c>
      <c r="E845" t="str">
        <f>"11989"</f>
        <v>11989</v>
      </c>
      <c r="F845" t="str">
        <f>"INV 11989"</f>
        <v>INV 11989</v>
      </c>
      <c r="G845" s="2">
        <v>2075</v>
      </c>
      <c r="H845" t="str">
        <f>"INV 11989"</f>
        <v>INV 11989</v>
      </c>
    </row>
    <row r="846" spans="1:8" x14ac:dyDescent="0.25">
      <c r="A846" t="s">
        <v>266</v>
      </c>
      <c r="B846">
        <v>1947</v>
      </c>
      <c r="C846" s="2">
        <v>208</v>
      </c>
      <c r="D846" s="1">
        <v>43823</v>
      </c>
      <c r="E846" t="str">
        <f>"19-024"</f>
        <v>19-024</v>
      </c>
      <c r="F846" t="str">
        <f>"423-5638"</f>
        <v>423-5638</v>
      </c>
      <c r="G846" s="2">
        <v>108</v>
      </c>
      <c r="H846" t="str">
        <f>"423-5638"</f>
        <v>423-5638</v>
      </c>
    </row>
    <row r="847" spans="1:8" x14ac:dyDescent="0.25">
      <c r="E847" t="str">
        <f>"19-025"</f>
        <v>19-025</v>
      </c>
      <c r="F847" t="str">
        <f>"423-2327"</f>
        <v>423-2327</v>
      </c>
      <c r="G847" s="2">
        <v>100</v>
      </c>
      <c r="H847" t="str">
        <f>"423-2327"</f>
        <v>423-2327</v>
      </c>
    </row>
    <row r="848" spans="1:8" x14ac:dyDescent="0.25">
      <c r="A848" t="s">
        <v>267</v>
      </c>
      <c r="B848">
        <v>1837</v>
      </c>
      <c r="C848" s="2">
        <v>662.5</v>
      </c>
      <c r="D848" s="1">
        <v>43809</v>
      </c>
      <c r="E848" t="str">
        <f>"21025"</f>
        <v>21025</v>
      </c>
      <c r="F848" t="str">
        <f>"LIMESTONE/PCT#2"</f>
        <v>LIMESTONE/PCT#2</v>
      </c>
      <c r="G848" s="2">
        <v>662.5</v>
      </c>
      <c r="H848" t="str">
        <f>"LIMESTONE/PCT#2"</f>
        <v>LIMESTONE/PCT#2</v>
      </c>
    </row>
    <row r="849" spans="1:8" x14ac:dyDescent="0.25">
      <c r="A849" t="s">
        <v>267</v>
      </c>
      <c r="B849">
        <v>1906</v>
      </c>
      <c r="C849" s="2">
        <v>8653.9</v>
      </c>
      <c r="D849" s="1">
        <v>43823</v>
      </c>
      <c r="E849" t="str">
        <f>"21039"</f>
        <v>21039</v>
      </c>
      <c r="F849" t="str">
        <f>"FREIGHT SALES/PCT#2"</f>
        <v>FREIGHT SALES/PCT#2</v>
      </c>
      <c r="G849" s="2">
        <v>2413.4499999999998</v>
      </c>
      <c r="H849" t="str">
        <f>"FREIGHT SALES/PCT#2"</f>
        <v>FREIGHT SALES/PCT#2</v>
      </c>
    </row>
    <row r="850" spans="1:8" x14ac:dyDescent="0.25">
      <c r="E850" t="str">
        <f>"21078"</f>
        <v>21078</v>
      </c>
      <c r="F850" t="str">
        <f>"FREIGHT SALES/PCT#2"</f>
        <v>FREIGHT SALES/PCT#2</v>
      </c>
      <c r="G850" s="2">
        <v>2235.6</v>
      </c>
      <c r="H850" t="str">
        <f>"FREIGHT SALES/PCT#2"</f>
        <v>FREIGHT SALES/PCT#2</v>
      </c>
    </row>
    <row r="851" spans="1:8" x14ac:dyDescent="0.25">
      <c r="E851" t="str">
        <f>"21124"</f>
        <v>21124</v>
      </c>
      <c r="F851" t="str">
        <f>"FREIGHT SALES/PCT#2"</f>
        <v>FREIGHT SALES/PCT#2</v>
      </c>
      <c r="G851" s="2">
        <v>4004.85</v>
      </c>
      <c r="H851" t="str">
        <f>"FREIGHT SALES/PCT#2"</f>
        <v>FREIGHT SALES/PCT#2</v>
      </c>
    </row>
    <row r="852" spans="1:8" x14ac:dyDescent="0.25">
      <c r="A852" t="s">
        <v>268</v>
      </c>
      <c r="B852">
        <v>130004</v>
      </c>
      <c r="C852" s="2">
        <v>15</v>
      </c>
      <c r="D852" s="1">
        <v>43808</v>
      </c>
      <c r="E852" t="str">
        <f>"201911273568"</f>
        <v>201911273568</v>
      </c>
      <c r="F852" t="str">
        <f>"FERAL HOGS"</f>
        <v>FERAL HOGS</v>
      </c>
      <c r="G852" s="2">
        <v>15</v>
      </c>
      <c r="H852" t="str">
        <f>"FERAL HOGS"</f>
        <v>FERAL HOGS</v>
      </c>
    </row>
    <row r="853" spans="1:8" x14ac:dyDescent="0.25">
      <c r="A853" t="s">
        <v>269</v>
      </c>
      <c r="B853">
        <v>129841</v>
      </c>
      <c r="C853" s="2">
        <v>6</v>
      </c>
      <c r="D853" s="1">
        <v>43801</v>
      </c>
      <c r="E853" t="str">
        <f>"201912023590"</f>
        <v>201912023590</v>
      </c>
      <c r="F853" t="str">
        <f>"Miscella"</f>
        <v>Miscella</v>
      </c>
      <c r="G853" s="2">
        <v>6</v>
      </c>
      <c r="H853" t="str">
        <f>"RYAN SCOTT PORTALES"</f>
        <v>RYAN SCOTT PORTALES</v>
      </c>
    </row>
    <row r="854" spans="1:8" x14ac:dyDescent="0.25">
      <c r="A854" t="s">
        <v>270</v>
      </c>
      <c r="B854">
        <v>129842</v>
      </c>
      <c r="C854" s="2">
        <v>6</v>
      </c>
      <c r="D854" s="1">
        <v>43801</v>
      </c>
      <c r="E854" t="str">
        <f>"201912023591"</f>
        <v>201912023591</v>
      </c>
      <c r="F854" t="str">
        <f>"Misc"</f>
        <v>Misc</v>
      </c>
      <c r="G854" s="2">
        <v>6</v>
      </c>
      <c r="H854" t="str">
        <f>"CIARA FAITH CASTELLANOS"</f>
        <v>CIARA FAITH CASTELLANOS</v>
      </c>
    </row>
    <row r="855" spans="1:8" x14ac:dyDescent="0.25">
      <c r="A855" t="s">
        <v>271</v>
      </c>
      <c r="B855">
        <v>129843</v>
      </c>
      <c r="C855" s="2">
        <v>6</v>
      </c>
      <c r="D855" s="1">
        <v>43801</v>
      </c>
      <c r="E855" t="str">
        <f>"201912023592"</f>
        <v>201912023592</v>
      </c>
      <c r="F855" t="str">
        <f>"Mis"</f>
        <v>Mis</v>
      </c>
      <c r="G855" s="2">
        <v>6</v>
      </c>
      <c r="H855" t="str">
        <f>"MICHELLE E MEDINA-DODSON"</f>
        <v>MICHELLE E MEDINA-DODSON</v>
      </c>
    </row>
    <row r="856" spans="1:8" x14ac:dyDescent="0.25">
      <c r="A856" t="s">
        <v>272</v>
      </c>
      <c r="B856">
        <v>129844</v>
      </c>
      <c r="C856" s="2">
        <v>6</v>
      </c>
      <c r="D856" s="1">
        <v>43801</v>
      </c>
      <c r="E856" t="str">
        <f>"201912023593"</f>
        <v>201912023593</v>
      </c>
      <c r="F856" t="str">
        <f>"Miscell"</f>
        <v>Miscell</v>
      </c>
      <c r="G856" s="2">
        <v>6</v>
      </c>
      <c r="H856" t="str">
        <f>"MARIA NEREIDA JAIMES"</f>
        <v>MARIA NEREIDA JAIMES</v>
      </c>
    </row>
    <row r="857" spans="1:8" x14ac:dyDescent="0.25">
      <c r="A857" t="s">
        <v>273</v>
      </c>
      <c r="B857">
        <v>129845</v>
      </c>
      <c r="C857" s="2">
        <v>6</v>
      </c>
      <c r="D857" s="1">
        <v>43801</v>
      </c>
      <c r="E857" t="str">
        <f>"201912023594"</f>
        <v>201912023594</v>
      </c>
      <c r="F857" t="str">
        <f>"Miscellane"</f>
        <v>Miscellane</v>
      </c>
      <c r="G857" s="2">
        <v>6</v>
      </c>
      <c r="H857" t="str">
        <f>"BILLY ROYCE YOUNG"</f>
        <v>BILLY ROYCE YOUNG</v>
      </c>
    </row>
    <row r="858" spans="1:8" x14ac:dyDescent="0.25">
      <c r="A858" t="s">
        <v>274</v>
      </c>
      <c r="B858">
        <v>129846</v>
      </c>
      <c r="C858" s="2">
        <v>6</v>
      </c>
      <c r="D858" s="1">
        <v>43801</v>
      </c>
      <c r="E858" t="str">
        <f>"201912023595"</f>
        <v>201912023595</v>
      </c>
      <c r="F858" t="str">
        <f>"Misce"</f>
        <v>Misce</v>
      </c>
      <c r="G858" s="2">
        <v>6</v>
      </c>
      <c r="H858" t="str">
        <f>"MATTHEW BRENT CHRISPEN"</f>
        <v>MATTHEW BRENT CHRISPEN</v>
      </c>
    </row>
    <row r="859" spans="1:8" x14ac:dyDescent="0.25">
      <c r="A859" t="s">
        <v>275</v>
      </c>
      <c r="B859">
        <v>129847</v>
      </c>
      <c r="C859" s="2">
        <v>6</v>
      </c>
      <c r="D859" s="1">
        <v>43801</v>
      </c>
      <c r="E859" t="str">
        <f>"201912023596"</f>
        <v>201912023596</v>
      </c>
      <c r="F859" t="str">
        <f>"Misce"</f>
        <v>Misce</v>
      </c>
      <c r="G859" s="2">
        <v>6</v>
      </c>
      <c r="H859" t="str">
        <f>"MARTINA MATETICH BURNS"</f>
        <v>MARTINA MATETICH BURNS</v>
      </c>
    </row>
    <row r="860" spans="1:8" x14ac:dyDescent="0.25">
      <c r="A860" t="s">
        <v>276</v>
      </c>
      <c r="B860">
        <v>129848</v>
      </c>
      <c r="C860" s="2">
        <v>6</v>
      </c>
      <c r="D860" s="1">
        <v>43801</v>
      </c>
      <c r="E860" t="str">
        <f>"201912023597"</f>
        <v>201912023597</v>
      </c>
      <c r="F860" t="str">
        <f>"Miscel"</f>
        <v>Miscel</v>
      </c>
      <c r="G860" s="2">
        <v>6</v>
      </c>
      <c r="H860" t="str">
        <f>"MARIO EDUARDO SANCHEZ"</f>
        <v>MARIO EDUARDO SANCHEZ</v>
      </c>
    </row>
    <row r="861" spans="1:8" x14ac:dyDescent="0.25">
      <c r="A861" t="s">
        <v>277</v>
      </c>
      <c r="B861">
        <v>129849</v>
      </c>
      <c r="C861" s="2">
        <v>6</v>
      </c>
      <c r="D861" s="1">
        <v>43801</v>
      </c>
      <c r="E861" t="str">
        <f>"201912023598"</f>
        <v>201912023598</v>
      </c>
      <c r="F861" t="str">
        <f>"Miscell"</f>
        <v>Miscell</v>
      </c>
      <c r="G861" s="2">
        <v>6</v>
      </c>
      <c r="H861" t="str">
        <f>"MARY JANE VILLARREAL"</f>
        <v>MARY JANE VILLARREAL</v>
      </c>
    </row>
    <row r="862" spans="1:8" x14ac:dyDescent="0.25">
      <c r="A862" t="s">
        <v>278</v>
      </c>
      <c r="B862">
        <v>129850</v>
      </c>
      <c r="C862" s="2">
        <v>6</v>
      </c>
      <c r="D862" s="1">
        <v>43801</v>
      </c>
      <c r="E862" t="str">
        <f>"201912023599"</f>
        <v>201912023599</v>
      </c>
      <c r="F862" t="str">
        <f>"Miscellaneo"</f>
        <v>Miscellaneo</v>
      </c>
      <c r="G862" s="2">
        <v>6</v>
      </c>
      <c r="H862" t="str">
        <f>"TAMMY SUE HILBIG"</f>
        <v>TAMMY SUE HILBIG</v>
      </c>
    </row>
    <row r="863" spans="1:8" x14ac:dyDescent="0.25">
      <c r="A863" t="s">
        <v>279</v>
      </c>
      <c r="B863">
        <v>129851</v>
      </c>
      <c r="C863" s="2">
        <v>6</v>
      </c>
      <c r="D863" s="1">
        <v>43801</v>
      </c>
      <c r="E863" t="str">
        <f>"201912023600"</f>
        <v>201912023600</v>
      </c>
      <c r="F863" t="str">
        <f>"M"</f>
        <v>M</v>
      </c>
      <c r="G863" s="2">
        <v>6</v>
      </c>
      <c r="H863" t="str">
        <f>"LINDSAY MICHELLE PATTERSON"</f>
        <v>LINDSAY MICHELLE PATTERSON</v>
      </c>
    </row>
    <row r="864" spans="1:8" x14ac:dyDescent="0.25">
      <c r="A864" t="s">
        <v>280</v>
      </c>
      <c r="B864">
        <v>129852</v>
      </c>
      <c r="C864" s="2">
        <v>6</v>
      </c>
      <c r="D864" s="1">
        <v>43801</v>
      </c>
      <c r="E864" t="str">
        <f>"201912023601"</f>
        <v>201912023601</v>
      </c>
      <c r="F864" t="str">
        <f>"Miscellan"</f>
        <v>Miscellan</v>
      </c>
      <c r="G864" s="2">
        <v>6</v>
      </c>
      <c r="H864" t="str">
        <f>"ALICE AZZANO MACHU"</f>
        <v>ALICE AZZANO MACHU</v>
      </c>
    </row>
    <row r="865" spans="1:8" x14ac:dyDescent="0.25">
      <c r="A865" t="s">
        <v>281</v>
      </c>
      <c r="B865">
        <v>129853</v>
      </c>
      <c r="C865" s="2">
        <v>6</v>
      </c>
      <c r="D865" s="1">
        <v>43801</v>
      </c>
      <c r="E865" t="str">
        <f>"201912023602"</f>
        <v>201912023602</v>
      </c>
      <c r="F865" t="str">
        <f>"Misc"</f>
        <v>Misc</v>
      </c>
      <c r="G865" s="2">
        <v>6</v>
      </c>
      <c r="H865" t="str">
        <f>"CHARLES ANTHONY DAMMANN"</f>
        <v>CHARLES ANTHONY DAMMANN</v>
      </c>
    </row>
    <row r="866" spans="1:8" x14ac:dyDescent="0.25">
      <c r="A866" t="s">
        <v>282</v>
      </c>
      <c r="B866">
        <v>129854</v>
      </c>
      <c r="C866" s="2">
        <v>6</v>
      </c>
      <c r="D866" s="1">
        <v>43801</v>
      </c>
      <c r="E866" t="str">
        <f>"201912023603"</f>
        <v>201912023603</v>
      </c>
      <c r="F866" t="str">
        <f>"Miscellan"</f>
        <v>Miscellan</v>
      </c>
      <c r="G866" s="2">
        <v>6</v>
      </c>
      <c r="H866" t="str">
        <f>"SHIELA CLOUD HOGAN"</f>
        <v>SHIELA CLOUD HOGAN</v>
      </c>
    </row>
    <row r="867" spans="1:8" x14ac:dyDescent="0.25">
      <c r="A867" t="s">
        <v>283</v>
      </c>
      <c r="B867">
        <v>129855</v>
      </c>
      <c r="C867" s="2">
        <v>6</v>
      </c>
      <c r="D867" s="1">
        <v>43801</v>
      </c>
      <c r="E867" t="str">
        <f>"201912023604"</f>
        <v>201912023604</v>
      </c>
      <c r="F867" t="str">
        <f>"M"</f>
        <v>M</v>
      </c>
      <c r="G867" s="2">
        <v>6</v>
      </c>
      <c r="H867" t="str">
        <f>"CATHERINE BENNITT LOMBARDO"</f>
        <v>CATHERINE BENNITT LOMBARDO</v>
      </c>
    </row>
    <row r="868" spans="1:8" x14ac:dyDescent="0.25">
      <c r="A868" t="s">
        <v>284</v>
      </c>
      <c r="B868">
        <v>129856</v>
      </c>
      <c r="C868" s="2">
        <v>6</v>
      </c>
      <c r="D868" s="1">
        <v>43801</v>
      </c>
      <c r="E868" t="str">
        <f>"201912023605"</f>
        <v>201912023605</v>
      </c>
      <c r="F868" t="str">
        <f>"Misce"</f>
        <v>Misce</v>
      </c>
      <c r="G868" s="2">
        <v>6</v>
      </c>
      <c r="H868" t="str">
        <f>"MELODIE MARIE BILLINGS"</f>
        <v>MELODIE MARIE BILLINGS</v>
      </c>
    </row>
    <row r="869" spans="1:8" x14ac:dyDescent="0.25">
      <c r="A869" t="s">
        <v>285</v>
      </c>
      <c r="B869">
        <v>129857</v>
      </c>
      <c r="C869" s="2">
        <v>6</v>
      </c>
      <c r="D869" s="1">
        <v>43801</v>
      </c>
      <c r="E869" t="str">
        <f>"201912023606"</f>
        <v>201912023606</v>
      </c>
      <c r="F869" t="str">
        <f>"Misce"</f>
        <v>Misce</v>
      </c>
      <c r="G869" s="2">
        <v>6</v>
      </c>
      <c r="H869" t="str">
        <f>"AMANDA NICOLE BRANTLEY"</f>
        <v>AMANDA NICOLE BRANTLEY</v>
      </c>
    </row>
    <row r="870" spans="1:8" x14ac:dyDescent="0.25">
      <c r="A870" t="s">
        <v>286</v>
      </c>
      <c r="B870">
        <v>129858</v>
      </c>
      <c r="C870" s="2">
        <v>6</v>
      </c>
      <c r="D870" s="1">
        <v>43801</v>
      </c>
      <c r="E870" t="str">
        <f>"201912023607"</f>
        <v>201912023607</v>
      </c>
      <c r="F870" t="str">
        <f>"Misce"</f>
        <v>Misce</v>
      </c>
      <c r="G870" s="2">
        <v>6</v>
      </c>
      <c r="H870" t="str">
        <f>"JENNIFER LOUISE FULLER"</f>
        <v>JENNIFER LOUISE FULLER</v>
      </c>
    </row>
    <row r="871" spans="1:8" x14ac:dyDescent="0.25">
      <c r="A871" t="s">
        <v>287</v>
      </c>
      <c r="B871">
        <v>129859</v>
      </c>
      <c r="C871" s="2">
        <v>6</v>
      </c>
      <c r="D871" s="1">
        <v>43801</v>
      </c>
      <c r="E871" t="str">
        <f>"201912023608"</f>
        <v>201912023608</v>
      </c>
      <c r="F871" t="str">
        <f>"Miscell"</f>
        <v>Miscell</v>
      </c>
      <c r="G871" s="2">
        <v>6</v>
      </c>
      <c r="H871" t="str">
        <f>"LESLIE EDWARD ROUTON"</f>
        <v>LESLIE EDWARD ROUTON</v>
      </c>
    </row>
    <row r="872" spans="1:8" x14ac:dyDescent="0.25">
      <c r="A872" t="s">
        <v>288</v>
      </c>
      <c r="B872">
        <v>129860</v>
      </c>
      <c r="C872" s="2">
        <v>6</v>
      </c>
      <c r="D872" s="1">
        <v>43801</v>
      </c>
      <c r="E872" t="str">
        <f>"201912023609"</f>
        <v>201912023609</v>
      </c>
      <c r="F872" t="str">
        <f>"Miscellaneous"</f>
        <v>Miscellaneous</v>
      </c>
      <c r="G872" s="2">
        <v>6</v>
      </c>
      <c r="H872" t="str">
        <f>"HENRY OCHOA"</f>
        <v>HENRY OCHOA</v>
      </c>
    </row>
    <row r="873" spans="1:8" x14ac:dyDescent="0.25">
      <c r="A873" t="s">
        <v>289</v>
      </c>
      <c r="B873">
        <v>129861</v>
      </c>
      <c r="C873" s="2">
        <v>6</v>
      </c>
      <c r="D873" s="1">
        <v>43801</v>
      </c>
      <c r="E873" t="str">
        <f>"201912023610"</f>
        <v>201912023610</v>
      </c>
      <c r="F873" t="str">
        <f>"Misce"</f>
        <v>Misce</v>
      </c>
      <c r="G873" s="2">
        <v>6</v>
      </c>
      <c r="H873" t="str">
        <f>"GEORGE CLIFTON WILKINS"</f>
        <v>GEORGE CLIFTON WILKINS</v>
      </c>
    </row>
    <row r="874" spans="1:8" x14ac:dyDescent="0.25">
      <c r="A874" t="s">
        <v>290</v>
      </c>
      <c r="B874">
        <v>129862</v>
      </c>
      <c r="C874" s="2">
        <v>6</v>
      </c>
      <c r="D874" s="1">
        <v>43801</v>
      </c>
      <c r="E874" t="str">
        <f>"201912023611"</f>
        <v>201912023611</v>
      </c>
      <c r="F874" t="str">
        <f>"Mi"</f>
        <v>Mi</v>
      </c>
      <c r="G874" s="2">
        <v>6</v>
      </c>
      <c r="H874" t="str">
        <f>"VIVIAN HANNEMANN CRAWFORD"</f>
        <v>VIVIAN HANNEMANN CRAWFORD</v>
      </c>
    </row>
    <row r="875" spans="1:8" x14ac:dyDescent="0.25">
      <c r="A875" t="s">
        <v>291</v>
      </c>
      <c r="B875">
        <v>129863</v>
      </c>
      <c r="C875" s="2">
        <v>6</v>
      </c>
      <c r="D875" s="1">
        <v>43801</v>
      </c>
      <c r="E875" t="str">
        <f>"201912023612"</f>
        <v>201912023612</v>
      </c>
      <c r="F875" t="str">
        <f>""</f>
        <v/>
      </c>
      <c r="G875" s="2">
        <v>6</v>
      </c>
      <c r="H875" t="str">
        <f>"JACQUELINE ELIZAB COX-CORREA"</f>
        <v>JACQUELINE ELIZAB COX-CORREA</v>
      </c>
    </row>
    <row r="876" spans="1:8" x14ac:dyDescent="0.25">
      <c r="A876" t="s">
        <v>292</v>
      </c>
      <c r="B876">
        <v>129864</v>
      </c>
      <c r="C876" s="2">
        <v>6</v>
      </c>
      <c r="D876" s="1">
        <v>43801</v>
      </c>
      <c r="E876" t="str">
        <f>"201912023613"</f>
        <v>201912023613</v>
      </c>
      <c r="F876" t="str">
        <f>"Miscellan"</f>
        <v>Miscellan</v>
      </c>
      <c r="G876" s="2">
        <v>6</v>
      </c>
      <c r="H876" t="str">
        <f>"BRADLEY DAVID CALL"</f>
        <v>BRADLEY DAVID CALL</v>
      </c>
    </row>
    <row r="877" spans="1:8" x14ac:dyDescent="0.25">
      <c r="A877" t="s">
        <v>293</v>
      </c>
      <c r="B877">
        <v>129865</v>
      </c>
      <c r="C877" s="2">
        <v>6</v>
      </c>
      <c r="D877" s="1">
        <v>43801</v>
      </c>
      <c r="E877" t="str">
        <f>"201912023614"</f>
        <v>201912023614</v>
      </c>
      <c r="F877" t="str">
        <f>"Miscella"</f>
        <v>Miscella</v>
      </c>
      <c r="G877" s="2">
        <v>6</v>
      </c>
      <c r="H877" t="str">
        <f>"JELISA DIONNE JOHNS"</f>
        <v>JELISA DIONNE JOHNS</v>
      </c>
    </row>
    <row r="878" spans="1:8" x14ac:dyDescent="0.25">
      <c r="A878" t="s">
        <v>294</v>
      </c>
      <c r="B878">
        <v>129866</v>
      </c>
      <c r="C878" s="2">
        <v>6</v>
      </c>
      <c r="D878" s="1">
        <v>43801</v>
      </c>
      <c r="E878" t="str">
        <f>"201912023615"</f>
        <v>201912023615</v>
      </c>
      <c r="F878" t="str">
        <f>"Miscella"</f>
        <v>Miscella</v>
      </c>
      <c r="G878" s="2">
        <v>6</v>
      </c>
      <c r="H878" t="str">
        <f>"REBEKAH KAY HERRICK"</f>
        <v>REBEKAH KAY HERRICK</v>
      </c>
    </row>
    <row r="879" spans="1:8" x14ac:dyDescent="0.25">
      <c r="A879" t="s">
        <v>295</v>
      </c>
      <c r="B879">
        <v>129867</v>
      </c>
      <c r="C879" s="2">
        <v>6</v>
      </c>
      <c r="D879" s="1">
        <v>43801</v>
      </c>
      <c r="E879" t="str">
        <f>"201912023616"</f>
        <v>201912023616</v>
      </c>
      <c r="F879" t="str">
        <f>"Miscella"</f>
        <v>Miscella</v>
      </c>
      <c r="G879" s="2">
        <v>6</v>
      </c>
      <c r="H879" t="str">
        <f>"MELANIE PUGH FRISKE"</f>
        <v>MELANIE PUGH FRISKE</v>
      </c>
    </row>
    <row r="880" spans="1:8" x14ac:dyDescent="0.25">
      <c r="A880" t="s">
        <v>296</v>
      </c>
      <c r="B880">
        <v>129868</v>
      </c>
      <c r="C880" s="2">
        <v>6</v>
      </c>
      <c r="D880" s="1">
        <v>43801</v>
      </c>
      <c r="E880" t="str">
        <f>"201912023617"</f>
        <v>201912023617</v>
      </c>
      <c r="F880" t="str">
        <f>"Miscell"</f>
        <v>Miscell</v>
      </c>
      <c r="G880" s="2">
        <v>6</v>
      </c>
      <c r="H880" t="str">
        <f>"JOSEPH PRESTON BULAK"</f>
        <v>JOSEPH PRESTON BULAK</v>
      </c>
    </row>
    <row r="881" spans="1:8" x14ac:dyDescent="0.25">
      <c r="A881" t="s">
        <v>297</v>
      </c>
      <c r="B881">
        <v>129869</v>
      </c>
      <c r="C881" s="2">
        <v>6</v>
      </c>
      <c r="D881" s="1">
        <v>43801</v>
      </c>
      <c r="E881" t="str">
        <f>"201912023618"</f>
        <v>201912023618</v>
      </c>
      <c r="F881" t="str">
        <f>"Miscellaneous"</f>
        <v>Miscellaneous</v>
      </c>
      <c r="G881" s="2">
        <v>6</v>
      </c>
      <c r="H881" t="str">
        <f>"OSCAR AGUIRRE"</f>
        <v>OSCAR AGUIRRE</v>
      </c>
    </row>
    <row r="882" spans="1:8" x14ac:dyDescent="0.25">
      <c r="A882" t="s">
        <v>298</v>
      </c>
      <c r="B882">
        <v>129870</v>
      </c>
      <c r="C882" s="2">
        <v>6</v>
      </c>
      <c r="D882" s="1">
        <v>43801</v>
      </c>
      <c r="E882" t="str">
        <f>"201912023619"</f>
        <v>201912023619</v>
      </c>
      <c r="F882" t="str">
        <f>"Miscell"</f>
        <v>Miscell</v>
      </c>
      <c r="G882" s="2">
        <v>6</v>
      </c>
      <c r="H882" t="str">
        <f>"JACQUELINE P GARRETT"</f>
        <v>JACQUELINE P GARRETT</v>
      </c>
    </row>
    <row r="883" spans="1:8" x14ac:dyDescent="0.25">
      <c r="A883" t="s">
        <v>299</v>
      </c>
      <c r="B883">
        <v>129871</v>
      </c>
      <c r="C883" s="2">
        <v>6</v>
      </c>
      <c r="D883" s="1">
        <v>43801</v>
      </c>
      <c r="E883" t="str">
        <f>"201912023620"</f>
        <v>201912023620</v>
      </c>
      <c r="F883" t="str">
        <f>"Misce"</f>
        <v>Misce</v>
      </c>
      <c r="G883" s="2">
        <v>6</v>
      </c>
      <c r="H883" t="str">
        <f>"SHANIGAN ORILLEY BAKER"</f>
        <v>SHANIGAN ORILLEY BAKER</v>
      </c>
    </row>
    <row r="884" spans="1:8" x14ac:dyDescent="0.25">
      <c r="A884" t="s">
        <v>300</v>
      </c>
      <c r="B884">
        <v>129872</v>
      </c>
      <c r="C884" s="2">
        <v>6</v>
      </c>
      <c r="D884" s="1">
        <v>43801</v>
      </c>
      <c r="E884" t="str">
        <f>"201912023621"</f>
        <v>201912023621</v>
      </c>
      <c r="F884" t="str">
        <f>"Miscellaneou"</f>
        <v>Miscellaneou</v>
      </c>
      <c r="G884" s="2">
        <v>6</v>
      </c>
      <c r="H884" t="str">
        <f>"RACHEL MARTINEZ"</f>
        <v>RACHEL MARTINEZ</v>
      </c>
    </row>
    <row r="885" spans="1:8" x14ac:dyDescent="0.25">
      <c r="A885" t="s">
        <v>301</v>
      </c>
      <c r="B885">
        <v>129873</v>
      </c>
      <c r="C885" s="2">
        <v>6</v>
      </c>
      <c r="D885" s="1">
        <v>43801</v>
      </c>
      <c r="E885" t="str">
        <f>"201912023622"</f>
        <v>201912023622</v>
      </c>
      <c r="F885" t="str">
        <f>"Miscellaneo"</f>
        <v>Miscellaneo</v>
      </c>
      <c r="G885" s="2">
        <v>6</v>
      </c>
      <c r="H885" t="str">
        <f>"BROOKE KAY MOORE"</f>
        <v>BROOKE KAY MOORE</v>
      </c>
    </row>
    <row r="886" spans="1:8" x14ac:dyDescent="0.25">
      <c r="A886" t="s">
        <v>302</v>
      </c>
      <c r="B886">
        <v>129874</v>
      </c>
      <c r="C886" s="2">
        <v>6</v>
      </c>
      <c r="D886" s="1">
        <v>43801</v>
      </c>
      <c r="E886" t="str">
        <f>"201912023623"</f>
        <v>201912023623</v>
      </c>
      <c r="F886" t="str">
        <f>"Misc"</f>
        <v>Misc</v>
      </c>
      <c r="G886" s="2">
        <v>6</v>
      </c>
      <c r="H886" t="str">
        <f>"JEANETTE WILLIAMS CLARK"</f>
        <v>JEANETTE WILLIAMS CLARK</v>
      </c>
    </row>
    <row r="887" spans="1:8" x14ac:dyDescent="0.25">
      <c r="A887" t="s">
        <v>303</v>
      </c>
      <c r="B887">
        <v>129875</v>
      </c>
      <c r="C887" s="2">
        <v>6</v>
      </c>
      <c r="D887" s="1">
        <v>43801</v>
      </c>
      <c r="E887" t="str">
        <f>"201912023624"</f>
        <v>201912023624</v>
      </c>
      <c r="F887" t="str">
        <f>"Miscell"</f>
        <v>Miscell</v>
      </c>
      <c r="G887" s="2">
        <v>6</v>
      </c>
      <c r="H887" t="str">
        <f>"PAUL ANTHONY PARNELL"</f>
        <v>PAUL ANTHONY PARNELL</v>
      </c>
    </row>
    <row r="888" spans="1:8" x14ac:dyDescent="0.25">
      <c r="A888" t="s">
        <v>304</v>
      </c>
      <c r="B888">
        <v>129876</v>
      </c>
      <c r="C888" s="2">
        <v>6</v>
      </c>
      <c r="D888" s="1">
        <v>43801</v>
      </c>
      <c r="E888" t="str">
        <f>"201912023625"</f>
        <v>201912023625</v>
      </c>
      <c r="F888" t="str">
        <f>"Miscella"</f>
        <v>Miscella</v>
      </c>
      <c r="G888" s="2">
        <v>6</v>
      </c>
      <c r="H888" t="str">
        <f>"LEO EDWARD GAERTNER"</f>
        <v>LEO EDWARD GAERTNER</v>
      </c>
    </row>
    <row r="889" spans="1:8" x14ac:dyDescent="0.25">
      <c r="A889" t="s">
        <v>305</v>
      </c>
      <c r="B889">
        <v>129877</v>
      </c>
      <c r="C889" s="2">
        <v>6</v>
      </c>
      <c r="D889" s="1">
        <v>43801</v>
      </c>
      <c r="E889" t="str">
        <f>"201912023626"</f>
        <v>201912023626</v>
      </c>
      <c r="F889" t="str">
        <f>"Miscel"</f>
        <v>Miscel</v>
      </c>
      <c r="G889" s="2">
        <v>6</v>
      </c>
      <c r="H889" t="str">
        <f>"MARK STEVEN BRANSFORD"</f>
        <v>MARK STEVEN BRANSFORD</v>
      </c>
    </row>
    <row r="890" spans="1:8" x14ac:dyDescent="0.25">
      <c r="A890" t="s">
        <v>306</v>
      </c>
      <c r="B890">
        <v>129878</v>
      </c>
      <c r="C890" s="2">
        <v>6</v>
      </c>
      <c r="D890" s="1">
        <v>43801</v>
      </c>
      <c r="E890" t="str">
        <f>"201912023627"</f>
        <v>201912023627</v>
      </c>
      <c r="F890" t="str">
        <f>"Miscellan"</f>
        <v>Miscellan</v>
      </c>
      <c r="G890" s="2">
        <v>6</v>
      </c>
      <c r="H890" t="str">
        <f>"SZENDE SZABO SMITH"</f>
        <v>SZENDE SZABO SMITH</v>
      </c>
    </row>
    <row r="891" spans="1:8" x14ac:dyDescent="0.25">
      <c r="A891" t="s">
        <v>307</v>
      </c>
      <c r="B891">
        <v>129879</v>
      </c>
      <c r="C891" s="2">
        <v>6</v>
      </c>
      <c r="D891" s="1">
        <v>43801</v>
      </c>
      <c r="E891" t="str">
        <f>"201912023628"</f>
        <v>201912023628</v>
      </c>
      <c r="F891" t="str">
        <f>"Miscellane"</f>
        <v>Miscellane</v>
      </c>
      <c r="G891" s="2">
        <v>6</v>
      </c>
      <c r="H891" t="str">
        <f>"JOHN WILLIAM HALL"</f>
        <v>JOHN WILLIAM HALL</v>
      </c>
    </row>
    <row r="892" spans="1:8" x14ac:dyDescent="0.25">
      <c r="A892" t="s">
        <v>308</v>
      </c>
      <c r="B892">
        <v>129880</v>
      </c>
      <c r="C892" s="2">
        <v>6</v>
      </c>
      <c r="D892" s="1">
        <v>43801</v>
      </c>
      <c r="E892" t="str">
        <f>"201912023629"</f>
        <v>201912023629</v>
      </c>
      <c r="F892" t="str">
        <f>"Miscel"</f>
        <v>Miscel</v>
      </c>
      <c r="G892" s="2">
        <v>6</v>
      </c>
      <c r="H892" t="str">
        <f>"BRETT ANTHONY FRANCIS"</f>
        <v>BRETT ANTHONY FRANCIS</v>
      </c>
    </row>
    <row r="893" spans="1:8" x14ac:dyDescent="0.25">
      <c r="A893" t="s">
        <v>309</v>
      </c>
      <c r="B893">
        <v>129881</v>
      </c>
      <c r="C893" s="2">
        <v>6</v>
      </c>
      <c r="D893" s="1">
        <v>43801</v>
      </c>
      <c r="E893" t="str">
        <f>"201912023630"</f>
        <v>201912023630</v>
      </c>
      <c r="F893" t="str">
        <f>"Mis"</f>
        <v>Mis</v>
      </c>
      <c r="G893" s="2">
        <v>6</v>
      </c>
      <c r="H893" t="str">
        <f>"KENNETH ALLEN CROCKER JR"</f>
        <v>KENNETH ALLEN CROCKER JR</v>
      </c>
    </row>
    <row r="894" spans="1:8" x14ac:dyDescent="0.25">
      <c r="A894" t="s">
        <v>310</v>
      </c>
      <c r="B894">
        <v>129882</v>
      </c>
      <c r="C894" s="2">
        <v>6</v>
      </c>
      <c r="D894" s="1">
        <v>43801</v>
      </c>
      <c r="E894" t="str">
        <f>"201912023631"</f>
        <v>201912023631</v>
      </c>
      <c r="F894" t="str">
        <f>"Miscellane"</f>
        <v>Miscellane</v>
      </c>
      <c r="G894" s="2">
        <v>6</v>
      </c>
      <c r="H894" t="str">
        <f>"TIFFANY DENEE COX"</f>
        <v>TIFFANY DENEE COX</v>
      </c>
    </row>
    <row r="895" spans="1:8" x14ac:dyDescent="0.25">
      <c r="A895" t="s">
        <v>311</v>
      </c>
      <c r="B895">
        <v>129883</v>
      </c>
      <c r="C895" s="2">
        <v>6</v>
      </c>
      <c r="D895" s="1">
        <v>43801</v>
      </c>
      <c r="E895" t="str">
        <f>"201912023632"</f>
        <v>201912023632</v>
      </c>
      <c r="F895" t="str">
        <f>"Miscellaneous"</f>
        <v>Miscellaneous</v>
      </c>
      <c r="G895" s="2">
        <v>6</v>
      </c>
      <c r="H895" t="str">
        <f>"CELIA DIAZ"</f>
        <v>CELIA DIAZ</v>
      </c>
    </row>
    <row r="896" spans="1:8" x14ac:dyDescent="0.25">
      <c r="A896" t="s">
        <v>312</v>
      </c>
      <c r="B896">
        <v>129884</v>
      </c>
      <c r="C896" s="2">
        <v>6</v>
      </c>
      <c r="D896" s="1">
        <v>43801</v>
      </c>
      <c r="E896" t="str">
        <f>"201912023633"</f>
        <v>201912023633</v>
      </c>
      <c r="F896" t="str">
        <f>"Miscella"</f>
        <v>Miscella</v>
      </c>
      <c r="G896" s="2">
        <v>6</v>
      </c>
      <c r="H896" t="str">
        <f>"SETH MAKAYNE PIERCE"</f>
        <v>SETH MAKAYNE PIERCE</v>
      </c>
    </row>
    <row r="897" spans="1:8" x14ac:dyDescent="0.25">
      <c r="A897" t="s">
        <v>313</v>
      </c>
      <c r="B897">
        <v>129885</v>
      </c>
      <c r="C897" s="2">
        <v>6</v>
      </c>
      <c r="D897" s="1">
        <v>43801</v>
      </c>
      <c r="E897" t="str">
        <f>"201912023634"</f>
        <v>201912023634</v>
      </c>
      <c r="F897" t="str">
        <f>"Miscellaneou"</f>
        <v>Miscellaneou</v>
      </c>
      <c r="G897" s="2">
        <v>6</v>
      </c>
      <c r="H897" t="str">
        <f>"KEN ALLEN HICKS"</f>
        <v>KEN ALLEN HICKS</v>
      </c>
    </row>
    <row r="898" spans="1:8" x14ac:dyDescent="0.25">
      <c r="A898" t="s">
        <v>314</v>
      </c>
      <c r="B898">
        <v>129886</v>
      </c>
      <c r="C898" s="2">
        <v>6</v>
      </c>
      <c r="D898" s="1">
        <v>43801</v>
      </c>
      <c r="E898" t="str">
        <f>"201912023635"</f>
        <v>201912023635</v>
      </c>
      <c r="F898" t="str">
        <f>"Mis"</f>
        <v>Mis</v>
      </c>
      <c r="G898" s="2">
        <v>6</v>
      </c>
      <c r="H898" t="str">
        <f>"WILLIAM CLAYTON SCHUELKE"</f>
        <v>WILLIAM CLAYTON SCHUELKE</v>
      </c>
    </row>
    <row r="899" spans="1:8" x14ac:dyDescent="0.25">
      <c r="A899" t="s">
        <v>315</v>
      </c>
      <c r="B899">
        <v>129887</v>
      </c>
      <c r="C899" s="2">
        <v>6</v>
      </c>
      <c r="D899" s="1">
        <v>43801</v>
      </c>
      <c r="E899" t="str">
        <f>"201912023636"</f>
        <v>201912023636</v>
      </c>
      <c r="F899" t="str">
        <f>"Miscellaneous"</f>
        <v>Miscellaneous</v>
      </c>
      <c r="G899" s="2">
        <v>6</v>
      </c>
      <c r="H899" t="str">
        <f>"ARLENE ANDRADE"</f>
        <v>ARLENE ANDRADE</v>
      </c>
    </row>
    <row r="900" spans="1:8" x14ac:dyDescent="0.25">
      <c r="A900" t="s">
        <v>316</v>
      </c>
      <c r="B900">
        <v>129888</v>
      </c>
      <c r="C900" s="2">
        <v>6</v>
      </c>
      <c r="D900" s="1">
        <v>43801</v>
      </c>
      <c r="E900" t="str">
        <f>"201912023637"</f>
        <v>201912023637</v>
      </c>
      <c r="F900" t="str">
        <f>"Mis"</f>
        <v>Mis</v>
      </c>
      <c r="G900" s="2">
        <v>6</v>
      </c>
      <c r="H900" t="str">
        <f>"TIMOTHY WAYNE KILPATRICK"</f>
        <v>TIMOTHY WAYNE KILPATRICK</v>
      </c>
    </row>
    <row r="901" spans="1:8" x14ac:dyDescent="0.25">
      <c r="A901" t="s">
        <v>317</v>
      </c>
      <c r="B901">
        <v>129889</v>
      </c>
      <c r="C901" s="2">
        <v>6</v>
      </c>
      <c r="D901" s="1">
        <v>43801</v>
      </c>
      <c r="E901" t="str">
        <f>"201912023638"</f>
        <v>201912023638</v>
      </c>
      <c r="F901" t="str">
        <f>"Miscell"</f>
        <v>Miscell</v>
      </c>
      <c r="G901" s="2">
        <v>6</v>
      </c>
      <c r="H901" t="str">
        <f>"PRECILLA R ROBERTSON"</f>
        <v>PRECILLA R ROBERTSON</v>
      </c>
    </row>
    <row r="902" spans="1:8" x14ac:dyDescent="0.25">
      <c r="A902" t="s">
        <v>318</v>
      </c>
      <c r="B902">
        <v>129890</v>
      </c>
      <c r="C902" s="2">
        <v>6</v>
      </c>
      <c r="D902" s="1">
        <v>43801</v>
      </c>
      <c r="E902" t="str">
        <f>"201912023639"</f>
        <v>201912023639</v>
      </c>
      <c r="F902" t="str">
        <f>"Miscellan"</f>
        <v>Miscellan</v>
      </c>
      <c r="G902" s="2">
        <v>6</v>
      </c>
      <c r="H902" t="str">
        <f>"VICKI POPE WOFFORD"</f>
        <v>VICKI POPE WOFFORD</v>
      </c>
    </row>
    <row r="903" spans="1:8" x14ac:dyDescent="0.25">
      <c r="A903" t="s">
        <v>319</v>
      </c>
      <c r="B903">
        <v>129891</v>
      </c>
      <c r="C903" s="2">
        <v>6</v>
      </c>
      <c r="D903" s="1">
        <v>43801</v>
      </c>
      <c r="E903" t="str">
        <f>"201912023640"</f>
        <v>201912023640</v>
      </c>
      <c r="F903" t="str">
        <f>"Miscell"</f>
        <v>Miscell</v>
      </c>
      <c r="G903" s="2">
        <v>6</v>
      </c>
      <c r="H903" t="str">
        <f>"LEE ALLAN HESELMEYER"</f>
        <v>LEE ALLAN HESELMEYER</v>
      </c>
    </row>
    <row r="904" spans="1:8" x14ac:dyDescent="0.25">
      <c r="A904" t="s">
        <v>320</v>
      </c>
      <c r="B904">
        <v>129892</v>
      </c>
      <c r="C904" s="2">
        <v>6</v>
      </c>
      <c r="D904" s="1">
        <v>43801</v>
      </c>
      <c r="E904" t="str">
        <f>"201912023641"</f>
        <v>201912023641</v>
      </c>
      <c r="F904" t="str">
        <f>"Miscellane"</f>
        <v>Miscellane</v>
      </c>
      <c r="G904" s="2">
        <v>6</v>
      </c>
      <c r="H904" t="str">
        <f>"CHARLIE RAY BLASA"</f>
        <v>CHARLIE RAY BLASA</v>
      </c>
    </row>
    <row r="905" spans="1:8" x14ac:dyDescent="0.25">
      <c r="A905" t="s">
        <v>321</v>
      </c>
      <c r="B905">
        <v>129893</v>
      </c>
      <c r="C905" s="2">
        <v>6</v>
      </c>
      <c r="D905" s="1">
        <v>43801</v>
      </c>
      <c r="E905" t="str">
        <f>"201912023642"</f>
        <v>201912023642</v>
      </c>
      <c r="F905" t="str">
        <f>"Misce"</f>
        <v>Misce</v>
      </c>
      <c r="G905" s="2">
        <v>6</v>
      </c>
      <c r="H905" t="str">
        <f>"DALTON GENE ELLIOTT JR"</f>
        <v>DALTON GENE ELLIOTT JR</v>
      </c>
    </row>
    <row r="906" spans="1:8" x14ac:dyDescent="0.25">
      <c r="A906" t="s">
        <v>322</v>
      </c>
      <c r="B906">
        <v>129894</v>
      </c>
      <c r="C906" s="2">
        <v>6</v>
      </c>
      <c r="D906" s="1">
        <v>43801</v>
      </c>
      <c r="E906" t="str">
        <f>"201912023643"</f>
        <v>201912023643</v>
      </c>
      <c r="F906" t="str">
        <f>"Miscel"</f>
        <v>Miscel</v>
      </c>
      <c r="G906" s="2">
        <v>6</v>
      </c>
      <c r="H906" t="str">
        <f>"RHONDA GAYLE JOHNSTON"</f>
        <v>RHONDA GAYLE JOHNSTON</v>
      </c>
    </row>
    <row r="907" spans="1:8" x14ac:dyDescent="0.25">
      <c r="A907" t="s">
        <v>323</v>
      </c>
      <c r="B907">
        <v>129895</v>
      </c>
      <c r="C907" s="2">
        <v>6</v>
      </c>
      <c r="D907" s="1">
        <v>43801</v>
      </c>
      <c r="E907" t="str">
        <f>"201912023644"</f>
        <v>201912023644</v>
      </c>
      <c r="F907" t="str">
        <f>"Miscellan"</f>
        <v>Miscellan</v>
      </c>
      <c r="G907" s="2">
        <v>6</v>
      </c>
      <c r="H907" t="str">
        <f>"DUSTIN KEITH YATES"</f>
        <v>DUSTIN KEITH YATES</v>
      </c>
    </row>
    <row r="908" spans="1:8" x14ac:dyDescent="0.25">
      <c r="A908" t="s">
        <v>324</v>
      </c>
      <c r="B908">
        <v>129896</v>
      </c>
      <c r="C908" s="2">
        <v>6</v>
      </c>
      <c r="D908" s="1">
        <v>43801</v>
      </c>
      <c r="E908" t="str">
        <f>"201912023645"</f>
        <v>201912023645</v>
      </c>
      <c r="F908" t="str">
        <f>"Miscellane"</f>
        <v>Miscellane</v>
      </c>
      <c r="G908" s="2">
        <v>6</v>
      </c>
      <c r="H908" t="str">
        <f>"JERRY DAVID FLYNN"</f>
        <v>JERRY DAVID FLYNN</v>
      </c>
    </row>
    <row r="909" spans="1:8" x14ac:dyDescent="0.25">
      <c r="A909" t="s">
        <v>325</v>
      </c>
      <c r="B909">
        <v>129897</v>
      </c>
      <c r="C909" s="2">
        <v>6</v>
      </c>
      <c r="D909" s="1">
        <v>43801</v>
      </c>
      <c r="E909" t="str">
        <f>"201912023646"</f>
        <v>201912023646</v>
      </c>
      <c r="F909" t="str">
        <f>"Miscella"</f>
        <v>Miscella</v>
      </c>
      <c r="G909" s="2">
        <v>6</v>
      </c>
      <c r="H909" t="str">
        <f>"BILL THOMAS TALBERT"</f>
        <v>BILL THOMAS TALBERT</v>
      </c>
    </row>
    <row r="910" spans="1:8" x14ac:dyDescent="0.25">
      <c r="A910" t="s">
        <v>326</v>
      </c>
      <c r="B910">
        <v>129898</v>
      </c>
      <c r="C910" s="2">
        <v>6</v>
      </c>
      <c r="D910" s="1">
        <v>43801</v>
      </c>
      <c r="E910" t="str">
        <f>"201912023647"</f>
        <v>201912023647</v>
      </c>
      <c r="F910" t="str">
        <f>"Misce"</f>
        <v>Misce</v>
      </c>
      <c r="G910" s="2">
        <v>6</v>
      </c>
      <c r="H910" t="str">
        <f>"SHANNON MARISA MARANDA"</f>
        <v>SHANNON MARISA MARANDA</v>
      </c>
    </row>
    <row r="911" spans="1:8" x14ac:dyDescent="0.25">
      <c r="A911" t="s">
        <v>327</v>
      </c>
      <c r="B911">
        <v>129899</v>
      </c>
      <c r="C911" s="2">
        <v>6</v>
      </c>
      <c r="D911" s="1">
        <v>43801</v>
      </c>
      <c r="E911" t="str">
        <f>"201912023648"</f>
        <v>201912023648</v>
      </c>
      <c r="F911" t="str">
        <f>"Miscella"</f>
        <v>Miscella</v>
      </c>
      <c r="G911" s="2">
        <v>6</v>
      </c>
      <c r="H911" t="str">
        <f>"MAGDA YVONNE PINEDA"</f>
        <v>MAGDA YVONNE PINEDA</v>
      </c>
    </row>
    <row r="912" spans="1:8" x14ac:dyDescent="0.25">
      <c r="A912" t="s">
        <v>328</v>
      </c>
      <c r="B912">
        <v>129900</v>
      </c>
      <c r="C912" s="2">
        <v>6</v>
      </c>
      <c r="D912" s="1">
        <v>43801</v>
      </c>
      <c r="E912" t="str">
        <f>"201912023649"</f>
        <v>201912023649</v>
      </c>
      <c r="F912" t="str">
        <f>"Miscella"</f>
        <v>Miscella</v>
      </c>
      <c r="G912" s="2">
        <v>6</v>
      </c>
      <c r="H912" t="str">
        <f>"SHERYL LYNNE UPTMOR"</f>
        <v>SHERYL LYNNE UPTMOR</v>
      </c>
    </row>
    <row r="913" spans="1:8" x14ac:dyDescent="0.25">
      <c r="A913" t="s">
        <v>329</v>
      </c>
      <c r="B913">
        <v>129901</v>
      </c>
      <c r="C913" s="2">
        <v>6</v>
      </c>
      <c r="D913" s="1">
        <v>43801</v>
      </c>
      <c r="E913" t="str">
        <f>"201912023650"</f>
        <v>201912023650</v>
      </c>
      <c r="F913" t="str">
        <f>"Misc"</f>
        <v>Misc</v>
      </c>
      <c r="G913" s="2">
        <v>6</v>
      </c>
      <c r="H913" t="str">
        <f>"JESSICA GUEVARA CORDERO"</f>
        <v>JESSICA GUEVARA CORDERO</v>
      </c>
    </row>
    <row r="914" spans="1:8" x14ac:dyDescent="0.25">
      <c r="A914" t="s">
        <v>330</v>
      </c>
      <c r="B914">
        <v>129902</v>
      </c>
      <c r="C914" s="2">
        <v>6</v>
      </c>
      <c r="D914" s="1">
        <v>43801</v>
      </c>
      <c r="E914" t="str">
        <f>"201912023651"</f>
        <v>201912023651</v>
      </c>
      <c r="F914" t="str">
        <f>"Misce"</f>
        <v>Misce</v>
      </c>
      <c r="G914" s="2">
        <v>6</v>
      </c>
      <c r="H914" t="str">
        <f>"AMANDA ELAINE MARTINEZ"</f>
        <v>AMANDA ELAINE MARTINEZ</v>
      </c>
    </row>
    <row r="915" spans="1:8" x14ac:dyDescent="0.25">
      <c r="A915" t="s">
        <v>331</v>
      </c>
      <c r="B915">
        <v>129903</v>
      </c>
      <c r="C915" s="2">
        <v>6</v>
      </c>
      <c r="D915" s="1">
        <v>43801</v>
      </c>
      <c r="E915" t="str">
        <f>"201912023652"</f>
        <v>201912023652</v>
      </c>
      <c r="F915" t="str">
        <f>"Miscell"</f>
        <v>Miscell</v>
      </c>
      <c r="G915" s="2">
        <v>6</v>
      </c>
      <c r="H915" t="str">
        <f>"CLAY ROYAL BARKER SR"</f>
        <v>CLAY ROYAL BARKER SR</v>
      </c>
    </row>
    <row r="916" spans="1:8" x14ac:dyDescent="0.25">
      <c r="A916" t="s">
        <v>332</v>
      </c>
      <c r="B916">
        <v>129904</v>
      </c>
      <c r="C916" s="2">
        <v>6</v>
      </c>
      <c r="D916" s="1">
        <v>43801</v>
      </c>
      <c r="E916" t="str">
        <f>"201912023653"</f>
        <v>201912023653</v>
      </c>
      <c r="F916" t="str">
        <f>"Miscell"</f>
        <v>Miscell</v>
      </c>
      <c r="G916" s="2">
        <v>6</v>
      </c>
      <c r="H916" t="str">
        <f>"LAURA EVONNE MCCARTY"</f>
        <v>LAURA EVONNE MCCARTY</v>
      </c>
    </row>
    <row r="917" spans="1:8" x14ac:dyDescent="0.25">
      <c r="A917" t="s">
        <v>333</v>
      </c>
      <c r="B917">
        <v>130080</v>
      </c>
      <c r="C917" s="2">
        <v>72</v>
      </c>
      <c r="D917" s="1">
        <v>43812</v>
      </c>
      <c r="E917" t="str">
        <f>"201912134064"</f>
        <v>201912134064</v>
      </c>
      <c r="F917" t="str">
        <f>"Miscell"</f>
        <v>Miscell</v>
      </c>
      <c r="G917" s="2">
        <v>72</v>
      </c>
      <c r="H917" t="str">
        <f>"Family Crisis Center"</f>
        <v>Family Crisis Center</v>
      </c>
    </row>
    <row r="918" spans="1:8" x14ac:dyDescent="0.25">
      <c r="A918" t="s">
        <v>334</v>
      </c>
      <c r="B918">
        <v>130081</v>
      </c>
      <c r="C918" s="2">
        <v>78</v>
      </c>
      <c r="D918" s="1">
        <v>43812</v>
      </c>
      <c r="E918" t="str">
        <f>"201912134065"</f>
        <v>201912134065</v>
      </c>
      <c r="F918" t="str">
        <f>"M"</f>
        <v>M</v>
      </c>
      <c r="G918" s="2">
        <v>78</v>
      </c>
      <c r="H918" t="str">
        <f>"Children's Advocacy Center"</f>
        <v>Children's Advocacy Center</v>
      </c>
    </row>
    <row r="919" spans="1:8" x14ac:dyDescent="0.25">
      <c r="A919" t="s">
        <v>335</v>
      </c>
      <c r="B919">
        <v>130082</v>
      </c>
      <c r="C919" s="2">
        <v>60</v>
      </c>
      <c r="D919" s="1">
        <v>43812</v>
      </c>
      <c r="E919" t="str">
        <f>"201912134066"</f>
        <v>201912134066</v>
      </c>
      <c r="F919" t="str">
        <f>""</f>
        <v/>
      </c>
      <c r="G919" s="2">
        <v>60</v>
      </c>
      <c r="H919" t="str">
        <f>"COURT APPOINTED SPECIAL ADVOCA"</f>
        <v>COURT APPOINTED SPECIAL ADVOCA</v>
      </c>
    </row>
    <row r="920" spans="1:8" x14ac:dyDescent="0.25">
      <c r="A920" t="s">
        <v>336</v>
      </c>
      <c r="B920">
        <v>130083</v>
      </c>
      <c r="C920" s="2">
        <v>42</v>
      </c>
      <c r="D920" s="1">
        <v>43812</v>
      </c>
      <c r="E920" t="str">
        <f>"201912134067"</f>
        <v>201912134067</v>
      </c>
      <c r="F920" t="str">
        <f>"Mi"</f>
        <v>Mi</v>
      </c>
      <c r="G920" s="2">
        <v>42</v>
      </c>
      <c r="H920" t="str">
        <f>"Child Protective Services"</f>
        <v>Child Protective Services</v>
      </c>
    </row>
    <row r="921" spans="1:8" x14ac:dyDescent="0.25">
      <c r="A921" t="s">
        <v>337</v>
      </c>
      <c r="B921">
        <v>130084</v>
      </c>
      <c r="C921" s="2">
        <v>6</v>
      </c>
      <c r="D921" s="1">
        <v>43812</v>
      </c>
      <c r="E921" t="str">
        <f>"201912134068"</f>
        <v>201912134068</v>
      </c>
      <c r="F921" t="str">
        <f>"Miscella"</f>
        <v>Miscella</v>
      </c>
      <c r="G921" s="2">
        <v>6</v>
      </c>
      <c r="H921" t="str">
        <f>"MONICA ROSE BARTSCH"</f>
        <v>MONICA ROSE BARTSCH</v>
      </c>
    </row>
    <row r="922" spans="1:8" x14ac:dyDescent="0.25">
      <c r="A922" t="s">
        <v>338</v>
      </c>
      <c r="B922">
        <v>130085</v>
      </c>
      <c r="C922" s="2">
        <v>6</v>
      </c>
      <c r="D922" s="1">
        <v>43812</v>
      </c>
      <c r="E922" t="str">
        <f>"201912134069"</f>
        <v>201912134069</v>
      </c>
      <c r="F922" t="str">
        <f>"Miscellan"</f>
        <v>Miscellan</v>
      </c>
      <c r="G922" s="2">
        <v>6</v>
      </c>
      <c r="H922" t="str">
        <f>"MICHAEL JOHN WELCH"</f>
        <v>MICHAEL JOHN WELCH</v>
      </c>
    </row>
    <row r="923" spans="1:8" x14ac:dyDescent="0.25">
      <c r="A923" t="s">
        <v>339</v>
      </c>
      <c r="B923">
        <v>130086</v>
      </c>
      <c r="C923" s="2">
        <v>6</v>
      </c>
      <c r="D923" s="1">
        <v>43812</v>
      </c>
      <c r="E923" t="str">
        <f>"201912134070"</f>
        <v>201912134070</v>
      </c>
      <c r="F923" t="str">
        <f>"Miscella"</f>
        <v>Miscella</v>
      </c>
      <c r="G923" s="2">
        <v>6</v>
      </c>
      <c r="H923" t="str">
        <f>"RONALD DEAN SHULMAN"</f>
        <v>RONALD DEAN SHULMAN</v>
      </c>
    </row>
    <row r="924" spans="1:8" x14ac:dyDescent="0.25">
      <c r="A924" t="s">
        <v>340</v>
      </c>
      <c r="B924">
        <v>130087</v>
      </c>
      <c r="C924" s="2">
        <v>6</v>
      </c>
      <c r="D924" s="1">
        <v>43812</v>
      </c>
      <c r="E924" t="str">
        <f>"201912134071"</f>
        <v>201912134071</v>
      </c>
      <c r="F924" t="str">
        <f>"Misce"</f>
        <v>Misce</v>
      </c>
      <c r="G924" s="2">
        <v>6</v>
      </c>
      <c r="H924" t="str">
        <f>"GORDEN JAMES BROUSSARD"</f>
        <v>GORDEN JAMES BROUSSARD</v>
      </c>
    </row>
    <row r="925" spans="1:8" x14ac:dyDescent="0.25">
      <c r="A925" t="s">
        <v>341</v>
      </c>
      <c r="B925">
        <v>130088</v>
      </c>
      <c r="C925" s="2">
        <v>6</v>
      </c>
      <c r="D925" s="1">
        <v>43812</v>
      </c>
      <c r="E925" t="str">
        <f>"201912134072"</f>
        <v>201912134072</v>
      </c>
      <c r="F925" t="str">
        <f>"Miscella"</f>
        <v>Miscella</v>
      </c>
      <c r="G925" s="2">
        <v>6</v>
      </c>
      <c r="H925" t="str">
        <f>"JANE HUBBARD WRIGHT"</f>
        <v>JANE HUBBARD WRIGHT</v>
      </c>
    </row>
    <row r="926" spans="1:8" x14ac:dyDescent="0.25">
      <c r="A926" t="s">
        <v>342</v>
      </c>
      <c r="B926">
        <v>130089</v>
      </c>
      <c r="C926" s="2">
        <v>6</v>
      </c>
      <c r="D926" s="1">
        <v>43812</v>
      </c>
      <c r="E926" t="str">
        <f>"201912134073"</f>
        <v>201912134073</v>
      </c>
      <c r="F926" t="str">
        <f>"Miscel"</f>
        <v>Miscel</v>
      </c>
      <c r="G926" s="2">
        <v>6</v>
      </c>
      <c r="H926" t="str">
        <f>"ZACHARY POWELL ARMOUR"</f>
        <v>ZACHARY POWELL ARMOUR</v>
      </c>
    </row>
    <row r="927" spans="1:8" x14ac:dyDescent="0.25">
      <c r="A927" t="s">
        <v>343</v>
      </c>
      <c r="B927">
        <v>130090</v>
      </c>
      <c r="C927" s="2">
        <v>6</v>
      </c>
      <c r="D927" s="1">
        <v>43812</v>
      </c>
      <c r="E927" t="str">
        <f>"201912134074"</f>
        <v>201912134074</v>
      </c>
      <c r="F927" t="str">
        <f>"Miscellan"</f>
        <v>Miscellan</v>
      </c>
      <c r="G927" s="2">
        <v>6</v>
      </c>
      <c r="H927" t="str">
        <f>"DYLAN AUSTIN BRITO"</f>
        <v>DYLAN AUSTIN BRITO</v>
      </c>
    </row>
    <row r="928" spans="1:8" x14ac:dyDescent="0.25">
      <c r="A928" t="s">
        <v>344</v>
      </c>
      <c r="B928">
        <v>130091</v>
      </c>
      <c r="C928" s="2">
        <v>6</v>
      </c>
      <c r="D928" s="1">
        <v>43812</v>
      </c>
      <c r="E928" t="str">
        <f>"201912134075"</f>
        <v>201912134075</v>
      </c>
      <c r="F928" t="str">
        <f>"Miscellane"</f>
        <v>Miscellane</v>
      </c>
      <c r="G928" s="2">
        <v>6</v>
      </c>
      <c r="H928" t="str">
        <f>"SAM BRIAN WILHELM"</f>
        <v>SAM BRIAN WILHELM</v>
      </c>
    </row>
    <row r="929" spans="1:8" x14ac:dyDescent="0.25">
      <c r="A929" t="s">
        <v>345</v>
      </c>
      <c r="B929">
        <v>130092</v>
      </c>
      <c r="C929" s="2">
        <v>6</v>
      </c>
      <c r="D929" s="1">
        <v>43812</v>
      </c>
      <c r="E929" t="str">
        <f>"201912134076"</f>
        <v>201912134076</v>
      </c>
      <c r="F929" t="str">
        <f>"Miscel"</f>
        <v>Miscel</v>
      </c>
      <c r="G929" s="2">
        <v>6</v>
      </c>
      <c r="H929" t="str">
        <f>"CHARLES WALTER TARKET"</f>
        <v>CHARLES WALTER TARKET</v>
      </c>
    </row>
    <row r="930" spans="1:8" x14ac:dyDescent="0.25">
      <c r="A930" t="s">
        <v>346</v>
      </c>
      <c r="B930">
        <v>130093</v>
      </c>
      <c r="C930" s="2">
        <v>6</v>
      </c>
      <c r="D930" s="1">
        <v>43812</v>
      </c>
      <c r="E930" t="str">
        <f>"201912134077"</f>
        <v>201912134077</v>
      </c>
      <c r="F930" t="str">
        <f>"Misce"</f>
        <v>Misce</v>
      </c>
      <c r="G930" s="2">
        <v>6</v>
      </c>
      <c r="H930" t="str">
        <f>"DARRELL LESLIE CARROLL"</f>
        <v>DARRELL LESLIE CARROLL</v>
      </c>
    </row>
    <row r="931" spans="1:8" x14ac:dyDescent="0.25">
      <c r="A931" t="s">
        <v>347</v>
      </c>
      <c r="B931">
        <v>130094</v>
      </c>
      <c r="C931" s="2">
        <v>6</v>
      </c>
      <c r="D931" s="1">
        <v>43812</v>
      </c>
      <c r="E931" t="str">
        <f>"201912134078"</f>
        <v>201912134078</v>
      </c>
      <c r="F931" t="str">
        <f>"Miscell"</f>
        <v>Miscell</v>
      </c>
      <c r="G931" s="2">
        <v>6</v>
      </c>
      <c r="H931" t="str">
        <f>"MALINDA JEAN BENNETT"</f>
        <v>MALINDA JEAN BENNETT</v>
      </c>
    </row>
    <row r="932" spans="1:8" x14ac:dyDescent="0.25">
      <c r="A932" t="s">
        <v>348</v>
      </c>
      <c r="B932">
        <v>130095</v>
      </c>
      <c r="C932" s="2">
        <v>6</v>
      </c>
      <c r="D932" s="1">
        <v>43812</v>
      </c>
      <c r="E932" t="str">
        <f>"201912134079"</f>
        <v>201912134079</v>
      </c>
      <c r="F932" t="str">
        <f>"Miscellaneo"</f>
        <v>Miscellaneo</v>
      </c>
      <c r="G932" s="2">
        <v>6</v>
      </c>
      <c r="H932" t="str">
        <f>"RAMIRO ALONZO JR"</f>
        <v>RAMIRO ALONZO JR</v>
      </c>
    </row>
    <row r="933" spans="1:8" x14ac:dyDescent="0.25">
      <c r="A933" t="s">
        <v>349</v>
      </c>
      <c r="B933">
        <v>130096</v>
      </c>
      <c r="C933" s="2">
        <v>6</v>
      </c>
      <c r="D933" s="1">
        <v>43812</v>
      </c>
      <c r="E933" t="str">
        <f>"201912134080"</f>
        <v>201912134080</v>
      </c>
      <c r="F933" t="str">
        <f>"Mis"</f>
        <v>Mis</v>
      </c>
      <c r="G933" s="2">
        <v>6</v>
      </c>
      <c r="H933" t="str">
        <f>"ROSCHELLE RENAE WILLIAMS"</f>
        <v>ROSCHELLE RENAE WILLIAMS</v>
      </c>
    </row>
    <row r="934" spans="1:8" x14ac:dyDescent="0.25">
      <c r="A934" t="s">
        <v>350</v>
      </c>
      <c r="B934">
        <v>130097</v>
      </c>
      <c r="C934" s="2">
        <v>6</v>
      </c>
      <c r="D934" s="1">
        <v>43812</v>
      </c>
      <c r="E934" t="str">
        <f>"201912134081"</f>
        <v>201912134081</v>
      </c>
      <c r="F934" t="str">
        <f>"Miscel"</f>
        <v>Miscel</v>
      </c>
      <c r="G934" s="2">
        <v>6</v>
      </c>
      <c r="H934" t="str">
        <f>"HOWARD GENE HOLMES JR"</f>
        <v>HOWARD GENE HOLMES JR</v>
      </c>
    </row>
    <row r="935" spans="1:8" x14ac:dyDescent="0.25">
      <c r="A935" t="s">
        <v>351</v>
      </c>
      <c r="B935">
        <v>130098</v>
      </c>
      <c r="C935" s="2">
        <v>6</v>
      </c>
      <c r="D935" s="1">
        <v>43812</v>
      </c>
      <c r="E935" t="str">
        <f>"201912134082"</f>
        <v>201912134082</v>
      </c>
      <c r="F935" t="str">
        <f>"Misc"</f>
        <v>Misc</v>
      </c>
      <c r="G935" s="2">
        <v>6</v>
      </c>
      <c r="H935" t="str">
        <f>"ROSEMARIE FRANCIS GRIMM"</f>
        <v>ROSEMARIE FRANCIS GRIMM</v>
      </c>
    </row>
    <row r="936" spans="1:8" x14ac:dyDescent="0.25">
      <c r="A936" t="s">
        <v>352</v>
      </c>
      <c r="B936">
        <v>130099</v>
      </c>
      <c r="C936" s="2">
        <v>6</v>
      </c>
      <c r="D936" s="1">
        <v>43812</v>
      </c>
      <c r="E936" t="str">
        <f>"201912134083"</f>
        <v>201912134083</v>
      </c>
      <c r="F936" t="str">
        <f>"Misce"</f>
        <v>Misce</v>
      </c>
      <c r="G936" s="2">
        <v>6</v>
      </c>
      <c r="H936" t="str">
        <f>"JENIFFER LEE CONCIENNE"</f>
        <v>JENIFFER LEE CONCIENNE</v>
      </c>
    </row>
    <row r="937" spans="1:8" x14ac:dyDescent="0.25">
      <c r="A937" t="s">
        <v>353</v>
      </c>
      <c r="B937">
        <v>130100</v>
      </c>
      <c r="C937" s="2">
        <v>6</v>
      </c>
      <c r="D937" s="1">
        <v>43812</v>
      </c>
      <c r="E937" t="str">
        <f>"201912134084"</f>
        <v>201912134084</v>
      </c>
      <c r="F937" t="str">
        <f>"Miscellan"</f>
        <v>Miscellan</v>
      </c>
      <c r="G937" s="2">
        <v>6</v>
      </c>
      <c r="H937" t="str">
        <f>"JASON PHILIP MYERS"</f>
        <v>JASON PHILIP MYERS</v>
      </c>
    </row>
    <row r="938" spans="1:8" x14ac:dyDescent="0.25">
      <c r="A938" t="s">
        <v>354</v>
      </c>
      <c r="B938">
        <v>130101</v>
      </c>
      <c r="C938" s="2">
        <v>6</v>
      </c>
      <c r="D938" s="1">
        <v>43812</v>
      </c>
      <c r="E938" t="str">
        <f>"201912134085"</f>
        <v>201912134085</v>
      </c>
      <c r="F938" t="str">
        <f>"Miscellaneous"</f>
        <v>Miscellaneous</v>
      </c>
      <c r="G938" s="2">
        <v>6</v>
      </c>
      <c r="H938" t="str">
        <f>"EDDY RAY SCOTT"</f>
        <v>EDDY RAY SCOTT</v>
      </c>
    </row>
    <row r="939" spans="1:8" x14ac:dyDescent="0.25">
      <c r="A939" t="s">
        <v>355</v>
      </c>
      <c r="B939">
        <v>130102</v>
      </c>
      <c r="C939" s="2">
        <v>6</v>
      </c>
      <c r="D939" s="1">
        <v>43812</v>
      </c>
      <c r="E939" t="str">
        <f>"201912134086"</f>
        <v>201912134086</v>
      </c>
      <c r="F939" t="str">
        <f>"Mi"</f>
        <v>Mi</v>
      </c>
      <c r="G939" s="2">
        <v>6</v>
      </c>
      <c r="H939" t="str">
        <f>"MICHELLE DENISE NICHOLSON"</f>
        <v>MICHELLE DENISE NICHOLSON</v>
      </c>
    </row>
    <row r="940" spans="1:8" x14ac:dyDescent="0.25">
      <c r="A940" t="s">
        <v>356</v>
      </c>
      <c r="B940">
        <v>130103</v>
      </c>
      <c r="C940" s="2">
        <v>6</v>
      </c>
      <c r="D940" s="1">
        <v>43812</v>
      </c>
      <c r="E940" t="str">
        <f>"201912134087"</f>
        <v>201912134087</v>
      </c>
      <c r="F940" t="str">
        <f>"Miscella"</f>
        <v>Miscella</v>
      </c>
      <c r="G940" s="2">
        <v>6</v>
      </c>
      <c r="H940" t="str">
        <f>"ROY LYNN MCCRARY SR"</f>
        <v>ROY LYNN MCCRARY SR</v>
      </c>
    </row>
    <row r="941" spans="1:8" x14ac:dyDescent="0.25">
      <c r="A941" t="s">
        <v>357</v>
      </c>
      <c r="B941">
        <v>130104</v>
      </c>
      <c r="C941" s="2">
        <v>6</v>
      </c>
      <c r="D941" s="1">
        <v>43812</v>
      </c>
      <c r="E941" t="str">
        <f>"201912134088"</f>
        <v>201912134088</v>
      </c>
      <c r="F941" t="str">
        <f>"Miscellaneous"</f>
        <v>Miscellaneous</v>
      </c>
      <c r="G941" s="2">
        <v>6</v>
      </c>
      <c r="H941" t="str">
        <f>"URAL DEAN WADE"</f>
        <v>URAL DEAN WADE</v>
      </c>
    </row>
    <row r="942" spans="1:8" x14ac:dyDescent="0.25">
      <c r="A942" t="s">
        <v>358</v>
      </c>
      <c r="B942">
        <v>130105</v>
      </c>
      <c r="C942" s="2">
        <v>6</v>
      </c>
      <c r="D942" s="1">
        <v>43812</v>
      </c>
      <c r="E942" t="str">
        <f>"201912134089"</f>
        <v>201912134089</v>
      </c>
      <c r="F942" t="str">
        <f>"Miscell"</f>
        <v>Miscell</v>
      </c>
      <c r="G942" s="2">
        <v>6</v>
      </c>
      <c r="H942" t="str">
        <f>"ARRON JEREMY AGUILAR"</f>
        <v>ARRON JEREMY AGUILAR</v>
      </c>
    </row>
    <row r="943" spans="1:8" x14ac:dyDescent="0.25">
      <c r="A943" t="s">
        <v>359</v>
      </c>
      <c r="B943">
        <v>130106</v>
      </c>
      <c r="C943" s="2">
        <v>6</v>
      </c>
      <c r="D943" s="1">
        <v>43812</v>
      </c>
      <c r="E943" t="str">
        <f>"201912134090"</f>
        <v>201912134090</v>
      </c>
      <c r="F943" t="str">
        <f>"Miscell"</f>
        <v>Miscell</v>
      </c>
      <c r="G943" s="2">
        <v>6</v>
      </c>
      <c r="H943" t="str">
        <f>"CORA PANIAGUA GIBSON"</f>
        <v>CORA PANIAGUA GIBSON</v>
      </c>
    </row>
    <row r="944" spans="1:8" x14ac:dyDescent="0.25">
      <c r="A944" t="s">
        <v>360</v>
      </c>
      <c r="B944">
        <v>130107</v>
      </c>
      <c r="C944" s="2">
        <v>6</v>
      </c>
      <c r="D944" s="1">
        <v>43812</v>
      </c>
      <c r="E944" t="str">
        <f>"201912134091"</f>
        <v>201912134091</v>
      </c>
      <c r="F944" t="str">
        <f>"Misc"</f>
        <v>Misc</v>
      </c>
      <c r="G944" s="2">
        <v>6</v>
      </c>
      <c r="H944" t="str">
        <f>"CAROLIN LOUISE MITCHELL"</f>
        <v>CAROLIN LOUISE MITCHELL</v>
      </c>
    </row>
    <row r="945" spans="1:8" x14ac:dyDescent="0.25">
      <c r="A945" t="s">
        <v>361</v>
      </c>
      <c r="B945">
        <v>130108</v>
      </c>
      <c r="C945" s="2">
        <v>6</v>
      </c>
      <c r="D945" s="1">
        <v>43812</v>
      </c>
      <c r="E945" t="str">
        <f>"201912134092"</f>
        <v>201912134092</v>
      </c>
      <c r="F945" t="str">
        <f>"Miscellane"</f>
        <v>Miscellane</v>
      </c>
      <c r="G945" s="2">
        <v>6</v>
      </c>
      <c r="H945" t="str">
        <f>"GARY ARMON CURRIE"</f>
        <v>GARY ARMON CURRIE</v>
      </c>
    </row>
    <row r="946" spans="1:8" x14ac:dyDescent="0.25">
      <c r="A946" t="s">
        <v>362</v>
      </c>
      <c r="B946">
        <v>130109</v>
      </c>
      <c r="C946" s="2">
        <v>6</v>
      </c>
      <c r="D946" s="1">
        <v>43812</v>
      </c>
      <c r="E946" t="str">
        <f>"201912134093"</f>
        <v>201912134093</v>
      </c>
      <c r="F946" t="str">
        <f>"Miscellan"</f>
        <v>Miscellan</v>
      </c>
      <c r="G946" s="2">
        <v>6</v>
      </c>
      <c r="H946" t="str">
        <f>"LINDA DIANA RITTER"</f>
        <v>LINDA DIANA RITTER</v>
      </c>
    </row>
    <row r="947" spans="1:8" x14ac:dyDescent="0.25">
      <c r="A947" t="s">
        <v>363</v>
      </c>
      <c r="B947">
        <v>130110</v>
      </c>
      <c r="C947" s="2">
        <v>6</v>
      </c>
      <c r="D947" s="1">
        <v>43812</v>
      </c>
      <c r="E947" t="str">
        <f>"201912134094"</f>
        <v>201912134094</v>
      </c>
      <c r="F947" t="str">
        <f>"Miscel"</f>
        <v>Miscel</v>
      </c>
      <c r="G947" s="2">
        <v>6</v>
      </c>
      <c r="H947" t="str">
        <f>"DAVID LANCE EMBLER JR"</f>
        <v>DAVID LANCE EMBLER JR</v>
      </c>
    </row>
    <row r="948" spans="1:8" x14ac:dyDescent="0.25">
      <c r="A948" t="s">
        <v>364</v>
      </c>
      <c r="B948">
        <v>130111</v>
      </c>
      <c r="C948" s="2">
        <v>6</v>
      </c>
      <c r="D948" s="1">
        <v>43812</v>
      </c>
      <c r="E948" t="str">
        <f>"201912134095"</f>
        <v>201912134095</v>
      </c>
      <c r="F948" t="str">
        <f>"Miscella"</f>
        <v>Miscella</v>
      </c>
      <c r="G948" s="2">
        <v>6</v>
      </c>
      <c r="H948" t="str">
        <f>"ERIC DANIEL ALMARAZ"</f>
        <v>ERIC DANIEL ALMARAZ</v>
      </c>
    </row>
    <row r="949" spans="1:8" x14ac:dyDescent="0.25">
      <c r="A949" t="s">
        <v>365</v>
      </c>
      <c r="B949">
        <v>130112</v>
      </c>
      <c r="C949" s="2">
        <v>6</v>
      </c>
      <c r="D949" s="1">
        <v>43812</v>
      </c>
      <c r="E949" t="str">
        <f>"201912134096"</f>
        <v>201912134096</v>
      </c>
      <c r="F949" t="str">
        <f>"Miscellaneous"</f>
        <v>Miscellaneous</v>
      </c>
      <c r="G949" s="2">
        <v>6</v>
      </c>
      <c r="H949" t="str">
        <f>"PEDRO BEGA JR"</f>
        <v>PEDRO BEGA JR</v>
      </c>
    </row>
    <row r="950" spans="1:8" x14ac:dyDescent="0.25">
      <c r="A950" t="s">
        <v>366</v>
      </c>
      <c r="B950">
        <v>130113</v>
      </c>
      <c r="C950" s="2">
        <v>6</v>
      </c>
      <c r="D950" s="1">
        <v>43812</v>
      </c>
      <c r="E950" t="str">
        <f>"201912134097"</f>
        <v>201912134097</v>
      </c>
      <c r="F950" t="str">
        <f>"Miscel"</f>
        <v>Miscel</v>
      </c>
      <c r="G950" s="2">
        <v>6</v>
      </c>
      <c r="H950" t="str">
        <f>"MACKENZIE GATES BROWN"</f>
        <v>MACKENZIE GATES BROWN</v>
      </c>
    </row>
    <row r="951" spans="1:8" x14ac:dyDescent="0.25">
      <c r="A951" t="s">
        <v>367</v>
      </c>
      <c r="B951">
        <v>130114</v>
      </c>
      <c r="C951" s="2">
        <v>6</v>
      </c>
      <c r="D951" s="1">
        <v>43812</v>
      </c>
      <c r="E951" t="str">
        <f>"201912134098"</f>
        <v>201912134098</v>
      </c>
      <c r="F951" t="str">
        <f>"Miscell"</f>
        <v>Miscell</v>
      </c>
      <c r="G951" s="2">
        <v>6</v>
      </c>
      <c r="H951" t="str">
        <f>"JORGE ALBERTO ALFARO"</f>
        <v>JORGE ALBERTO ALFARO</v>
      </c>
    </row>
    <row r="952" spans="1:8" x14ac:dyDescent="0.25">
      <c r="A952" t="s">
        <v>368</v>
      </c>
      <c r="B952">
        <v>130115</v>
      </c>
      <c r="C952" s="2">
        <v>6</v>
      </c>
      <c r="D952" s="1">
        <v>43812</v>
      </c>
      <c r="E952" t="str">
        <f>"201912134099"</f>
        <v>201912134099</v>
      </c>
      <c r="F952" t="str">
        <f>"Miscellaneous"</f>
        <v>Miscellaneous</v>
      </c>
      <c r="G952" s="2">
        <v>6</v>
      </c>
      <c r="H952" t="str">
        <f>"JAMES L NEALY"</f>
        <v>JAMES L NEALY</v>
      </c>
    </row>
    <row r="953" spans="1:8" x14ac:dyDescent="0.25">
      <c r="A953" t="s">
        <v>369</v>
      </c>
      <c r="B953">
        <v>130116</v>
      </c>
      <c r="C953" s="2">
        <v>6</v>
      </c>
      <c r="D953" s="1">
        <v>43812</v>
      </c>
      <c r="E953" t="str">
        <f>"201912134100"</f>
        <v>201912134100</v>
      </c>
      <c r="F953" t="str">
        <f>"Miscell"</f>
        <v>Miscell</v>
      </c>
      <c r="G953" s="2">
        <v>6</v>
      </c>
      <c r="H953" t="str">
        <f>"FRANK CLIFFORD GREEN"</f>
        <v>FRANK CLIFFORD GREEN</v>
      </c>
    </row>
    <row r="954" spans="1:8" x14ac:dyDescent="0.25">
      <c r="A954" t="s">
        <v>370</v>
      </c>
      <c r="B954">
        <v>130117</v>
      </c>
      <c r="C954" s="2">
        <v>6</v>
      </c>
      <c r="D954" s="1">
        <v>43812</v>
      </c>
      <c r="E954" t="str">
        <f>"201912134101"</f>
        <v>201912134101</v>
      </c>
      <c r="F954" t="str">
        <f>"Misc"</f>
        <v>Misc</v>
      </c>
      <c r="G954" s="2">
        <v>6</v>
      </c>
      <c r="H954" t="str">
        <f>"CYNTHIA VYVJALA STICKLE"</f>
        <v>CYNTHIA VYVJALA STICKLE</v>
      </c>
    </row>
    <row r="955" spans="1:8" x14ac:dyDescent="0.25">
      <c r="A955" t="s">
        <v>371</v>
      </c>
      <c r="B955">
        <v>130118</v>
      </c>
      <c r="C955" s="2">
        <v>6</v>
      </c>
      <c r="D955" s="1">
        <v>43812</v>
      </c>
      <c r="E955" t="str">
        <f>"201912134102"</f>
        <v>201912134102</v>
      </c>
      <c r="F955" t="str">
        <f>"Miscel"</f>
        <v>Miscel</v>
      </c>
      <c r="G955" s="2">
        <v>6</v>
      </c>
      <c r="H955" t="str">
        <f>"JORDAN MAKENZIE CRABB"</f>
        <v>JORDAN MAKENZIE CRABB</v>
      </c>
    </row>
    <row r="956" spans="1:8" x14ac:dyDescent="0.25">
      <c r="A956" t="s">
        <v>372</v>
      </c>
      <c r="B956">
        <v>130119</v>
      </c>
      <c r="C956" s="2">
        <v>6</v>
      </c>
      <c r="D956" s="1">
        <v>43812</v>
      </c>
      <c r="E956" t="str">
        <f>"201912134103"</f>
        <v>201912134103</v>
      </c>
      <c r="F956" t="str">
        <f>"Miscellan"</f>
        <v>Miscellan</v>
      </c>
      <c r="G956" s="2">
        <v>6</v>
      </c>
      <c r="H956" t="str">
        <f>"JACOB ANTHONY COOK"</f>
        <v>JACOB ANTHONY COOK</v>
      </c>
    </row>
    <row r="957" spans="1:8" x14ac:dyDescent="0.25">
      <c r="A957" t="s">
        <v>373</v>
      </c>
      <c r="B957">
        <v>130120</v>
      </c>
      <c r="C957" s="2">
        <v>6</v>
      </c>
      <c r="D957" s="1">
        <v>43812</v>
      </c>
      <c r="E957" t="str">
        <f>"201912134104"</f>
        <v>201912134104</v>
      </c>
      <c r="F957" t="str">
        <f>"Miscellane"</f>
        <v>Miscellane</v>
      </c>
      <c r="G957" s="2">
        <v>6</v>
      </c>
      <c r="H957" t="str">
        <f>"DAMIAN EZRA CLARK"</f>
        <v>DAMIAN EZRA CLARK</v>
      </c>
    </row>
    <row r="958" spans="1:8" x14ac:dyDescent="0.25">
      <c r="A958" t="s">
        <v>374</v>
      </c>
      <c r="B958">
        <v>130121</v>
      </c>
      <c r="C958" s="2">
        <v>6</v>
      </c>
      <c r="D958" s="1">
        <v>43812</v>
      </c>
      <c r="E958" t="str">
        <f>"201912134105"</f>
        <v>201912134105</v>
      </c>
      <c r="F958" t="str">
        <f>"Miscella"</f>
        <v>Miscella</v>
      </c>
      <c r="G958" s="2">
        <v>6</v>
      </c>
      <c r="H958" t="str">
        <f>"PEGGY DENISE HARMON"</f>
        <v>PEGGY DENISE HARMON</v>
      </c>
    </row>
    <row r="959" spans="1:8" x14ac:dyDescent="0.25">
      <c r="A959" t="s">
        <v>375</v>
      </c>
      <c r="B959">
        <v>130122</v>
      </c>
      <c r="C959" s="2">
        <v>6</v>
      </c>
      <c r="D959" s="1">
        <v>43812</v>
      </c>
      <c r="E959" t="str">
        <f>"201912134106"</f>
        <v>201912134106</v>
      </c>
      <c r="F959" t="str">
        <f>"Miscell"</f>
        <v>Miscell</v>
      </c>
      <c r="G959" s="2">
        <v>6</v>
      </c>
      <c r="H959" t="str">
        <f>"TIFFANY AMANDA ELLIS"</f>
        <v>TIFFANY AMANDA ELLIS</v>
      </c>
    </row>
    <row r="960" spans="1:8" x14ac:dyDescent="0.25">
      <c r="A960" t="s">
        <v>376</v>
      </c>
      <c r="B960">
        <v>130123</v>
      </c>
      <c r="C960" s="2">
        <v>6</v>
      </c>
      <c r="D960" s="1">
        <v>43812</v>
      </c>
      <c r="E960" t="str">
        <f>"201912134107"</f>
        <v>201912134107</v>
      </c>
      <c r="F960" t="str">
        <f>"Mi"</f>
        <v>Mi</v>
      </c>
      <c r="G960" s="2">
        <v>6</v>
      </c>
      <c r="H960" t="str">
        <f>"CHRISTOPHER MICHAEL ISAAC"</f>
        <v>CHRISTOPHER MICHAEL ISAAC</v>
      </c>
    </row>
    <row r="961" spans="1:8" x14ac:dyDescent="0.25">
      <c r="A961" t="s">
        <v>377</v>
      </c>
      <c r="B961">
        <v>130124</v>
      </c>
      <c r="C961" s="2">
        <v>6</v>
      </c>
      <c r="D961" s="1">
        <v>43812</v>
      </c>
      <c r="E961" t="str">
        <f>"201912134108"</f>
        <v>201912134108</v>
      </c>
      <c r="F961" t="str">
        <f>"Miscell"</f>
        <v>Miscell</v>
      </c>
      <c r="G961" s="2">
        <v>6</v>
      </c>
      <c r="H961" t="str">
        <f>"BYRON ALVIN MITCHELL"</f>
        <v>BYRON ALVIN MITCHELL</v>
      </c>
    </row>
    <row r="962" spans="1:8" x14ac:dyDescent="0.25">
      <c r="A962" t="s">
        <v>378</v>
      </c>
      <c r="B962">
        <v>130125</v>
      </c>
      <c r="C962" s="2">
        <v>6</v>
      </c>
      <c r="D962" s="1">
        <v>43812</v>
      </c>
      <c r="E962" t="str">
        <f>"201912134109"</f>
        <v>201912134109</v>
      </c>
      <c r="F962" t="str">
        <f>"Mis"</f>
        <v>Mis</v>
      </c>
      <c r="G962" s="2">
        <v>6</v>
      </c>
      <c r="H962" t="str">
        <f>"JHARRON DEWAYNE KELLOUGH"</f>
        <v>JHARRON DEWAYNE KELLOUGH</v>
      </c>
    </row>
    <row r="963" spans="1:8" x14ac:dyDescent="0.25">
      <c r="A963" t="s">
        <v>379</v>
      </c>
      <c r="B963">
        <v>130126</v>
      </c>
      <c r="C963" s="2">
        <v>6</v>
      </c>
      <c r="D963" s="1">
        <v>43812</v>
      </c>
      <c r="E963" t="str">
        <f>"201912134110"</f>
        <v>201912134110</v>
      </c>
      <c r="F963" t="str">
        <f>"Miscellan"</f>
        <v>Miscellan</v>
      </c>
      <c r="G963" s="2">
        <v>6</v>
      </c>
      <c r="H963" t="str">
        <f>"KEISHA LANELL GASH"</f>
        <v>KEISHA LANELL GASH</v>
      </c>
    </row>
    <row r="964" spans="1:8" x14ac:dyDescent="0.25">
      <c r="A964" t="s">
        <v>380</v>
      </c>
      <c r="B964">
        <v>130127</v>
      </c>
      <c r="C964" s="2">
        <v>6</v>
      </c>
      <c r="D964" s="1">
        <v>43812</v>
      </c>
      <c r="E964" t="str">
        <f>"201912134111"</f>
        <v>201912134111</v>
      </c>
      <c r="F964" t="str">
        <f>"Miscellane"</f>
        <v>Miscellane</v>
      </c>
      <c r="G964" s="2">
        <v>6</v>
      </c>
      <c r="H964" t="str">
        <f>"DEBBIE LYNN GIBBS"</f>
        <v>DEBBIE LYNN GIBBS</v>
      </c>
    </row>
    <row r="965" spans="1:8" x14ac:dyDescent="0.25">
      <c r="A965" t="s">
        <v>381</v>
      </c>
      <c r="B965">
        <v>130128</v>
      </c>
      <c r="C965" s="2">
        <v>6</v>
      </c>
      <c r="D965" s="1">
        <v>43812</v>
      </c>
      <c r="E965" t="str">
        <f>"201912134112"</f>
        <v>201912134112</v>
      </c>
      <c r="F965" t="str">
        <f>"Miscellan"</f>
        <v>Miscellan</v>
      </c>
      <c r="G965" s="2">
        <v>6</v>
      </c>
      <c r="H965" t="str">
        <f>"CHRISTIE DAWN OTTO"</f>
        <v>CHRISTIE DAWN OTTO</v>
      </c>
    </row>
    <row r="966" spans="1:8" x14ac:dyDescent="0.25">
      <c r="A966" t="s">
        <v>382</v>
      </c>
      <c r="B966">
        <v>130316</v>
      </c>
      <c r="C966" s="2">
        <v>40</v>
      </c>
      <c r="D966" s="1">
        <v>43829</v>
      </c>
      <c r="E966" t="str">
        <f>"201912304324"</f>
        <v>201912304324</v>
      </c>
      <c r="F966" t="str">
        <f>"Miscellaneo"</f>
        <v>Miscellaneo</v>
      </c>
      <c r="G966" s="2">
        <v>40</v>
      </c>
      <c r="H966" t="str">
        <f>"LONNY RAY BOSTIC"</f>
        <v>LONNY RAY BOSTIC</v>
      </c>
    </row>
    <row r="967" spans="1:8" x14ac:dyDescent="0.25">
      <c r="A967" t="s">
        <v>383</v>
      </c>
      <c r="B967">
        <v>130317</v>
      </c>
      <c r="C967" s="2">
        <v>40</v>
      </c>
      <c r="D967" s="1">
        <v>43829</v>
      </c>
      <c r="E967" t="str">
        <f>"201912304325"</f>
        <v>201912304325</v>
      </c>
      <c r="F967" t="str">
        <f>"Miscellaneous"</f>
        <v>Miscellaneous</v>
      </c>
      <c r="G967" s="2">
        <v>40</v>
      </c>
      <c r="H967" t="str">
        <f>"JAMIE DEE FORD"</f>
        <v>JAMIE DEE FORD</v>
      </c>
    </row>
    <row r="968" spans="1:8" x14ac:dyDescent="0.25">
      <c r="A968" t="s">
        <v>384</v>
      </c>
      <c r="B968">
        <v>130318</v>
      </c>
      <c r="C968" s="2">
        <v>40</v>
      </c>
      <c r="D968" s="1">
        <v>43829</v>
      </c>
      <c r="E968" t="str">
        <f>"201912304326"</f>
        <v>201912304326</v>
      </c>
      <c r="F968" t="str">
        <f>"Miscella"</f>
        <v>Miscella</v>
      </c>
      <c r="G968" s="2">
        <v>40</v>
      </c>
      <c r="H968" t="str">
        <f>"GERALDINE ANN MCCOY"</f>
        <v>GERALDINE ANN MCCOY</v>
      </c>
    </row>
    <row r="969" spans="1:8" x14ac:dyDescent="0.25">
      <c r="A969" t="s">
        <v>385</v>
      </c>
      <c r="B969">
        <v>130319</v>
      </c>
      <c r="C969" s="2">
        <v>40</v>
      </c>
      <c r="D969" s="1">
        <v>43829</v>
      </c>
      <c r="E969" t="str">
        <f>"201912304327"</f>
        <v>201912304327</v>
      </c>
      <c r="F969" t="str">
        <f>"Miscellan"</f>
        <v>Miscellan</v>
      </c>
      <c r="G969" s="2">
        <v>40</v>
      </c>
      <c r="H969" t="str">
        <f>"PAMELA PIPER CRABB"</f>
        <v>PAMELA PIPER CRABB</v>
      </c>
    </row>
    <row r="970" spans="1:8" x14ac:dyDescent="0.25">
      <c r="A970" t="s">
        <v>386</v>
      </c>
      <c r="B970">
        <v>130320</v>
      </c>
      <c r="C970" s="2">
        <v>40</v>
      </c>
      <c r="D970" s="1">
        <v>43829</v>
      </c>
      <c r="E970" t="str">
        <f>"201912304328"</f>
        <v>201912304328</v>
      </c>
      <c r="F970" t="str">
        <f>"Misc"</f>
        <v>Misc</v>
      </c>
      <c r="G970" s="2">
        <v>40</v>
      </c>
      <c r="H970" t="str">
        <f>"SHERILYN KAATZ KISAMORE"</f>
        <v>SHERILYN KAATZ KISAMORE</v>
      </c>
    </row>
    <row r="971" spans="1:8" x14ac:dyDescent="0.25">
      <c r="A971" t="s">
        <v>387</v>
      </c>
      <c r="B971">
        <v>130321</v>
      </c>
      <c r="C971" s="2">
        <v>40</v>
      </c>
      <c r="D971" s="1">
        <v>43829</v>
      </c>
      <c r="E971" t="str">
        <f>"201912304329"</f>
        <v>201912304329</v>
      </c>
      <c r="F971" t="str">
        <f>"Miscellaneou"</f>
        <v>Miscellaneou</v>
      </c>
      <c r="G971" s="2">
        <v>40</v>
      </c>
      <c r="H971" t="str">
        <f>"RUSSELL JAY ASH"</f>
        <v>RUSSELL JAY ASH</v>
      </c>
    </row>
    <row r="972" spans="1:8" x14ac:dyDescent="0.25">
      <c r="A972" t="s">
        <v>388</v>
      </c>
      <c r="B972">
        <v>130322</v>
      </c>
      <c r="C972" s="2">
        <v>40</v>
      </c>
      <c r="D972" s="1">
        <v>43829</v>
      </c>
      <c r="E972" t="str">
        <f>"201912304330"</f>
        <v>201912304330</v>
      </c>
      <c r="F972" t="str">
        <f>"Misce"</f>
        <v>Misce</v>
      </c>
      <c r="G972" s="2">
        <v>40</v>
      </c>
      <c r="H972" t="str">
        <f>"STACY ROY CARPENTER JR"</f>
        <v>STACY ROY CARPENTER JR</v>
      </c>
    </row>
    <row r="973" spans="1:8" x14ac:dyDescent="0.25">
      <c r="A973" t="s">
        <v>389</v>
      </c>
      <c r="B973">
        <v>130323</v>
      </c>
      <c r="C973" s="2">
        <v>40</v>
      </c>
      <c r="D973" s="1">
        <v>43829</v>
      </c>
      <c r="E973" t="str">
        <f>"201912304331"</f>
        <v>201912304331</v>
      </c>
      <c r="F973" t="str">
        <f>"Miscel"</f>
        <v>Miscel</v>
      </c>
      <c r="G973" s="2">
        <v>40</v>
      </c>
      <c r="H973" t="str">
        <f>"SCOTT JAY QUINTANILLA"</f>
        <v>SCOTT JAY QUINTANILLA</v>
      </c>
    </row>
    <row r="974" spans="1:8" x14ac:dyDescent="0.25">
      <c r="A974" t="s">
        <v>390</v>
      </c>
      <c r="B974">
        <v>130324</v>
      </c>
      <c r="C974" s="2">
        <v>40</v>
      </c>
      <c r="D974" s="1">
        <v>43829</v>
      </c>
      <c r="E974" t="str">
        <f>"201912304332"</f>
        <v>201912304332</v>
      </c>
      <c r="F974" t="str">
        <f>"Miscellane"</f>
        <v>Miscellane</v>
      </c>
      <c r="G974" s="2">
        <v>40</v>
      </c>
      <c r="H974" t="str">
        <f>"JON HAROLD KEENER"</f>
        <v>JON HAROLD KEENER</v>
      </c>
    </row>
    <row r="975" spans="1:8" x14ac:dyDescent="0.25">
      <c r="A975" t="s">
        <v>391</v>
      </c>
      <c r="B975">
        <v>130325</v>
      </c>
      <c r="C975" s="2">
        <v>40</v>
      </c>
      <c r="D975" s="1">
        <v>43829</v>
      </c>
      <c r="E975" t="str">
        <f>"201912304333"</f>
        <v>201912304333</v>
      </c>
      <c r="F975" t="str">
        <f>"Miscellane"</f>
        <v>Miscellane</v>
      </c>
      <c r="G975" s="2">
        <v>40</v>
      </c>
      <c r="H975" t="str">
        <f>"DONNA JAYE MEZERA"</f>
        <v>DONNA JAYE MEZERA</v>
      </c>
    </row>
    <row r="976" spans="1:8" x14ac:dyDescent="0.25">
      <c r="A976" t="s">
        <v>392</v>
      </c>
      <c r="B976">
        <v>130326</v>
      </c>
      <c r="C976" s="2">
        <v>40</v>
      </c>
      <c r="D976" s="1">
        <v>43829</v>
      </c>
      <c r="E976" t="str">
        <f>"201912304334"</f>
        <v>201912304334</v>
      </c>
      <c r="F976" t="str">
        <f>"Mis"</f>
        <v>Mis</v>
      </c>
      <c r="G976" s="2">
        <v>40</v>
      </c>
      <c r="H976" t="str">
        <f>"JEFFERY LEE TUFFENTSAMER"</f>
        <v>JEFFERY LEE TUFFENTSAMER</v>
      </c>
    </row>
    <row r="977" spans="1:8" x14ac:dyDescent="0.25">
      <c r="A977" t="s">
        <v>393</v>
      </c>
      <c r="B977">
        <v>130327</v>
      </c>
      <c r="C977" s="2">
        <v>40</v>
      </c>
      <c r="D977" s="1">
        <v>43829</v>
      </c>
      <c r="E977" t="str">
        <f>"201912304335"</f>
        <v>201912304335</v>
      </c>
      <c r="F977" t="str">
        <f>"Miscellan"</f>
        <v>Miscellan</v>
      </c>
      <c r="G977" s="2">
        <v>40</v>
      </c>
      <c r="H977" t="str">
        <f>"SCOTT TYLER TUCKER"</f>
        <v>SCOTT TYLER TUCKER</v>
      </c>
    </row>
    <row r="978" spans="1:8" x14ac:dyDescent="0.25">
      <c r="A978" t="s">
        <v>394</v>
      </c>
      <c r="B978">
        <v>130236</v>
      </c>
      <c r="C978" s="2">
        <v>31587.81</v>
      </c>
      <c r="D978" s="1">
        <v>43822</v>
      </c>
      <c r="E978" t="str">
        <f>"1188076443"</f>
        <v>1188076443</v>
      </c>
      <c r="F978" t="str">
        <f>"ACCT#1036215277/RADIO SVC AGMT"</f>
        <v>ACCT#1036215277/RADIO SVC AGMT</v>
      </c>
      <c r="G978" s="2">
        <v>20769.310000000001</v>
      </c>
      <c r="H978" t="str">
        <f>"ACCT#1036215277/RADIO SVC AGMT"</f>
        <v>ACCT#1036215277/RADIO SVC AGMT</v>
      </c>
    </row>
    <row r="979" spans="1:8" x14ac:dyDescent="0.25">
      <c r="E979" t="str">
        <f>"833015215"</f>
        <v>833015215</v>
      </c>
      <c r="F979" t="str">
        <f>"Tower Top Amplifier with"</f>
        <v>Tower Top Amplifier with</v>
      </c>
      <c r="G979" s="2">
        <v>10818.5</v>
      </c>
      <c r="H979" t="str">
        <f>"Payment"</f>
        <v>Payment</v>
      </c>
    </row>
    <row r="980" spans="1:8" x14ac:dyDescent="0.25">
      <c r="A980" t="s">
        <v>395</v>
      </c>
      <c r="B980">
        <v>130237</v>
      </c>
      <c r="C980" s="2">
        <v>54.41</v>
      </c>
      <c r="D980" s="1">
        <v>43822</v>
      </c>
      <c r="E980" t="str">
        <f>"201912184277"</f>
        <v>201912184277</v>
      </c>
      <c r="F980" t="str">
        <f>"INDIGENT HEALTH"</f>
        <v>INDIGENT HEALTH</v>
      </c>
      <c r="G980" s="2">
        <v>54.41</v>
      </c>
      <c r="H980" t="str">
        <f>"INDIGENT HEALTH"</f>
        <v>INDIGENT HEALTH</v>
      </c>
    </row>
    <row r="981" spans="1:8" x14ac:dyDescent="0.25">
      <c r="A981" t="s">
        <v>396</v>
      </c>
      <c r="B981">
        <v>130238</v>
      </c>
      <c r="C981" s="2">
        <v>120</v>
      </c>
      <c r="D981" s="1">
        <v>43822</v>
      </c>
      <c r="E981" t="str">
        <f>"201912174135"</f>
        <v>201912174135</v>
      </c>
      <c r="F981" t="str">
        <f>"REIMBURSE BAIL BOND COUPONS"</f>
        <v>REIMBURSE BAIL BOND COUPONS</v>
      </c>
      <c r="G981" s="2">
        <v>120</v>
      </c>
      <c r="H981" t="str">
        <f>"REIMBURSE BAIL BOND COUPONS"</f>
        <v>REIMBURSE BAIL BOND COUPONS</v>
      </c>
    </row>
    <row r="982" spans="1:8" x14ac:dyDescent="0.25">
      <c r="A982" t="s">
        <v>397</v>
      </c>
      <c r="B982">
        <v>1919</v>
      </c>
      <c r="C982" s="2">
        <v>3186.35</v>
      </c>
      <c r="D982" s="1">
        <v>43823</v>
      </c>
      <c r="E982" t="str">
        <f>"WORK1018153"</f>
        <v>WORK1018153</v>
      </c>
      <c r="F982" t="str">
        <f>"inv# WORK1018153"</f>
        <v>inv# WORK1018153</v>
      </c>
      <c r="G982" s="2">
        <v>3186.35</v>
      </c>
      <c r="H982" t="str">
        <f>"Perform Inspection"</f>
        <v>Perform Inspection</v>
      </c>
    </row>
    <row r="983" spans="1:8" x14ac:dyDescent="0.25">
      <c r="E983" t="str">
        <f>""</f>
        <v/>
      </c>
      <c r="F983" t="str">
        <f>""</f>
        <v/>
      </c>
      <c r="H983" t="str">
        <f>"Remove&amp;Install Engin"</f>
        <v>Remove&amp;Install Engin</v>
      </c>
    </row>
    <row r="984" spans="1:8" x14ac:dyDescent="0.25">
      <c r="E984" t="str">
        <f>""</f>
        <v/>
      </c>
      <c r="F984" t="str">
        <f>""</f>
        <v/>
      </c>
      <c r="H984" t="str">
        <f>"Replace Fuel Tank"</f>
        <v>Replace Fuel Tank</v>
      </c>
    </row>
    <row r="985" spans="1:8" x14ac:dyDescent="0.25">
      <c r="E985" t="str">
        <f>""</f>
        <v/>
      </c>
      <c r="F985" t="str">
        <f>""</f>
        <v/>
      </c>
      <c r="H985" t="str">
        <f>"Environmental Fee"</f>
        <v>Environmental Fee</v>
      </c>
    </row>
    <row r="986" spans="1:8" x14ac:dyDescent="0.25">
      <c r="E986" t="str">
        <f>""</f>
        <v/>
      </c>
      <c r="F986" t="str">
        <f>""</f>
        <v/>
      </c>
      <c r="H986" t="str">
        <f>"Supplies Charge"</f>
        <v>Supplies Charge</v>
      </c>
    </row>
    <row r="987" spans="1:8" x14ac:dyDescent="0.25">
      <c r="A987" t="s">
        <v>398</v>
      </c>
      <c r="B987">
        <v>130239</v>
      </c>
      <c r="C987" s="2">
        <v>902.95</v>
      </c>
      <c r="D987" s="1">
        <v>43822</v>
      </c>
      <c r="E987" t="str">
        <f>"86773436"</f>
        <v>86773436</v>
      </c>
      <c r="F987" t="str">
        <f>"ACCT#150344157/WTR TRMT SVCS"</f>
        <v>ACCT#150344157/WTR TRMT SVCS</v>
      </c>
      <c r="G987" s="2">
        <v>902.95</v>
      </c>
      <c r="H987" t="str">
        <f>"ACCT#150344157/WTR TRMT SVCS"</f>
        <v>ACCT#150344157/WTR TRMT SVCS</v>
      </c>
    </row>
    <row r="988" spans="1:8" x14ac:dyDescent="0.25">
      <c r="A988" t="s">
        <v>399</v>
      </c>
      <c r="B988">
        <v>130005</v>
      </c>
      <c r="C988" s="2">
        <v>340</v>
      </c>
      <c r="D988" s="1">
        <v>43808</v>
      </c>
      <c r="E988" t="str">
        <f>"11-7-19-01"</f>
        <v>11-7-19-01</v>
      </c>
      <c r="F988" t="str">
        <f>"JOB 11-7-19-01"</f>
        <v>JOB 11-7-19-01</v>
      </c>
      <c r="G988" s="2">
        <v>340</v>
      </c>
      <c r="H988" t="str">
        <f>"JOB 11-7-19-01"</f>
        <v>JOB 11-7-19-01</v>
      </c>
    </row>
    <row r="989" spans="1:8" x14ac:dyDescent="0.25">
      <c r="A989" t="s">
        <v>399</v>
      </c>
      <c r="B989">
        <v>130240</v>
      </c>
      <c r="C989" s="2">
        <v>6576.72</v>
      </c>
      <c r="D989" s="1">
        <v>43822</v>
      </c>
      <c r="E989" t="str">
        <f>"11-12-19-01"</f>
        <v>11-12-19-01</v>
      </c>
      <c r="F989" t="str">
        <f>"JOB 11-12-19-01"</f>
        <v>JOB 11-12-19-01</v>
      </c>
      <c r="G989" s="2">
        <v>3800</v>
      </c>
      <c r="H989" t="str">
        <f>"JOB 11-12-19-01"</f>
        <v>JOB 11-12-19-01</v>
      </c>
    </row>
    <row r="990" spans="1:8" x14ac:dyDescent="0.25">
      <c r="E990" t="str">
        <f>"11-19-19-01"</f>
        <v>11-19-19-01</v>
      </c>
      <c r="F990" t="str">
        <f>"JOB 11-19-19-01"</f>
        <v>JOB 11-19-19-01</v>
      </c>
      <c r="G990" s="2">
        <v>1147.5</v>
      </c>
      <c r="H990" t="str">
        <f>"JOB 11-19-19-01"</f>
        <v>JOB 11-19-19-01</v>
      </c>
    </row>
    <row r="991" spans="1:8" x14ac:dyDescent="0.25">
      <c r="E991" t="str">
        <f>"201912174229"</f>
        <v>201912174229</v>
      </c>
      <c r="F991" t="str">
        <f>"JOB 12-3-19-01"</f>
        <v>JOB 12-3-19-01</v>
      </c>
      <c r="G991" s="2">
        <v>1629.22</v>
      </c>
      <c r="H991" t="str">
        <f>"JOB 12-3-19-01"</f>
        <v>JOB 12-3-19-01</v>
      </c>
    </row>
    <row r="992" spans="1:8" x14ac:dyDescent="0.25">
      <c r="E992" t="str">
        <f>""</f>
        <v/>
      </c>
      <c r="F992" t="str">
        <f>""</f>
        <v/>
      </c>
      <c r="H992" t="str">
        <f>"JOB 11-26-19-02"</f>
        <v>JOB 11-26-19-02</v>
      </c>
    </row>
    <row r="993" spans="1:8" x14ac:dyDescent="0.25">
      <c r="E993" t="str">
        <f>""</f>
        <v/>
      </c>
      <c r="F993" t="str">
        <f>""</f>
        <v/>
      </c>
      <c r="H993" t="str">
        <f>"JOB 12-4-19-01"</f>
        <v>JOB 12-4-19-01</v>
      </c>
    </row>
    <row r="994" spans="1:8" x14ac:dyDescent="0.25">
      <c r="A994" t="s">
        <v>400</v>
      </c>
      <c r="B994">
        <v>1831</v>
      </c>
      <c r="C994" s="2">
        <v>1262.08</v>
      </c>
      <c r="D994" s="1">
        <v>43809</v>
      </c>
      <c r="E994" t="str">
        <f>"IN0832543"</f>
        <v>IN0832543</v>
      </c>
      <c r="F994" t="str">
        <f>"INV IN0832543"</f>
        <v>INV IN0832543</v>
      </c>
      <c r="G994" s="2">
        <v>1262.08</v>
      </c>
      <c r="H994" t="str">
        <f>"INV IN0832543"</f>
        <v>INV IN0832543</v>
      </c>
    </row>
    <row r="995" spans="1:8" x14ac:dyDescent="0.25">
      <c r="A995" t="s">
        <v>400</v>
      </c>
      <c r="B995">
        <v>1898</v>
      </c>
      <c r="C995" s="2">
        <v>7645.86</v>
      </c>
      <c r="D995" s="1">
        <v>43823</v>
      </c>
      <c r="E995" t="str">
        <f>"IN0832817/CM910474"</f>
        <v>IN0832817/CM910474</v>
      </c>
      <c r="F995" t="str">
        <f>"INV IN0832817"</f>
        <v>INV IN0832817</v>
      </c>
      <c r="G995" s="2">
        <v>4983.8599999999997</v>
      </c>
      <c r="H995" t="str">
        <f>"INV IN0832817"</f>
        <v>INV IN0832817</v>
      </c>
    </row>
    <row r="996" spans="1:8" x14ac:dyDescent="0.25">
      <c r="E996" t="str">
        <f>""</f>
        <v/>
      </c>
      <c r="F996" t="str">
        <f>""</f>
        <v/>
      </c>
      <c r="H996" t="str">
        <f>"CM0910474"</f>
        <v>CM0910474</v>
      </c>
    </row>
    <row r="997" spans="1:8" x14ac:dyDescent="0.25">
      <c r="E997" t="str">
        <f>"IN0833647"</f>
        <v>IN0833647</v>
      </c>
      <c r="F997" t="str">
        <f>"INV IN0833647"</f>
        <v>INV IN0833647</v>
      </c>
      <c r="G997" s="2">
        <v>2662</v>
      </c>
      <c r="H997" t="str">
        <f>"INV IN0833647"</f>
        <v>INV IN0833647</v>
      </c>
    </row>
    <row r="998" spans="1:8" x14ac:dyDescent="0.25">
      <c r="A998" t="s">
        <v>401</v>
      </c>
      <c r="B998">
        <v>1962</v>
      </c>
      <c r="C998" s="2">
        <v>320.52</v>
      </c>
      <c r="D998" s="1">
        <v>43823</v>
      </c>
      <c r="E998" t="str">
        <f>"201912113943"</f>
        <v>201912113943</v>
      </c>
      <c r="F998" t="str">
        <f>"CUST#99088/PCT#4"</f>
        <v>CUST#99088/PCT#4</v>
      </c>
      <c r="G998" s="2">
        <v>320.52</v>
      </c>
      <c r="H998" t="str">
        <f>"CUST#99088/PCT#4"</f>
        <v>CUST#99088/PCT#4</v>
      </c>
    </row>
    <row r="999" spans="1:8" x14ac:dyDescent="0.25">
      <c r="A999" t="s">
        <v>402</v>
      </c>
      <c r="B999">
        <v>130006</v>
      </c>
      <c r="C999" s="2">
        <v>1009.26</v>
      </c>
      <c r="D999" s="1">
        <v>43808</v>
      </c>
      <c r="E999" t="str">
        <f>"1805056 40179870"</f>
        <v>1805056 40179870</v>
      </c>
      <c r="F999" t="str">
        <f>"INV 1805056"</f>
        <v>INV 1805056</v>
      </c>
      <c r="G999" s="2">
        <v>1009.26</v>
      </c>
      <c r="H999" t="str">
        <f>"INV 1805056"</f>
        <v>INV 1805056</v>
      </c>
    </row>
    <row r="1000" spans="1:8" x14ac:dyDescent="0.25">
      <c r="E1000" t="str">
        <f>""</f>
        <v/>
      </c>
      <c r="F1000" t="str">
        <f>""</f>
        <v/>
      </c>
      <c r="H1000" t="str">
        <f>"INV 40179870"</f>
        <v>INV 40179870</v>
      </c>
    </row>
    <row r="1001" spans="1:8" x14ac:dyDescent="0.25">
      <c r="A1001" t="s">
        <v>402</v>
      </c>
      <c r="B1001">
        <v>130241</v>
      </c>
      <c r="C1001" s="2">
        <v>1067.6400000000001</v>
      </c>
      <c r="D1001" s="1">
        <v>43822</v>
      </c>
      <c r="E1001" t="str">
        <f>"1816001/1822861"</f>
        <v>1816001/1822861</v>
      </c>
      <c r="F1001" t="str">
        <f>"INV 1816001"</f>
        <v>INV 1816001</v>
      </c>
      <c r="G1001" s="2">
        <v>1067.6400000000001</v>
      </c>
      <c r="H1001" t="str">
        <f>"INV 1816001"</f>
        <v>INV 1816001</v>
      </c>
    </row>
    <row r="1002" spans="1:8" x14ac:dyDescent="0.25">
      <c r="E1002" t="str">
        <f>""</f>
        <v/>
      </c>
      <c r="F1002" t="str">
        <f>""</f>
        <v/>
      </c>
      <c r="H1002" t="str">
        <f>"INV 1822861"</f>
        <v>INV 1822861</v>
      </c>
    </row>
    <row r="1003" spans="1:8" x14ac:dyDescent="0.25">
      <c r="A1003" t="s">
        <v>403</v>
      </c>
      <c r="B1003">
        <v>130242</v>
      </c>
      <c r="C1003" s="2">
        <v>374.29</v>
      </c>
      <c r="D1003" s="1">
        <v>43822</v>
      </c>
      <c r="E1003" t="str">
        <f>"13261795"</f>
        <v>13261795</v>
      </c>
      <c r="F1003" t="str">
        <f>"bill# 13261795"</f>
        <v>bill# 13261795</v>
      </c>
      <c r="G1003" s="2">
        <v>374.29</v>
      </c>
      <c r="H1003" t="str">
        <f>"ord# 406270442001"</f>
        <v>ord# 406270442001</v>
      </c>
    </row>
    <row r="1004" spans="1:8" x14ac:dyDescent="0.25">
      <c r="E1004" t="str">
        <f>""</f>
        <v/>
      </c>
      <c r="F1004" t="str">
        <f>""</f>
        <v/>
      </c>
      <c r="H1004" t="str">
        <f>"ord# 404302101001"</f>
        <v>ord# 404302101001</v>
      </c>
    </row>
    <row r="1005" spans="1:8" x14ac:dyDescent="0.25">
      <c r="E1005" t="str">
        <f>""</f>
        <v/>
      </c>
      <c r="F1005" t="str">
        <f>""</f>
        <v/>
      </c>
      <c r="H1005" t="str">
        <f>"ord# 404302470001"</f>
        <v>ord# 404302470001</v>
      </c>
    </row>
    <row r="1006" spans="1:8" x14ac:dyDescent="0.25">
      <c r="E1006" t="str">
        <f>""</f>
        <v/>
      </c>
      <c r="F1006" t="str">
        <f>""</f>
        <v/>
      </c>
      <c r="H1006" t="str">
        <f>"ord# 406270442001"</f>
        <v>ord# 406270442001</v>
      </c>
    </row>
    <row r="1007" spans="1:8" x14ac:dyDescent="0.25">
      <c r="E1007" t="str">
        <f>""</f>
        <v/>
      </c>
      <c r="F1007" t="str">
        <f>""</f>
        <v/>
      </c>
      <c r="H1007" t="str">
        <f>"ord# 406278756001"</f>
        <v>ord# 406278756001</v>
      </c>
    </row>
    <row r="1008" spans="1:8" x14ac:dyDescent="0.25">
      <c r="E1008" t="str">
        <f>""</f>
        <v/>
      </c>
      <c r="F1008" t="str">
        <f>""</f>
        <v/>
      </c>
      <c r="H1008" t="str">
        <f>"ord# 406278756001"</f>
        <v>ord# 406278756001</v>
      </c>
    </row>
    <row r="1009" spans="1:8" x14ac:dyDescent="0.25">
      <c r="A1009" t="s">
        <v>404</v>
      </c>
      <c r="B1009">
        <v>130243</v>
      </c>
      <c r="C1009" s="2">
        <v>40</v>
      </c>
      <c r="D1009" s="1">
        <v>43822</v>
      </c>
      <c r="E1009" t="str">
        <f>"285459"</f>
        <v>285459</v>
      </c>
      <c r="F1009" t="str">
        <f>"CUST ID:BASCOU/DRUG SCREEN"</f>
        <v>CUST ID:BASCOU/DRUG SCREEN</v>
      </c>
      <c r="G1009" s="2">
        <v>20</v>
      </c>
      <c r="H1009" t="str">
        <f>"CUST ID:BASCOU/DRUG SCREEN"</f>
        <v>CUST ID:BASCOU/DRUG SCREEN</v>
      </c>
    </row>
    <row r="1010" spans="1:8" x14ac:dyDescent="0.25">
      <c r="E1010" t="str">
        <f>"286443-P3"</f>
        <v>286443-P3</v>
      </c>
      <c r="F1010" t="str">
        <f>"CUST ID:BASCOU/PCT#3"</f>
        <v>CUST ID:BASCOU/PCT#3</v>
      </c>
      <c r="G1010" s="2">
        <v>20</v>
      </c>
      <c r="H1010" t="str">
        <f>"CUST ID:BASCOU/PCT#3"</f>
        <v>CUST ID:BASCOU/PCT#3</v>
      </c>
    </row>
    <row r="1011" spans="1:8" x14ac:dyDescent="0.25">
      <c r="A1011" t="s">
        <v>405</v>
      </c>
      <c r="B1011">
        <v>130244</v>
      </c>
      <c r="C1011" s="2">
        <v>2793</v>
      </c>
      <c r="D1011" s="1">
        <v>43822</v>
      </c>
      <c r="E1011" t="str">
        <f>"555"</f>
        <v>555</v>
      </c>
      <c r="F1011" t="str">
        <f>"PLUMBING SVCS/589 COOL WATER"</f>
        <v>PLUMBING SVCS/589 COOL WATER</v>
      </c>
      <c r="G1011" s="2">
        <v>441</v>
      </c>
      <c r="H1011" t="str">
        <f>"PLUMBING SVCS/589 COOL WATER"</f>
        <v>PLUMBING SVCS/589 COOL WATER</v>
      </c>
    </row>
    <row r="1012" spans="1:8" x14ac:dyDescent="0.25">
      <c r="E1012" t="str">
        <f>"667"</f>
        <v>667</v>
      </c>
      <c r="F1012" t="str">
        <f>"PLUMBING SVCS/589 COOL WATER"</f>
        <v>PLUMBING SVCS/589 COOL WATER</v>
      </c>
      <c r="G1012" s="2">
        <v>481</v>
      </c>
      <c r="H1012" t="str">
        <f>"PLUMBING SVCS/589 COOL WATER"</f>
        <v>PLUMBING SVCS/589 COOL WATER</v>
      </c>
    </row>
    <row r="1013" spans="1:8" x14ac:dyDescent="0.25">
      <c r="E1013" t="str">
        <f>"750"</f>
        <v>750</v>
      </c>
      <c r="F1013" t="str">
        <f>"INV 750"</f>
        <v>INV 750</v>
      </c>
      <c r="G1013" s="2">
        <v>1871</v>
      </c>
      <c r="H1013" t="str">
        <f>"INV 750"</f>
        <v>INV 750</v>
      </c>
    </row>
    <row r="1014" spans="1:8" x14ac:dyDescent="0.25">
      <c r="A1014" t="s">
        <v>406</v>
      </c>
      <c r="B1014">
        <v>130007</v>
      </c>
      <c r="C1014" s="2">
        <v>200</v>
      </c>
      <c r="D1014" s="1">
        <v>43808</v>
      </c>
      <c r="E1014" t="str">
        <f>"16421"</f>
        <v>16421</v>
      </c>
      <c r="F1014" t="str">
        <f>"INV 16421 / UNIT 1079"</f>
        <v>INV 16421 / UNIT 1079</v>
      </c>
      <c r="G1014" s="2">
        <v>200</v>
      </c>
      <c r="H1014" t="str">
        <f>"INV 16421 / UNIT 1079"</f>
        <v>INV 16421 / UNIT 1079</v>
      </c>
    </row>
    <row r="1015" spans="1:8" x14ac:dyDescent="0.25">
      <c r="A1015" t="s">
        <v>407</v>
      </c>
      <c r="B1015">
        <v>130008</v>
      </c>
      <c r="C1015" s="2">
        <v>38731.61</v>
      </c>
      <c r="D1015" s="1">
        <v>43808</v>
      </c>
      <c r="E1015" t="str">
        <f>"19487"</f>
        <v>19487</v>
      </c>
      <c r="F1015" t="str">
        <f>"ASPHALT EMULSION/PCT#1"</f>
        <v>ASPHALT EMULSION/PCT#1</v>
      </c>
      <c r="G1015" s="2">
        <v>14250.27</v>
      </c>
      <c r="H1015" t="str">
        <f>"ASPHALT EMULSION/PCT#1"</f>
        <v>ASPHALT EMULSION/PCT#1</v>
      </c>
    </row>
    <row r="1016" spans="1:8" x14ac:dyDescent="0.25">
      <c r="E1016" t="str">
        <f>"19494"</f>
        <v>19494</v>
      </c>
      <c r="F1016" t="str">
        <f>"ASPHALT EMULSION/PCT#1"</f>
        <v>ASPHALT EMULSION/PCT#1</v>
      </c>
      <c r="G1016" s="2">
        <v>24481.34</v>
      </c>
      <c r="H1016" t="str">
        <f>"ASPHALT EMULSION/PCT#1"</f>
        <v>ASPHALT EMULSION/PCT#1</v>
      </c>
    </row>
    <row r="1017" spans="1:8" x14ac:dyDescent="0.25">
      <c r="A1017" t="s">
        <v>408</v>
      </c>
      <c r="B1017">
        <v>130009</v>
      </c>
      <c r="C1017" s="2">
        <v>146.04</v>
      </c>
      <c r="D1017" s="1">
        <v>43808</v>
      </c>
      <c r="E1017" t="str">
        <f>"201912043780"</f>
        <v>201912043780</v>
      </c>
      <c r="F1017" t="str">
        <f>"ACCT#1137/PCT#4"</f>
        <v>ACCT#1137/PCT#4</v>
      </c>
      <c r="G1017" s="2">
        <v>146.04</v>
      </c>
      <c r="H1017" t="str">
        <f>"ACCT#1137/PCT#4"</f>
        <v>ACCT#1137/PCT#4</v>
      </c>
    </row>
    <row r="1018" spans="1:8" x14ac:dyDescent="0.25">
      <c r="A1018" t="s">
        <v>409</v>
      </c>
      <c r="B1018">
        <v>1838</v>
      </c>
      <c r="C1018" s="2">
        <v>3203.45</v>
      </c>
      <c r="D1018" s="1">
        <v>43809</v>
      </c>
      <c r="E1018" t="str">
        <f>"2008403"</f>
        <v>2008403</v>
      </c>
      <c r="F1018" t="str">
        <f>"RE-WIRE SWITCH/DPS OFFICE BLDG"</f>
        <v>RE-WIRE SWITCH/DPS OFFICE BLDG</v>
      </c>
      <c r="G1018" s="2">
        <v>294.10000000000002</v>
      </c>
      <c r="H1018" t="str">
        <f>"RE-WIRE SWITCH/DPS OFFICE BLDG"</f>
        <v>RE-WIRE SWITCH/DPS OFFICE BLDG</v>
      </c>
    </row>
    <row r="1019" spans="1:8" x14ac:dyDescent="0.25">
      <c r="E1019" t="str">
        <f>"2008404"</f>
        <v>2008404</v>
      </c>
      <c r="F1019" t="str">
        <f>"MATERIALS/LABOR/GENERAL SVCS"</f>
        <v>MATERIALS/LABOR/GENERAL SVCS</v>
      </c>
      <c r="G1019" s="2">
        <v>2909.35</v>
      </c>
      <c r="H1019" t="str">
        <f>"MATERIALS/LABOR/GENERAL SVCS"</f>
        <v>MATERIALS/LABOR/GENERAL SVCS</v>
      </c>
    </row>
    <row r="1020" spans="1:8" x14ac:dyDescent="0.25">
      <c r="A1020" t="s">
        <v>410</v>
      </c>
      <c r="B1020">
        <v>130245</v>
      </c>
      <c r="C1020" s="2">
        <v>1363.23</v>
      </c>
      <c r="D1020" s="1">
        <v>43822</v>
      </c>
      <c r="E1020" t="str">
        <f>"201912113898"</f>
        <v>201912113898</v>
      </c>
      <c r="F1020" t="str">
        <f>"ACCT#0200140783"</f>
        <v>ACCT#0200140783</v>
      </c>
      <c r="G1020" s="2">
        <v>1363.23</v>
      </c>
      <c r="H1020" t="str">
        <f>"ACCT#0200140783"</f>
        <v>ACCT#0200140783</v>
      </c>
    </row>
    <row r="1021" spans="1:8" x14ac:dyDescent="0.25">
      <c r="E1021" t="str">
        <f>""</f>
        <v/>
      </c>
      <c r="F1021" t="str">
        <f>""</f>
        <v/>
      </c>
      <c r="H1021" t="str">
        <f>"ACCT#0200140783"</f>
        <v>ACCT#0200140783</v>
      </c>
    </row>
    <row r="1022" spans="1:8" x14ac:dyDescent="0.25">
      <c r="E1022" t="str">
        <f>""</f>
        <v/>
      </c>
      <c r="F1022" t="str">
        <f>""</f>
        <v/>
      </c>
      <c r="H1022" t="str">
        <f>"ACCT#0200140783"</f>
        <v>ACCT#0200140783</v>
      </c>
    </row>
    <row r="1023" spans="1:8" x14ac:dyDescent="0.25">
      <c r="A1023" t="s">
        <v>411</v>
      </c>
      <c r="B1023">
        <v>130010</v>
      </c>
      <c r="C1023" s="2">
        <v>343.38</v>
      </c>
      <c r="D1023" s="1">
        <v>43808</v>
      </c>
      <c r="E1023" t="str">
        <f>"X0132589821"</f>
        <v>X0132589821</v>
      </c>
      <c r="F1023" t="str">
        <f>"ACCT#336320/PARTS/PCT#3"</f>
        <v>ACCT#336320/PARTS/PCT#3</v>
      </c>
      <c r="G1023" s="2">
        <v>343.38</v>
      </c>
      <c r="H1023" t="str">
        <f>"ACCT#336320/PARTS/PCT#3"</f>
        <v>ACCT#336320/PARTS/PCT#3</v>
      </c>
    </row>
    <row r="1024" spans="1:8" x14ac:dyDescent="0.25">
      <c r="A1024" t="s">
        <v>412</v>
      </c>
      <c r="B1024">
        <v>130246</v>
      </c>
      <c r="C1024" s="2">
        <v>4000</v>
      </c>
      <c r="D1024" s="1">
        <v>43822</v>
      </c>
      <c r="E1024" t="str">
        <f>"201912184239"</f>
        <v>201912184239</v>
      </c>
      <c r="F1024" t="str">
        <f>"2017/2018 COMBINATION TAX REV"</f>
        <v>2017/2018 COMBINATION TAX REV</v>
      </c>
      <c r="G1024" s="2">
        <v>4000</v>
      </c>
      <c r="H1024" t="str">
        <f>"2017/2018 COMBINATION TAX REV"</f>
        <v>2017/2018 COMBINATION TAX REV</v>
      </c>
    </row>
    <row r="1025" spans="1:8" x14ac:dyDescent="0.25">
      <c r="A1025" t="s">
        <v>413</v>
      </c>
      <c r="B1025">
        <v>1877</v>
      </c>
      <c r="C1025" s="2">
        <v>600</v>
      </c>
      <c r="D1025" s="1">
        <v>43809</v>
      </c>
      <c r="E1025" t="str">
        <f>"201912033753"</f>
        <v>201912033753</v>
      </c>
      <c r="F1025" t="str">
        <f>"J-3194"</f>
        <v>J-3194</v>
      </c>
      <c r="G1025" s="2">
        <v>100</v>
      </c>
      <c r="H1025" t="str">
        <f>"J-3194"</f>
        <v>J-3194</v>
      </c>
    </row>
    <row r="1026" spans="1:8" x14ac:dyDescent="0.25">
      <c r="E1026" t="str">
        <f>"201912033754"</f>
        <v>201912033754</v>
      </c>
      <c r="F1026" t="str">
        <f>"57228 57227 CC20190629B"</f>
        <v>57228 57227 CC20190629B</v>
      </c>
      <c r="G1026" s="2">
        <v>500</v>
      </c>
      <c r="H1026" t="str">
        <f>"57228 57227 CC20190629B"</f>
        <v>57228 57227 CC20190629B</v>
      </c>
    </row>
    <row r="1027" spans="1:8" x14ac:dyDescent="0.25">
      <c r="A1027" t="s">
        <v>413</v>
      </c>
      <c r="B1027">
        <v>1950</v>
      </c>
      <c r="C1027" s="2">
        <v>2947</v>
      </c>
      <c r="D1027" s="1">
        <v>43823</v>
      </c>
      <c r="E1027" t="str">
        <f>"201912174208"</f>
        <v>201912174208</v>
      </c>
      <c r="F1027" t="str">
        <f>"18-19039"</f>
        <v>18-19039</v>
      </c>
      <c r="G1027" s="2">
        <v>220</v>
      </c>
      <c r="H1027" t="str">
        <f>"18-19039"</f>
        <v>18-19039</v>
      </c>
    </row>
    <row r="1028" spans="1:8" x14ac:dyDescent="0.25">
      <c r="E1028" t="str">
        <f>"201912174209"</f>
        <v>201912174209</v>
      </c>
      <c r="F1028" t="str">
        <f>"18-19166"</f>
        <v>18-19166</v>
      </c>
      <c r="G1028" s="2">
        <v>285</v>
      </c>
      <c r="H1028" t="str">
        <f>"18-19166"</f>
        <v>18-19166</v>
      </c>
    </row>
    <row r="1029" spans="1:8" x14ac:dyDescent="0.25">
      <c r="E1029" t="str">
        <f>"201912174210"</f>
        <v>201912174210</v>
      </c>
      <c r="F1029" t="str">
        <f>"57072  108262016CJP1 108262016"</f>
        <v>57072  108262016CJP1 108262016</v>
      </c>
      <c r="G1029" s="2">
        <v>750</v>
      </c>
      <c r="H1029" t="str">
        <f>"57072  108262016CJP1 108262016"</f>
        <v>57072  108262016CJP1 108262016</v>
      </c>
    </row>
    <row r="1030" spans="1:8" x14ac:dyDescent="0.25">
      <c r="E1030" t="str">
        <f>"201912174211"</f>
        <v>201912174211</v>
      </c>
      <c r="F1030" t="str">
        <f>"56933  C190QG213MC"</f>
        <v>56933  C190QG213MC</v>
      </c>
      <c r="G1030" s="2">
        <v>375</v>
      </c>
      <c r="H1030" t="str">
        <f>"56933  C190QG2"</f>
        <v>56933  C190QG2</v>
      </c>
    </row>
    <row r="1031" spans="1:8" x14ac:dyDescent="0.25">
      <c r="E1031" t="str">
        <f>"201912174212"</f>
        <v>201912174212</v>
      </c>
      <c r="F1031" t="str">
        <f>"J3172"</f>
        <v>J3172</v>
      </c>
      <c r="G1031" s="2">
        <v>250</v>
      </c>
      <c r="H1031" t="str">
        <f>"J3172"</f>
        <v>J3172</v>
      </c>
    </row>
    <row r="1032" spans="1:8" x14ac:dyDescent="0.25">
      <c r="E1032" t="str">
        <f>"201912184264"</f>
        <v>201912184264</v>
      </c>
      <c r="F1032" t="str">
        <f>"19-19418"</f>
        <v>19-19418</v>
      </c>
      <c r="G1032" s="2">
        <v>400</v>
      </c>
      <c r="H1032" t="str">
        <f>"19-19418"</f>
        <v>19-19418</v>
      </c>
    </row>
    <row r="1033" spans="1:8" x14ac:dyDescent="0.25">
      <c r="E1033" t="str">
        <f>"201912184265"</f>
        <v>201912184265</v>
      </c>
      <c r="F1033" t="str">
        <f>"19-19713"</f>
        <v>19-19713</v>
      </c>
      <c r="G1033" s="2">
        <v>287</v>
      </c>
      <c r="H1033" t="str">
        <f>"19-19713"</f>
        <v>19-19713</v>
      </c>
    </row>
    <row r="1034" spans="1:8" x14ac:dyDescent="0.25">
      <c r="E1034" t="str">
        <f>"201912184266"</f>
        <v>201912184266</v>
      </c>
      <c r="F1034" t="str">
        <f>"19-19463"</f>
        <v>19-19463</v>
      </c>
      <c r="G1034" s="2">
        <v>280</v>
      </c>
      <c r="H1034" t="str">
        <f>"19-19463"</f>
        <v>19-19463</v>
      </c>
    </row>
    <row r="1035" spans="1:8" x14ac:dyDescent="0.25">
      <c r="E1035" t="str">
        <f>"201912184267"</f>
        <v>201912184267</v>
      </c>
      <c r="F1035" t="str">
        <f>"18-19039"</f>
        <v>18-19039</v>
      </c>
      <c r="G1035" s="2">
        <v>100</v>
      </c>
      <c r="H1035" t="str">
        <f>"18-19039"</f>
        <v>18-19039</v>
      </c>
    </row>
    <row r="1036" spans="1:8" x14ac:dyDescent="0.25">
      <c r="A1036" t="s">
        <v>414</v>
      </c>
      <c r="B1036">
        <v>130247</v>
      </c>
      <c r="C1036" s="2">
        <v>40</v>
      </c>
      <c r="D1036" s="1">
        <v>43822</v>
      </c>
      <c r="E1036" t="str">
        <f>"003175"</f>
        <v>003175</v>
      </c>
      <c r="F1036" t="str">
        <f>"INSPECTION/PCT#3"</f>
        <v>INSPECTION/PCT#3</v>
      </c>
      <c r="G1036" s="2">
        <v>40</v>
      </c>
      <c r="H1036" t="str">
        <f>"INSPECTION/PCT#3"</f>
        <v>INSPECTION/PCT#3</v>
      </c>
    </row>
    <row r="1037" spans="1:8" x14ac:dyDescent="0.25">
      <c r="A1037" t="s">
        <v>415</v>
      </c>
      <c r="B1037">
        <v>1876</v>
      </c>
      <c r="C1037" s="2">
        <v>195.96</v>
      </c>
      <c r="D1037" s="1">
        <v>43809</v>
      </c>
      <c r="E1037" t="str">
        <f>"3310097167"</f>
        <v>3310097167</v>
      </c>
      <c r="F1037" t="str">
        <f>"ACCT#0010366024/TAX ASSESSOR"</f>
        <v>ACCT#0010366024/TAX ASSESSOR</v>
      </c>
      <c r="G1037" s="2">
        <v>195.96</v>
      </c>
      <c r="H1037" t="str">
        <f>"ACCT#0010366024/TAX ASSESSOR"</f>
        <v>ACCT#0010366024/TAX ASSESSOR</v>
      </c>
    </row>
    <row r="1038" spans="1:8" x14ac:dyDescent="0.25">
      <c r="A1038" t="s">
        <v>415</v>
      </c>
      <c r="B1038">
        <v>1949</v>
      </c>
      <c r="C1038" s="2">
        <v>412.29</v>
      </c>
      <c r="D1038" s="1">
        <v>43823</v>
      </c>
      <c r="E1038" t="str">
        <f>"3310176037"</f>
        <v>3310176037</v>
      </c>
      <c r="F1038" t="str">
        <f>"INV 3310176037"</f>
        <v>INV 3310176037</v>
      </c>
      <c r="G1038" s="2">
        <v>412.29</v>
      </c>
      <c r="H1038" t="str">
        <f>"INV 3310176037"</f>
        <v>INV 3310176037</v>
      </c>
    </row>
    <row r="1039" spans="1:8" x14ac:dyDescent="0.25">
      <c r="A1039" t="s">
        <v>416</v>
      </c>
      <c r="B1039">
        <v>1910</v>
      </c>
      <c r="C1039" s="2">
        <v>250</v>
      </c>
      <c r="D1039" s="1">
        <v>43823</v>
      </c>
      <c r="E1039" t="str">
        <f>"201912174151"</f>
        <v>201912174151</v>
      </c>
      <c r="F1039" t="str">
        <f>"57 102"</f>
        <v>57 102</v>
      </c>
      <c r="G1039" s="2">
        <v>250</v>
      </c>
      <c r="H1039" t="str">
        <f>"57 102"</f>
        <v>57 102</v>
      </c>
    </row>
    <row r="1040" spans="1:8" x14ac:dyDescent="0.25">
      <c r="A1040" t="s">
        <v>417</v>
      </c>
      <c r="B1040">
        <v>1928</v>
      </c>
      <c r="C1040" s="2">
        <v>331.42</v>
      </c>
      <c r="D1040" s="1">
        <v>43823</v>
      </c>
      <c r="E1040" t="str">
        <f>"201912113942"</f>
        <v>201912113942</v>
      </c>
      <c r="F1040" t="str">
        <f>"ACCT#0005/PCT#4"</f>
        <v>ACCT#0005/PCT#4</v>
      </c>
      <c r="G1040" s="2">
        <v>331.42</v>
      </c>
      <c r="H1040" t="str">
        <f>"ACCT#0005/PCT#4"</f>
        <v>ACCT#0005/PCT#4</v>
      </c>
    </row>
    <row r="1041" spans="1:9" x14ac:dyDescent="0.25">
      <c r="A1041" t="s">
        <v>418</v>
      </c>
      <c r="B1041">
        <v>130011</v>
      </c>
      <c r="C1041" s="2">
        <v>1000</v>
      </c>
      <c r="D1041" s="1">
        <v>43808</v>
      </c>
      <c r="E1041" t="str">
        <f>"BR 10-001"</f>
        <v>BR 10-001</v>
      </c>
      <c r="F1041" t="str">
        <f>"ACCT#430792/BUSINESS REPLY"</f>
        <v>ACCT#430792/BUSINESS REPLY</v>
      </c>
      <c r="G1041" s="2">
        <v>1000</v>
      </c>
      <c r="H1041" t="str">
        <f>"ACCT#430792/BUSINESS REPLY"</f>
        <v>ACCT#430792/BUSINESS REPLY</v>
      </c>
    </row>
    <row r="1042" spans="1:9" x14ac:dyDescent="0.25">
      <c r="A1042" t="s">
        <v>419</v>
      </c>
      <c r="B1042">
        <v>130248</v>
      </c>
      <c r="C1042" s="2">
        <v>825</v>
      </c>
      <c r="D1042" s="1">
        <v>43822</v>
      </c>
      <c r="E1042" t="str">
        <f>"26157"</f>
        <v>26157</v>
      </c>
      <c r="F1042" t="str">
        <f>"INV 26157"</f>
        <v>INV 26157</v>
      </c>
      <c r="G1042" s="2">
        <v>825</v>
      </c>
      <c r="H1042" t="str">
        <f>"INV 26157"</f>
        <v>INV 26157</v>
      </c>
    </row>
    <row r="1043" spans="1:9" x14ac:dyDescent="0.25">
      <c r="A1043" t="s">
        <v>420</v>
      </c>
      <c r="B1043">
        <v>130012</v>
      </c>
      <c r="C1043" s="2">
        <v>1269.8399999999999</v>
      </c>
      <c r="D1043" s="1">
        <v>43808</v>
      </c>
      <c r="E1043" t="str">
        <f>"30729"</f>
        <v>30729</v>
      </c>
      <c r="F1043" t="str">
        <f>"PRODUCTION SPECIALTY INCORPORA"</f>
        <v>PRODUCTION SPECIALTY INCORPORA</v>
      </c>
      <c r="G1043" s="2">
        <v>1269.8399999999999</v>
      </c>
      <c r="H1043" t="str">
        <f>"Bowie Pump"</f>
        <v>Bowie Pump</v>
      </c>
    </row>
    <row r="1044" spans="1:9" x14ac:dyDescent="0.25">
      <c r="E1044" t="str">
        <f>""</f>
        <v/>
      </c>
      <c r="F1044" t="str">
        <f>""</f>
        <v/>
      </c>
      <c r="H1044" t="str">
        <f>"Freight"</f>
        <v>Freight</v>
      </c>
    </row>
    <row r="1045" spans="1:9" x14ac:dyDescent="0.25">
      <c r="A1045" t="s">
        <v>421</v>
      </c>
      <c r="B1045">
        <v>130249</v>
      </c>
      <c r="C1045" s="2">
        <v>330</v>
      </c>
      <c r="D1045" s="1">
        <v>43822</v>
      </c>
      <c r="E1045" t="str">
        <f>"BCEC001112919"</f>
        <v>BCEC001112919</v>
      </c>
      <c r="F1045" t="str">
        <f>"CUST ID:BCEC002/TCLEDDS SUBSC"</f>
        <v>CUST ID:BCEC002/TCLEDDS SUBSC</v>
      </c>
      <c r="G1045" s="2">
        <v>330</v>
      </c>
      <c r="H1045" t="str">
        <f>"CUST ID:BCEC002/TCLEDDS SUBSC"</f>
        <v>CUST ID:BCEC002/TCLEDDS SUBSC</v>
      </c>
    </row>
    <row r="1046" spans="1:9" x14ac:dyDescent="0.25">
      <c r="A1046" t="s">
        <v>422</v>
      </c>
      <c r="B1046">
        <v>130250</v>
      </c>
      <c r="C1046" s="2">
        <v>91</v>
      </c>
      <c r="D1046" s="1">
        <v>43822</v>
      </c>
      <c r="E1046" t="s">
        <v>227</v>
      </c>
      <c r="F1046" t="s">
        <v>228</v>
      </c>
      <c r="G1046" s="2" t="str">
        <f>"RESTITUTION-C. FERRIS"</f>
        <v>RESTITUTION-C. FERRIS</v>
      </c>
      <c r="H1046" t="str">
        <f>"210-0000"</f>
        <v>210-0000</v>
      </c>
      <c r="I1046" t="str">
        <f>""</f>
        <v/>
      </c>
    </row>
    <row r="1047" spans="1:9" x14ac:dyDescent="0.25">
      <c r="A1047" t="s">
        <v>423</v>
      </c>
      <c r="B1047">
        <v>1956</v>
      </c>
      <c r="C1047" s="2">
        <v>1336</v>
      </c>
      <c r="D1047" s="1">
        <v>43823</v>
      </c>
      <c r="E1047" t="str">
        <f>"193084"</f>
        <v>193084</v>
      </c>
      <c r="F1047" t="str">
        <f>"INV 193084"</f>
        <v>INV 193084</v>
      </c>
      <c r="G1047" s="2">
        <v>1336</v>
      </c>
      <c r="H1047" t="str">
        <f>"INV 193084"</f>
        <v>INV 193084</v>
      </c>
    </row>
    <row r="1048" spans="1:9" x14ac:dyDescent="0.25">
      <c r="A1048" t="s">
        <v>424</v>
      </c>
      <c r="B1048">
        <v>130013</v>
      </c>
      <c r="C1048" s="2">
        <v>1280.08</v>
      </c>
      <c r="D1048" s="1">
        <v>43808</v>
      </c>
      <c r="E1048" t="str">
        <f>"0026072"</f>
        <v>0026072</v>
      </c>
      <c r="F1048" t="str">
        <f>"SENSOR/PCT#2"</f>
        <v>SENSOR/PCT#2</v>
      </c>
      <c r="G1048" s="2">
        <v>1280.08</v>
      </c>
      <c r="H1048" t="str">
        <f>"SENSOR/PCT#2"</f>
        <v>SENSOR/PCT#2</v>
      </c>
    </row>
    <row r="1049" spans="1:9" x14ac:dyDescent="0.25">
      <c r="A1049" t="s">
        <v>425</v>
      </c>
      <c r="B1049">
        <v>130251</v>
      </c>
      <c r="C1049" s="2">
        <v>550</v>
      </c>
      <c r="D1049" s="1">
        <v>43822</v>
      </c>
      <c r="E1049" t="str">
        <f>"201912113929"</f>
        <v>201912113929</v>
      </c>
      <c r="F1049" t="str">
        <f>"FERAL HOGS"</f>
        <v>FERAL HOGS</v>
      </c>
      <c r="G1049" s="2">
        <v>550</v>
      </c>
      <c r="H1049" t="str">
        <f>"FERAL HOGS"</f>
        <v>FERAL HOGS</v>
      </c>
    </row>
    <row r="1050" spans="1:9" x14ac:dyDescent="0.25">
      <c r="A1050" t="s">
        <v>426</v>
      </c>
      <c r="B1050">
        <v>130252</v>
      </c>
      <c r="C1050" s="2">
        <v>105</v>
      </c>
      <c r="D1050" s="1">
        <v>43822</v>
      </c>
      <c r="E1050" t="str">
        <f>"201912174228"</f>
        <v>201912174228</v>
      </c>
      <c r="F1050" t="str">
        <f>"PER DIEM"</f>
        <v>PER DIEM</v>
      </c>
      <c r="G1050" s="2">
        <v>105</v>
      </c>
      <c r="H1050" t="str">
        <f>"PER DIEM"</f>
        <v>PER DIEM</v>
      </c>
    </row>
    <row r="1051" spans="1:9" x14ac:dyDescent="0.25">
      <c r="A1051" t="s">
        <v>427</v>
      </c>
      <c r="B1051">
        <v>130253</v>
      </c>
      <c r="C1051" s="2">
        <v>56</v>
      </c>
      <c r="D1051" s="1">
        <v>43822</v>
      </c>
      <c r="E1051" t="str">
        <f>"INV-004970"</f>
        <v>INV-004970</v>
      </c>
      <c r="F1051" t="str">
        <f>"INV-004970"</f>
        <v>INV-004970</v>
      </c>
      <c r="G1051" s="2">
        <v>56</v>
      </c>
      <c r="H1051" t="str">
        <f>"INV-004970"</f>
        <v>INV-004970</v>
      </c>
    </row>
    <row r="1052" spans="1:9" x14ac:dyDescent="0.25">
      <c r="A1052" t="s">
        <v>428</v>
      </c>
      <c r="B1052">
        <v>1899</v>
      </c>
      <c r="C1052" s="2">
        <v>164.76</v>
      </c>
      <c r="D1052" s="1">
        <v>43823</v>
      </c>
      <c r="E1052" t="str">
        <f>"19L0121569859"</f>
        <v>19L0121569859</v>
      </c>
      <c r="F1052" t="str">
        <f>"ACCT#0121569859/JP#4"</f>
        <v>ACCT#0121569859/JP#4</v>
      </c>
      <c r="G1052" s="2">
        <v>78.89</v>
      </c>
      <c r="H1052" t="str">
        <f>"ACCT#0121569859/JP#4"</f>
        <v>ACCT#0121569859/JP#4</v>
      </c>
    </row>
    <row r="1053" spans="1:9" x14ac:dyDescent="0.25">
      <c r="E1053" t="str">
        <f>"19L0121587851"</f>
        <v>19L0121587851</v>
      </c>
      <c r="F1053" t="str">
        <f>"ACCT#0121587851/PCT#4"</f>
        <v>ACCT#0121587851/PCT#4</v>
      </c>
      <c r="G1053" s="2">
        <v>85.87</v>
      </c>
      <c r="H1053" t="str">
        <f>"ACCT#0121587851/PCT#4"</f>
        <v>ACCT#0121587851/PCT#4</v>
      </c>
    </row>
    <row r="1054" spans="1:9" x14ac:dyDescent="0.25">
      <c r="A1054" t="s">
        <v>429</v>
      </c>
      <c r="B1054">
        <v>130077</v>
      </c>
      <c r="C1054" s="2">
        <v>1557.41</v>
      </c>
      <c r="D1054" s="1">
        <v>43810</v>
      </c>
      <c r="E1054" t="str">
        <f>"111 027 034 276 5"</f>
        <v>111 027 034 276 5</v>
      </c>
      <c r="F1054" t="str">
        <f>"ACCT# 15 069 451-1 / 12022019"</f>
        <v>ACCT# 15 069 451-1 / 12022019</v>
      </c>
      <c r="G1054" s="2">
        <v>366.09</v>
      </c>
      <c r="H1054" t="str">
        <f>"ACCT# 15 069 451-1 / 12022019"</f>
        <v>ACCT# 15 069 451-1 / 12022019</v>
      </c>
    </row>
    <row r="1055" spans="1:9" x14ac:dyDescent="0.25">
      <c r="E1055" t="str">
        <f>"111 027 034 277 3"</f>
        <v>111 027 034 277 3</v>
      </c>
      <c r="F1055" t="str">
        <f>"ACCT# 15 070 712-3 / 12022019"</f>
        <v>ACCT# 15 070 712-3 / 12022019</v>
      </c>
      <c r="G1055" s="2">
        <v>17.96</v>
      </c>
      <c r="H1055" t="str">
        <f>"ACCT# 15 070 712-3 / 12022019"</f>
        <v>ACCT# 15 070 712-3 / 12022019</v>
      </c>
    </row>
    <row r="1056" spans="1:9" x14ac:dyDescent="0.25">
      <c r="E1056" t="str">
        <f>"111 027 034 278 1"</f>
        <v>111 027 034 278 1</v>
      </c>
      <c r="F1056" t="str">
        <f>"ACCT#15 070 713-1 / 12022019"</f>
        <v>ACCT#15 070 713-1 / 12022019</v>
      </c>
      <c r="G1056" s="2">
        <v>21.53</v>
      </c>
      <c r="H1056" t="str">
        <f>"ACCT#15 070 713-1 / 12022019"</f>
        <v>ACCT#15 070 713-1 / 12022019</v>
      </c>
    </row>
    <row r="1057" spans="1:8" x14ac:dyDescent="0.25">
      <c r="E1057" t="str">
        <f>"111 027 034 279 9"</f>
        <v>111 027 034 279 9</v>
      </c>
      <c r="F1057" t="str">
        <f>"ACCT# 15 072 199-1 / 12022019"</f>
        <v>ACCT# 15 072 199-1 / 12022019</v>
      </c>
      <c r="G1057" s="2">
        <v>90.02</v>
      </c>
      <c r="H1057" t="str">
        <f>"ACCT# 15 072 199-1 / 12022019"</f>
        <v>ACCT# 15 072 199-1 / 12022019</v>
      </c>
    </row>
    <row r="1058" spans="1:8" x14ac:dyDescent="0.25">
      <c r="E1058" t="str">
        <f>"111 027 034 280 7"</f>
        <v>111 027 034 280 7</v>
      </c>
      <c r="F1058" t="str">
        <f>"ACCT# 15 072 200-7 / 12022019"</f>
        <v>ACCT# 15 072 200-7 / 12022019</v>
      </c>
      <c r="G1058" s="2">
        <v>317.58</v>
      </c>
      <c r="H1058" t="str">
        <f>"ACCT# 15 072 200-7 / 12022019"</f>
        <v>ACCT# 15 072 200-7 / 12022019</v>
      </c>
    </row>
    <row r="1059" spans="1:8" x14ac:dyDescent="0.25">
      <c r="E1059" t="str">
        <f>"111 027 034 281 5"</f>
        <v>111 027 034 281 5</v>
      </c>
      <c r="F1059" t="str">
        <f>"ACCT# 15 072 201-5 / 12022019"</f>
        <v>ACCT# 15 072 201-5 / 12022019</v>
      </c>
      <c r="G1059" s="2">
        <v>433.85</v>
      </c>
      <c r="H1059" t="str">
        <f>"ACCT# 15 072 201-5 / 12022019"</f>
        <v>ACCT# 15 072 201-5 / 12022019</v>
      </c>
    </row>
    <row r="1060" spans="1:8" x14ac:dyDescent="0.25">
      <c r="E1060" t="str">
        <f>"111 027 034 282 3"</f>
        <v>111 027 034 282 3</v>
      </c>
      <c r="F1060" t="str">
        <f>"ACCT# 15 072 202-3 / 12022019"</f>
        <v>ACCT# 15 072 202-3 / 12022019</v>
      </c>
      <c r="G1060" s="2">
        <v>31.88</v>
      </c>
      <c r="H1060" t="str">
        <f>"ACCT# 15 072 202-3 / 12022019"</f>
        <v>ACCT# 15 072 202-3 / 12022019</v>
      </c>
    </row>
    <row r="1061" spans="1:8" x14ac:dyDescent="0.25">
      <c r="E1061" t="str">
        <f>"111 027 034 283 1"</f>
        <v>111 027 034 283 1</v>
      </c>
      <c r="F1061" t="str">
        <f>"ACCT# 15 072 203-1 / 12022019"</f>
        <v>ACCT# 15 072 203-1 / 12022019</v>
      </c>
      <c r="G1061" s="2">
        <v>25.79</v>
      </c>
      <c r="H1061" t="str">
        <f>"ACCT# 15 072 203-1 / 12022019"</f>
        <v>ACCT# 15 072 203-1 / 12022019</v>
      </c>
    </row>
    <row r="1062" spans="1:8" x14ac:dyDescent="0.25">
      <c r="E1062" t="str">
        <f>"111 027 034 284 9"</f>
        <v>111 027 034 284 9</v>
      </c>
      <c r="F1062" t="str">
        <f>"ACCT# 15 072 204-9 / 12022019"</f>
        <v>ACCT# 15 072 204-9 / 12022019</v>
      </c>
      <c r="G1062" s="2">
        <v>252.71</v>
      </c>
      <c r="H1062" t="str">
        <f>"ACCT# 15 072 204-9 / 12022019"</f>
        <v>ACCT# 15 072 204-9 / 12022019</v>
      </c>
    </row>
    <row r="1063" spans="1:8" x14ac:dyDescent="0.25">
      <c r="A1063" t="s">
        <v>429</v>
      </c>
      <c r="B1063">
        <v>130333</v>
      </c>
      <c r="C1063" s="2">
        <v>1514.54</v>
      </c>
      <c r="D1063" s="1">
        <v>43830</v>
      </c>
      <c r="E1063" t="str">
        <f>"306 000 401 080 8"</f>
        <v>306 000 401 080 8</v>
      </c>
      <c r="F1063" t="str">
        <f>"ACCT#15 069 451-1 / 12302019"</f>
        <v>ACCT#15 069 451-1 / 12302019</v>
      </c>
      <c r="G1063" s="2">
        <v>357.08</v>
      </c>
      <c r="H1063" t="str">
        <f>"ACCT#15 069 451-1 / 12302019"</f>
        <v>ACCT#15 069 451-1 / 12302019</v>
      </c>
    </row>
    <row r="1064" spans="1:8" x14ac:dyDescent="0.25">
      <c r="E1064" t="str">
        <f>"306 000 401 101 2"</f>
        <v>306 000 401 101 2</v>
      </c>
      <c r="F1064" t="str">
        <f>"ACCT#15 072 199-1 / 12302019"</f>
        <v>ACCT#15 072 199-1 / 12302019</v>
      </c>
      <c r="G1064" s="2">
        <v>133.47</v>
      </c>
      <c r="H1064" t="str">
        <f>"ACCT#15 072 199-1 / 12302019"</f>
        <v>ACCT#15 072 199-1 / 12302019</v>
      </c>
    </row>
    <row r="1065" spans="1:8" x14ac:dyDescent="0.25">
      <c r="E1065" t="str">
        <f>"306 000 401 102 0"</f>
        <v>306 000 401 102 0</v>
      </c>
      <c r="F1065" t="str">
        <f>"ACCT#15 072 200-7 / 12302019"</f>
        <v>ACCT#15 072 200-7 / 12302019</v>
      </c>
      <c r="G1065" s="2">
        <v>327.76</v>
      </c>
      <c r="H1065" t="str">
        <f>"ACCT#15 072 200-7 / 12302019"</f>
        <v>ACCT#15 072 200-7 / 12302019</v>
      </c>
    </row>
    <row r="1066" spans="1:8" x14ac:dyDescent="0.25">
      <c r="E1066" t="str">
        <f>"306 000 401 103 8"</f>
        <v>306 000 401 103 8</v>
      </c>
      <c r="F1066" t="str">
        <f>"ACCT#15 072 201-5 / 12302019"</f>
        <v>ACCT#15 072 201-5 / 12302019</v>
      </c>
      <c r="G1066" s="2">
        <v>413.65</v>
      </c>
      <c r="H1066" t="str">
        <f>"ACCT#15 072 201-5 / 12302019"</f>
        <v>ACCT#15 072 201-5 / 12302019</v>
      </c>
    </row>
    <row r="1067" spans="1:8" x14ac:dyDescent="0.25">
      <c r="E1067" t="str">
        <f>"306 000 401 104 6"</f>
        <v>306 000 401 104 6</v>
      </c>
      <c r="F1067" t="str">
        <f>"ACCT#15 072 202-3 / 12302019"</f>
        <v>ACCT#15 072 202-3 / 12302019</v>
      </c>
      <c r="G1067" s="2">
        <v>30.07</v>
      </c>
      <c r="H1067" t="str">
        <f>"ACCT#15 072 202-3 / 12302019"</f>
        <v>ACCT#15 072 202-3 / 12302019</v>
      </c>
    </row>
    <row r="1068" spans="1:8" x14ac:dyDescent="0.25">
      <c r="E1068" t="str">
        <f>"306 000 401 105 3"</f>
        <v>306 000 401 105 3</v>
      </c>
      <c r="F1068" t="str">
        <f>"ACCT#15 072 203-1 / 12302019"</f>
        <v>ACCT#15 072 203-1 / 12302019</v>
      </c>
      <c r="G1068" s="2">
        <v>24.65</v>
      </c>
      <c r="H1068" t="str">
        <f>"ACCT#15 072 203-1 / 12302019"</f>
        <v>ACCT#15 072 203-1 / 12302019</v>
      </c>
    </row>
    <row r="1069" spans="1:8" x14ac:dyDescent="0.25">
      <c r="E1069" t="str">
        <f>"306 000 401 106 1"</f>
        <v>306 000 401 106 1</v>
      </c>
      <c r="F1069" t="str">
        <f>"ACCT#15 072 204-9 / 12302019"</f>
        <v>ACCT#15 072 204-9 / 12302019</v>
      </c>
      <c r="G1069" s="2">
        <v>227.86</v>
      </c>
      <c r="H1069" t="str">
        <f>"ACCT#15 072 204-9 / 12302019"</f>
        <v>ACCT#15 072 204-9 / 12302019</v>
      </c>
    </row>
    <row r="1070" spans="1:8" x14ac:dyDescent="0.25">
      <c r="A1070" t="s">
        <v>430</v>
      </c>
      <c r="B1070">
        <v>1921</v>
      </c>
      <c r="C1070" s="2">
        <v>1962.14</v>
      </c>
      <c r="D1070" s="1">
        <v>43823</v>
      </c>
      <c r="E1070" t="str">
        <f>"13700"</f>
        <v>13700</v>
      </c>
      <c r="F1070" t="str">
        <f>"SVC ORD#14582/WATER TRUCK"</f>
        <v>SVC ORD#14582/WATER TRUCK</v>
      </c>
      <c r="G1070" s="2">
        <v>1962.14</v>
      </c>
      <c r="H1070" t="str">
        <f>"SVC ORD#14582/WATER TRUCK"</f>
        <v>SVC ORD#14582/WATER TRUCK</v>
      </c>
    </row>
    <row r="1071" spans="1:8" x14ac:dyDescent="0.25">
      <c r="A1071" t="s">
        <v>431</v>
      </c>
      <c r="B1071">
        <v>1881</v>
      </c>
      <c r="C1071" s="2">
        <v>1102.95</v>
      </c>
      <c r="D1071" s="1">
        <v>43809</v>
      </c>
      <c r="E1071" t="str">
        <f>"201912033755"</f>
        <v>201912033755</v>
      </c>
      <c r="F1071" t="str">
        <f>"19-19970"</f>
        <v>19-19970</v>
      </c>
      <c r="G1071" s="2">
        <v>102.95</v>
      </c>
      <c r="H1071" t="str">
        <f>"19-19970"</f>
        <v>19-19970</v>
      </c>
    </row>
    <row r="1072" spans="1:8" x14ac:dyDescent="0.25">
      <c r="E1072" t="str">
        <f>"201912033756"</f>
        <v>201912033756</v>
      </c>
      <c r="F1072" t="str">
        <f>"56723"</f>
        <v>56723</v>
      </c>
      <c r="G1072" s="2">
        <v>250</v>
      </c>
      <c r="H1072" t="str">
        <f>"56723"</f>
        <v>56723</v>
      </c>
    </row>
    <row r="1073" spans="1:8" x14ac:dyDescent="0.25">
      <c r="E1073" t="str">
        <f>"201912033757"</f>
        <v>201912033757</v>
      </c>
      <c r="F1073" t="str">
        <f>"410268-7  56 849"</f>
        <v>410268-7  56 849</v>
      </c>
      <c r="G1073" s="2">
        <v>250</v>
      </c>
      <c r="H1073" t="str">
        <f>"410268-7  56 849"</f>
        <v>410268-7  56 849</v>
      </c>
    </row>
    <row r="1074" spans="1:8" x14ac:dyDescent="0.25">
      <c r="E1074" t="str">
        <f>"201912033758"</f>
        <v>201912033758</v>
      </c>
      <c r="F1074" t="str">
        <f>"57 019"</f>
        <v>57 019</v>
      </c>
      <c r="G1074" s="2">
        <v>250</v>
      </c>
      <c r="H1074" t="str">
        <f>"57 019"</f>
        <v>57 019</v>
      </c>
    </row>
    <row r="1075" spans="1:8" x14ac:dyDescent="0.25">
      <c r="E1075" t="str">
        <f>"201912033759"</f>
        <v>201912033759</v>
      </c>
      <c r="F1075" t="str">
        <f>"56 848"</f>
        <v>56 848</v>
      </c>
      <c r="G1075" s="2">
        <v>250</v>
      </c>
      <c r="H1075" t="str">
        <f>"56 848"</f>
        <v>56 848</v>
      </c>
    </row>
    <row r="1076" spans="1:8" x14ac:dyDescent="0.25">
      <c r="A1076" t="s">
        <v>431</v>
      </c>
      <c r="B1076">
        <v>1952</v>
      </c>
      <c r="C1076" s="2">
        <v>610.02</v>
      </c>
      <c r="D1076" s="1">
        <v>43823</v>
      </c>
      <c r="E1076" t="str">
        <f>"201912174164"</f>
        <v>201912174164</v>
      </c>
      <c r="F1076" t="str">
        <f>"19-19996"</f>
        <v>19-19996</v>
      </c>
      <c r="G1076" s="2">
        <v>110.02</v>
      </c>
      <c r="H1076" t="str">
        <f>"19-19996"</f>
        <v>19-19996</v>
      </c>
    </row>
    <row r="1077" spans="1:8" x14ac:dyDescent="0.25">
      <c r="E1077" t="str">
        <f>"201912174165"</f>
        <v>201912174165</v>
      </c>
      <c r="F1077" t="str">
        <f>"BC20190820A"</f>
        <v>BC20190820A</v>
      </c>
      <c r="G1077" s="2">
        <v>250</v>
      </c>
      <c r="H1077" t="str">
        <f>"BC20190820A"</f>
        <v>BC20190820A</v>
      </c>
    </row>
    <row r="1078" spans="1:8" x14ac:dyDescent="0.25">
      <c r="E1078" t="str">
        <f>"201912174166"</f>
        <v>201912174166</v>
      </c>
      <c r="F1078" t="str">
        <f>"BC20190809A"</f>
        <v>BC20190809A</v>
      </c>
      <c r="G1078" s="2">
        <v>250</v>
      </c>
      <c r="H1078" t="str">
        <f>"BC20190809A"</f>
        <v>BC20190809A</v>
      </c>
    </row>
    <row r="1079" spans="1:8" x14ac:dyDescent="0.25">
      <c r="A1079" t="s">
        <v>432</v>
      </c>
      <c r="B1079">
        <v>1848</v>
      </c>
      <c r="C1079" s="2">
        <v>350</v>
      </c>
      <c r="D1079" s="1">
        <v>43809</v>
      </c>
      <c r="E1079" t="str">
        <f>"BCSONOV19"</f>
        <v>BCSONOV19</v>
      </c>
      <c r="F1079" t="str">
        <f>"INV BCSONOV19"</f>
        <v>INV BCSONOV19</v>
      </c>
      <c r="G1079" s="2">
        <v>350</v>
      </c>
      <c r="H1079" t="str">
        <f>"INV BCSONOV19"</f>
        <v>INV BCSONOV19</v>
      </c>
    </row>
    <row r="1080" spans="1:8" x14ac:dyDescent="0.25">
      <c r="A1080" t="s">
        <v>433</v>
      </c>
      <c r="B1080">
        <v>130014</v>
      </c>
      <c r="C1080" s="2">
        <v>60</v>
      </c>
      <c r="D1080" s="1">
        <v>43808</v>
      </c>
      <c r="E1080" t="str">
        <f>"201911273569"</f>
        <v>201911273569</v>
      </c>
      <c r="F1080" t="str">
        <f>"FERAL HOGS"</f>
        <v>FERAL HOGS</v>
      </c>
      <c r="G1080" s="2">
        <v>60</v>
      </c>
      <c r="H1080" t="str">
        <f>"FERAL HOGS"</f>
        <v>FERAL HOGS</v>
      </c>
    </row>
    <row r="1081" spans="1:8" x14ac:dyDescent="0.25">
      <c r="A1081" t="s">
        <v>434</v>
      </c>
      <c r="B1081">
        <v>130254</v>
      </c>
      <c r="C1081" s="2">
        <v>109.09</v>
      </c>
      <c r="D1081" s="1">
        <v>43822</v>
      </c>
      <c r="E1081" t="str">
        <f>"4823524"</f>
        <v>4823524</v>
      </c>
      <c r="F1081" t="str">
        <f>"INV 4823524"</f>
        <v>INV 4823524</v>
      </c>
      <c r="G1081" s="2">
        <v>109.09</v>
      </c>
      <c r="H1081" t="str">
        <f>"INV 4823524"</f>
        <v>INV 4823524</v>
      </c>
    </row>
    <row r="1082" spans="1:8" x14ac:dyDescent="0.25">
      <c r="A1082" t="s">
        <v>435</v>
      </c>
      <c r="B1082">
        <v>130255</v>
      </c>
      <c r="C1082" s="2">
        <v>45</v>
      </c>
      <c r="D1082" s="1">
        <v>43822</v>
      </c>
      <c r="E1082" t="str">
        <f>"201912113930"</f>
        <v>201912113930</v>
      </c>
      <c r="F1082" t="str">
        <f>"FERAL HOGS"</f>
        <v>FERAL HOGS</v>
      </c>
      <c r="G1082" s="2">
        <v>45</v>
      </c>
      <c r="H1082" t="str">
        <f>"FERAL HOGS"</f>
        <v>FERAL HOGS</v>
      </c>
    </row>
    <row r="1083" spans="1:8" x14ac:dyDescent="0.25">
      <c r="A1083" t="s">
        <v>436</v>
      </c>
      <c r="B1083">
        <v>130015</v>
      </c>
      <c r="C1083" s="2">
        <v>45</v>
      </c>
      <c r="D1083" s="1">
        <v>43808</v>
      </c>
      <c r="E1083" t="str">
        <f>"191104-1"</f>
        <v>191104-1</v>
      </c>
      <c r="F1083" t="str">
        <f>"Uniform Shirts"</f>
        <v>Uniform Shirts</v>
      </c>
      <c r="G1083" s="2">
        <v>45</v>
      </c>
      <c r="H1083" t="str">
        <f>"GD64V00"</f>
        <v>GD64V00</v>
      </c>
    </row>
    <row r="1084" spans="1:8" x14ac:dyDescent="0.25">
      <c r="E1084" t="str">
        <f>""</f>
        <v/>
      </c>
      <c r="F1084" t="str">
        <f>""</f>
        <v/>
      </c>
      <c r="H1084" t="str">
        <f>"PC78ZH"</f>
        <v>PC78ZH</v>
      </c>
    </row>
    <row r="1085" spans="1:8" x14ac:dyDescent="0.25">
      <c r="A1085" t="s">
        <v>437</v>
      </c>
      <c r="B1085">
        <v>130256</v>
      </c>
      <c r="C1085" s="2">
        <v>685</v>
      </c>
      <c r="D1085" s="1">
        <v>43822</v>
      </c>
      <c r="E1085" t="str">
        <f>"201912113931"</f>
        <v>201912113931</v>
      </c>
      <c r="F1085" t="str">
        <f>"FERAL HOGS"</f>
        <v>FERAL HOGS</v>
      </c>
      <c r="G1085" s="2">
        <v>685</v>
      </c>
      <c r="H1085" t="str">
        <f>"FERAL HOGS"</f>
        <v>FERAL HOGS</v>
      </c>
    </row>
    <row r="1086" spans="1:8" x14ac:dyDescent="0.25">
      <c r="A1086" t="s">
        <v>438</v>
      </c>
      <c r="B1086">
        <v>130257</v>
      </c>
      <c r="C1086" s="2">
        <v>727.13</v>
      </c>
      <c r="D1086" s="1">
        <v>43822</v>
      </c>
      <c r="E1086" t="str">
        <f>"107122670"</f>
        <v>107122670</v>
      </c>
      <c r="F1086" t="str">
        <f>"DOC#PS07075599/CUST#04912/P1"</f>
        <v>DOC#PS07075599/CUST#04912/P1</v>
      </c>
      <c r="G1086" s="2">
        <v>727.13</v>
      </c>
      <c r="H1086" t="str">
        <f>"DOC#PS07075599/CUST#04912/P1"</f>
        <v>DOC#PS07075599/CUST#04912/P1</v>
      </c>
    </row>
    <row r="1087" spans="1:8" x14ac:dyDescent="0.25">
      <c r="A1087" t="s">
        <v>439</v>
      </c>
      <c r="B1087">
        <v>130258</v>
      </c>
      <c r="C1087" s="2">
        <v>70</v>
      </c>
      <c r="D1087" s="1">
        <v>43822</v>
      </c>
      <c r="E1087" t="str">
        <f>"201912184235"</f>
        <v>201912184235</v>
      </c>
      <c r="F1087" t="str">
        <f>"LPHCP RECORDING FEES"</f>
        <v>LPHCP RECORDING FEES</v>
      </c>
      <c r="G1087" s="2">
        <v>70</v>
      </c>
      <c r="H1087" t="str">
        <f>"LPHCP RECORDING FEES"</f>
        <v>LPHCP RECORDING FEES</v>
      </c>
    </row>
    <row r="1088" spans="1:8" x14ac:dyDescent="0.25">
      <c r="A1088" t="s">
        <v>439</v>
      </c>
      <c r="B1088">
        <v>130259</v>
      </c>
      <c r="C1088" s="2">
        <v>95</v>
      </c>
      <c r="D1088" s="1">
        <v>43822</v>
      </c>
      <c r="E1088" t="str">
        <f>"201912174148"</f>
        <v>201912174148</v>
      </c>
      <c r="F1088" t="str">
        <f>"DEVELOPMENT SVCS RECORDING FEE"</f>
        <v>DEVELOPMENT SVCS RECORDING FEE</v>
      </c>
      <c r="G1088" s="2">
        <v>95</v>
      </c>
      <c r="H1088" t="str">
        <f>"DEVELOPMENT SVCS RECORDING FEE"</f>
        <v>DEVELOPMENT SVCS RECORDING FEE</v>
      </c>
    </row>
    <row r="1089" spans="1:9" x14ac:dyDescent="0.25">
      <c r="A1089" t="s">
        <v>440</v>
      </c>
      <c r="B1089">
        <v>130260</v>
      </c>
      <c r="C1089" s="2">
        <v>1559.97</v>
      </c>
      <c r="D1089" s="1">
        <v>43822</v>
      </c>
      <c r="E1089" t="str">
        <f>"CVCS52894"</f>
        <v>CVCS52894</v>
      </c>
      <c r="F1089" t="str">
        <f>"CUST#9486/PCT#4"</f>
        <v>CUST#9486/PCT#4</v>
      </c>
      <c r="G1089" s="2">
        <v>400</v>
      </c>
      <c r="H1089" t="str">
        <f>"CUST#9486/PCT#4"</f>
        <v>CUST#9486/PCT#4</v>
      </c>
    </row>
    <row r="1090" spans="1:9" x14ac:dyDescent="0.25">
      <c r="E1090" t="str">
        <f>"CVCS53553"</f>
        <v>CVCS53553</v>
      </c>
      <c r="F1090" t="str">
        <f>"CUST#9486/PCT#4"</f>
        <v>CUST#9486/PCT#4</v>
      </c>
      <c r="G1090" s="2">
        <v>1159.97</v>
      </c>
      <c r="H1090" t="str">
        <f>"CUST#9486/PCT#4"</f>
        <v>CUST#9486/PCT#4</v>
      </c>
    </row>
    <row r="1091" spans="1:9" x14ac:dyDescent="0.25">
      <c r="A1091" t="s">
        <v>441</v>
      </c>
      <c r="B1091">
        <v>130016</v>
      </c>
      <c r="C1091" s="2">
        <v>307.97000000000003</v>
      </c>
      <c r="D1091" s="1">
        <v>43808</v>
      </c>
      <c r="E1091" t="str">
        <f>"00636 966059"</f>
        <v>00636 966059</v>
      </c>
      <c r="F1091" t="str">
        <f>"2012 TOYOTA/PCT#1"</f>
        <v>2012 TOYOTA/PCT#1</v>
      </c>
      <c r="G1091" s="2">
        <v>307.97000000000003</v>
      </c>
      <c r="H1091" t="str">
        <f>"2012 TOYOTA/PCT#1"</f>
        <v>2012 TOYOTA/PCT#1</v>
      </c>
    </row>
    <row r="1092" spans="1:9" x14ac:dyDescent="0.25">
      <c r="A1092" t="s">
        <v>442</v>
      </c>
      <c r="B1092">
        <v>130017</v>
      </c>
      <c r="C1092" s="2">
        <v>160</v>
      </c>
      <c r="D1092" s="1">
        <v>43808</v>
      </c>
      <c r="E1092" t="str">
        <f>"156125"</f>
        <v>156125</v>
      </c>
      <c r="F1092" t="str">
        <f>"INV 156125"</f>
        <v>INV 156125</v>
      </c>
      <c r="G1092" s="2">
        <v>160</v>
      </c>
      <c r="H1092" t="str">
        <f>"INV 156125"</f>
        <v>INV 156125</v>
      </c>
    </row>
    <row r="1093" spans="1:9" x14ac:dyDescent="0.25">
      <c r="A1093" t="s">
        <v>443</v>
      </c>
      <c r="B1093">
        <v>1955</v>
      </c>
      <c r="C1093" s="2">
        <v>132.96</v>
      </c>
      <c r="D1093" s="1">
        <v>43823</v>
      </c>
      <c r="E1093" t="str">
        <f>"201912184273"</f>
        <v>201912184273</v>
      </c>
      <c r="F1093" t="str">
        <f>"INDIGENT HEALTH"</f>
        <v>INDIGENT HEALTH</v>
      </c>
      <c r="G1093" s="2">
        <v>132.96</v>
      </c>
      <c r="H1093" t="str">
        <f>"INDIGENT HEALTH"</f>
        <v>INDIGENT HEALTH</v>
      </c>
    </row>
    <row r="1094" spans="1:9" x14ac:dyDescent="0.25">
      <c r="A1094" t="s">
        <v>444</v>
      </c>
      <c r="B1094">
        <v>130018</v>
      </c>
      <c r="C1094" s="2">
        <v>55</v>
      </c>
      <c r="D1094" s="1">
        <v>43808</v>
      </c>
      <c r="E1094" t="str">
        <f>"201911273570"</f>
        <v>201911273570</v>
      </c>
      <c r="F1094" t="str">
        <f>"FERAL HOGS"</f>
        <v>FERAL HOGS</v>
      </c>
      <c r="G1094" s="2">
        <v>55</v>
      </c>
      <c r="H1094" t="str">
        <f>"FERAL HOGS"</f>
        <v>FERAL HOGS</v>
      </c>
    </row>
    <row r="1095" spans="1:9" x14ac:dyDescent="0.25">
      <c r="A1095" t="s">
        <v>445</v>
      </c>
      <c r="B1095">
        <v>130261</v>
      </c>
      <c r="C1095" s="2">
        <v>230</v>
      </c>
      <c r="D1095" s="1">
        <v>43822</v>
      </c>
      <c r="E1095" t="str">
        <f>"201912174132"</f>
        <v>201912174132</v>
      </c>
      <c r="F1095" t="str">
        <f>"TRAVEL ADVANCE - PER DIEM"</f>
        <v>TRAVEL ADVANCE - PER DIEM</v>
      </c>
      <c r="G1095" s="2">
        <v>230</v>
      </c>
      <c r="H1095" t="str">
        <f>"TRAVEL ADVANCE - PER DIEM"</f>
        <v>TRAVEL ADVANCE - PER DIEM</v>
      </c>
    </row>
    <row r="1096" spans="1:9" x14ac:dyDescent="0.25">
      <c r="A1096" t="s">
        <v>446</v>
      </c>
      <c r="B1096">
        <v>1883</v>
      </c>
      <c r="C1096" s="2">
        <v>3179.96</v>
      </c>
      <c r="D1096" s="1">
        <v>43809</v>
      </c>
      <c r="E1096" t="str">
        <f>"064397"</f>
        <v>064397</v>
      </c>
      <c r="F1096" t="str">
        <f>"JURY SUMMONS/DISTRICT CLERK"</f>
        <v>JURY SUMMONS/DISTRICT CLERK</v>
      </c>
      <c r="G1096" s="2">
        <v>3179.96</v>
      </c>
      <c r="H1096" t="str">
        <f>"JURY SUMMONS/DISTRICT CLERK"</f>
        <v>JURY SUMMONS/DISTRICT CLERK</v>
      </c>
    </row>
    <row r="1097" spans="1:9" x14ac:dyDescent="0.25">
      <c r="A1097" t="s">
        <v>447</v>
      </c>
      <c r="B1097">
        <v>130019</v>
      </c>
      <c r="C1097" s="2">
        <v>250</v>
      </c>
      <c r="D1097" s="1">
        <v>43808</v>
      </c>
      <c r="E1097" t="str">
        <f>"201911273571"</f>
        <v>201911273571</v>
      </c>
      <c r="F1097" t="str">
        <f>"FERAL HOGS"</f>
        <v>FERAL HOGS</v>
      </c>
      <c r="G1097" s="2">
        <v>250</v>
      </c>
      <c r="H1097" t="str">
        <f>"FERAL HOGS"</f>
        <v>FERAL HOGS</v>
      </c>
    </row>
    <row r="1098" spans="1:9" x14ac:dyDescent="0.25">
      <c r="A1098" t="s">
        <v>448</v>
      </c>
      <c r="B1098">
        <v>1841</v>
      </c>
      <c r="C1098" s="2">
        <v>11638</v>
      </c>
      <c r="D1098" s="1">
        <v>43809</v>
      </c>
      <c r="E1098" t="str">
        <f>"PPDINV0013577/78"</f>
        <v>PPDINV0013577/78</v>
      </c>
      <c r="F1098" t="str">
        <f>"INV PPDINV0013578"</f>
        <v>INV PPDINV0013578</v>
      </c>
      <c r="G1098" s="2">
        <v>11638</v>
      </c>
      <c r="H1098" t="str">
        <f>"INV PPDINV0013578"</f>
        <v>INV PPDINV0013578</v>
      </c>
    </row>
    <row r="1099" spans="1:9" x14ac:dyDescent="0.25">
      <c r="E1099" t="str">
        <f>""</f>
        <v/>
      </c>
      <c r="F1099" t="str">
        <f>""</f>
        <v/>
      </c>
      <c r="H1099" t="str">
        <f>"INV PPDINV0013577"</f>
        <v>INV PPDINV0013577</v>
      </c>
    </row>
    <row r="1100" spans="1:9" x14ac:dyDescent="0.25">
      <c r="A1100" t="s">
        <v>449</v>
      </c>
      <c r="B1100">
        <v>130262</v>
      </c>
      <c r="C1100" s="2">
        <v>3333</v>
      </c>
      <c r="D1100" s="1">
        <v>43822</v>
      </c>
      <c r="E1100" t="str">
        <f>"1120191"</f>
        <v>1120191</v>
      </c>
      <c r="F1100" t="str">
        <f>"INDIGENT HEALTH CARE"</f>
        <v>INDIGENT HEALTH CARE</v>
      </c>
      <c r="G1100" s="2">
        <v>3333</v>
      </c>
      <c r="H1100" t="str">
        <f>"INDIGENT HEALTH CARE"</f>
        <v>INDIGENT HEALTH CARE</v>
      </c>
    </row>
    <row r="1101" spans="1:9" x14ac:dyDescent="0.25">
      <c r="A1101" t="s">
        <v>450</v>
      </c>
      <c r="B1101">
        <v>130263</v>
      </c>
      <c r="C1101" s="2">
        <v>30</v>
      </c>
      <c r="D1101" s="1">
        <v>43822</v>
      </c>
      <c r="E1101" t="s">
        <v>451</v>
      </c>
      <c r="F1101" t="s">
        <v>452</v>
      </c>
      <c r="G1101" s="2" t="str">
        <f>"RESTITUTION-D. MCCOMB"</f>
        <v>RESTITUTION-D. MCCOMB</v>
      </c>
      <c r="H1101" t="str">
        <f>"210-0000"</f>
        <v>210-0000</v>
      </c>
      <c r="I1101" t="str">
        <f>""</f>
        <v/>
      </c>
    </row>
    <row r="1102" spans="1:9" x14ac:dyDescent="0.25">
      <c r="A1102" t="s">
        <v>453</v>
      </c>
      <c r="B1102">
        <v>130020</v>
      </c>
      <c r="C1102" s="2">
        <v>792.9</v>
      </c>
      <c r="D1102" s="1">
        <v>43808</v>
      </c>
      <c r="E1102" t="str">
        <f>"201912023589"</f>
        <v>201912023589</v>
      </c>
      <c r="F1102" t="str">
        <f>"ACCT#20147/ANIMAL SERVICES"</f>
        <v>ACCT#20147/ANIMAL SERVICES</v>
      </c>
      <c r="G1102" s="2">
        <v>792.9</v>
      </c>
      <c r="H1102" t="str">
        <f>"ACCT#20147/ANIMAL SERVICES"</f>
        <v>ACCT#20147/ANIMAL SERVICES</v>
      </c>
    </row>
    <row r="1103" spans="1:9" x14ac:dyDescent="0.25">
      <c r="A1103" t="s">
        <v>454</v>
      </c>
      <c r="B1103">
        <v>130021</v>
      </c>
      <c r="C1103" s="2">
        <v>10772.31</v>
      </c>
      <c r="D1103" s="1">
        <v>43808</v>
      </c>
      <c r="E1103" t="str">
        <f>"GB00347795 348828"</f>
        <v>GB00347795 348828</v>
      </c>
      <c r="F1103" t="str">
        <f>"Security Cameras fror Cou"</f>
        <v>Security Cameras fror Cou</v>
      </c>
      <c r="G1103" s="2">
        <v>1606</v>
      </c>
      <c r="H1103" t="str">
        <f>"Part#: 0804-001"</f>
        <v>Part#: 0804-001</v>
      </c>
    </row>
    <row r="1104" spans="1:9" x14ac:dyDescent="0.25">
      <c r="E1104" t="str">
        <f>""</f>
        <v/>
      </c>
      <c r="F1104" t="str">
        <f>""</f>
        <v/>
      </c>
      <c r="H1104" t="str">
        <f>"Part#: 0536-001"</f>
        <v>Part#: 0536-001</v>
      </c>
    </row>
    <row r="1105" spans="1:8" x14ac:dyDescent="0.25">
      <c r="E1105" t="str">
        <f>"GB00349643"</f>
        <v>GB00349643</v>
      </c>
      <c r="F1105" t="str">
        <f>"KnowB4 Security Awareness"</f>
        <v>KnowB4 Security Awareness</v>
      </c>
      <c r="G1105" s="2">
        <v>8856</v>
      </c>
      <c r="H1105" t="str">
        <f>" Part#: 1000KMSD0000"</f>
        <v xml:space="preserve"> Part#: 1000KMSD0000</v>
      </c>
    </row>
    <row r="1106" spans="1:8" x14ac:dyDescent="0.25">
      <c r="E1106" t="str">
        <f>"GB00349685"</f>
        <v>GB00349685</v>
      </c>
      <c r="F1106" t="str">
        <f>"AutoCAD renewal"</f>
        <v>AutoCAD renewal</v>
      </c>
      <c r="G1106" s="2">
        <v>310.31</v>
      </c>
      <c r="H1106" t="str">
        <f>"AutoCAD renewal"</f>
        <v>AutoCAD renewal</v>
      </c>
    </row>
    <row r="1107" spans="1:8" x14ac:dyDescent="0.25">
      <c r="E1107" t="str">
        <f>""</f>
        <v/>
      </c>
      <c r="F1107" t="str">
        <f>""</f>
        <v/>
      </c>
      <c r="H1107" t="str">
        <f>"AutoCAD renewal"</f>
        <v>AutoCAD renewal</v>
      </c>
    </row>
    <row r="1108" spans="1:8" x14ac:dyDescent="0.25">
      <c r="A1108" t="s">
        <v>454</v>
      </c>
      <c r="B1108">
        <v>130264</v>
      </c>
      <c r="C1108" s="2">
        <v>13407.31</v>
      </c>
      <c r="D1108" s="1">
        <v>43822</v>
      </c>
      <c r="E1108" t="str">
        <f>"GB00348562 GB00348"</f>
        <v>GB00348562 GB00348</v>
      </c>
      <c r="F1108" t="str">
        <f>"DroneSAR Command"</f>
        <v>DroneSAR Command</v>
      </c>
      <c r="G1108" s="2">
        <v>872</v>
      </c>
      <c r="H1108" t="str">
        <f>"DroneSAR Command"</f>
        <v>DroneSAR Command</v>
      </c>
    </row>
    <row r="1109" spans="1:8" x14ac:dyDescent="0.25">
      <c r="E1109" t="str">
        <f>"GB00350854"</f>
        <v>GB00350854</v>
      </c>
      <c r="F1109" t="str">
        <f>"Meraki Access Points"</f>
        <v>Meraki Access Points</v>
      </c>
      <c r="G1109" s="2">
        <v>1956</v>
      </c>
      <c r="H1109" t="str">
        <f>"Part#: MR33-HW"</f>
        <v>Part#: MR33-HW</v>
      </c>
    </row>
    <row r="1110" spans="1:8" x14ac:dyDescent="0.25">
      <c r="E1110" t="str">
        <f>""</f>
        <v/>
      </c>
      <c r="F1110" t="str">
        <f>""</f>
        <v/>
      </c>
      <c r="H1110" t="str">
        <f>"Part#: LIC-ENT-3YR"</f>
        <v>Part#: LIC-ENT-3YR</v>
      </c>
    </row>
    <row r="1111" spans="1:8" x14ac:dyDescent="0.25">
      <c r="E1111" t="str">
        <f>"GB003511632"</f>
        <v>GB003511632</v>
      </c>
      <c r="F1111" t="str">
        <f>"Microsoft EA True Up"</f>
        <v>Microsoft EA True Up</v>
      </c>
      <c r="G1111" s="2">
        <v>3243.31</v>
      </c>
      <c r="H1111" t="str">
        <f>"CoreCAL"</f>
        <v>CoreCAL</v>
      </c>
    </row>
    <row r="1112" spans="1:8" x14ac:dyDescent="0.25">
      <c r="E1112" t="str">
        <f>""</f>
        <v/>
      </c>
      <c r="F1112" t="str">
        <f>""</f>
        <v/>
      </c>
      <c r="H1112" t="str">
        <f>"OfficeProPlus"</f>
        <v>OfficeProPlus</v>
      </c>
    </row>
    <row r="1113" spans="1:8" x14ac:dyDescent="0.25">
      <c r="E1113" t="str">
        <f>""</f>
        <v/>
      </c>
      <c r="F1113" t="str">
        <f>""</f>
        <v/>
      </c>
      <c r="H1113" t="str">
        <f>"WINENTperDVC"</f>
        <v>WINENTperDVC</v>
      </c>
    </row>
    <row r="1114" spans="1:8" x14ac:dyDescent="0.25">
      <c r="E1114" t="str">
        <f>"GB00351447"</f>
        <v>GB00351447</v>
      </c>
      <c r="F1114" t="str">
        <f>"Wireless Keyboard"</f>
        <v>Wireless Keyboard</v>
      </c>
      <c r="G1114" s="2">
        <v>26</v>
      </c>
      <c r="H1114" t="str">
        <f>"Wireless Keyboard"</f>
        <v>Wireless Keyboard</v>
      </c>
    </row>
    <row r="1115" spans="1:8" x14ac:dyDescent="0.25">
      <c r="E1115" t="str">
        <f>"GB00351770"</f>
        <v>GB00351770</v>
      </c>
      <c r="F1115" t="str">
        <f>"Netmotion Mobility Premiu"</f>
        <v>Netmotion Mobility Premiu</v>
      </c>
      <c r="G1115" s="2">
        <v>7310</v>
      </c>
      <c r="H1115" t="str">
        <f>"FY20/21; 11NMXP25"</f>
        <v>FY20/21; 11NMXP25</v>
      </c>
    </row>
    <row r="1116" spans="1:8" x14ac:dyDescent="0.25">
      <c r="E1116" t="str">
        <f>""</f>
        <v/>
      </c>
      <c r="F1116" t="str">
        <f>""</f>
        <v/>
      </c>
      <c r="H1116" t="str">
        <f>"FY19/20; 11NMXP25"</f>
        <v>FY19/20; 11NMXP25</v>
      </c>
    </row>
    <row r="1117" spans="1:8" x14ac:dyDescent="0.25">
      <c r="A1117" t="s">
        <v>455</v>
      </c>
      <c r="B1117">
        <v>130022</v>
      </c>
      <c r="C1117" s="2">
        <v>130.43</v>
      </c>
      <c r="D1117" s="1">
        <v>43808</v>
      </c>
      <c r="E1117" t="str">
        <f>"1066619"</f>
        <v>1066619</v>
      </c>
      <c r="F1117" t="str">
        <f>"ACCT#550615/PCT#2"</f>
        <v>ACCT#550615/PCT#2</v>
      </c>
      <c r="G1117" s="2">
        <v>130.43</v>
      </c>
      <c r="H1117" t="str">
        <f>"ACCT#550615/PCT#2"</f>
        <v>ACCT#550615/PCT#2</v>
      </c>
    </row>
    <row r="1118" spans="1:8" x14ac:dyDescent="0.25">
      <c r="A1118" t="s">
        <v>456</v>
      </c>
      <c r="B1118">
        <v>130023</v>
      </c>
      <c r="C1118" s="2">
        <v>365.84</v>
      </c>
      <c r="D1118" s="1">
        <v>43808</v>
      </c>
      <c r="E1118" t="str">
        <f>"201912033694"</f>
        <v>201912033694</v>
      </c>
      <c r="F1118" t="str">
        <f>"CUST#16155373/SHREDDING SVCS"</f>
        <v>CUST#16155373/SHREDDING SVCS</v>
      </c>
      <c r="G1118" s="2">
        <v>123.44</v>
      </c>
      <c r="H1118" t="str">
        <f t="shared" ref="H1118:H1123" si="17">"CUST#16155373/SHREDDING SVCS"</f>
        <v>CUST#16155373/SHREDDING SVCS</v>
      </c>
    </row>
    <row r="1119" spans="1:8" x14ac:dyDescent="0.25">
      <c r="E1119" t="str">
        <f>""</f>
        <v/>
      </c>
      <c r="F1119" t="str">
        <f>""</f>
        <v/>
      </c>
      <c r="H1119" t="str">
        <f t="shared" si="17"/>
        <v>CUST#16155373/SHREDDING SVCS</v>
      </c>
    </row>
    <row r="1120" spans="1:8" x14ac:dyDescent="0.25">
      <c r="E1120" t="str">
        <f>""</f>
        <v/>
      </c>
      <c r="F1120" t="str">
        <f>""</f>
        <v/>
      </c>
      <c r="H1120" t="str">
        <f t="shared" si="17"/>
        <v>CUST#16155373/SHREDDING SVCS</v>
      </c>
    </row>
    <row r="1121" spans="1:8" x14ac:dyDescent="0.25">
      <c r="E1121" t="str">
        <f>""</f>
        <v/>
      </c>
      <c r="F1121" t="str">
        <f>""</f>
        <v/>
      </c>
      <c r="H1121" t="str">
        <f t="shared" si="17"/>
        <v>CUST#16155373/SHREDDING SVCS</v>
      </c>
    </row>
    <row r="1122" spans="1:8" x14ac:dyDescent="0.25">
      <c r="E1122" t="str">
        <f>""</f>
        <v/>
      </c>
      <c r="F1122" t="str">
        <f>""</f>
        <v/>
      </c>
      <c r="H1122" t="str">
        <f t="shared" si="17"/>
        <v>CUST#16155373/SHREDDING SVCS</v>
      </c>
    </row>
    <row r="1123" spans="1:8" x14ac:dyDescent="0.25">
      <c r="E1123" t="str">
        <f>""</f>
        <v/>
      </c>
      <c r="F1123" t="str">
        <f>""</f>
        <v/>
      </c>
      <c r="H1123" t="str">
        <f t="shared" si="17"/>
        <v>CUST#16155373/SHREDDING SVCS</v>
      </c>
    </row>
    <row r="1124" spans="1:8" x14ac:dyDescent="0.25">
      <c r="E1124" t="str">
        <f>"8128713608-LE"</f>
        <v>8128713608-LE</v>
      </c>
      <c r="F1124" t="str">
        <f>"INV 8128713608"</f>
        <v>INV 8128713608</v>
      </c>
      <c r="G1124" s="2">
        <v>158.99</v>
      </c>
      <c r="H1124" t="str">
        <f>"INV 8128713608 - LE"</f>
        <v>INV 8128713608 - LE</v>
      </c>
    </row>
    <row r="1125" spans="1:8" x14ac:dyDescent="0.25">
      <c r="E1125" t="str">
        <f>""</f>
        <v/>
      </c>
      <c r="F1125" t="str">
        <f>""</f>
        <v/>
      </c>
      <c r="H1125" t="str">
        <f>"INV 8128713608 - JAI"</f>
        <v>INV 8128713608 - JAI</v>
      </c>
    </row>
    <row r="1126" spans="1:8" x14ac:dyDescent="0.25">
      <c r="E1126" t="str">
        <f>"8128714213"</f>
        <v>8128714213</v>
      </c>
      <c r="F1126" t="str">
        <f>"CUST#16156071/TAX OFFICE"</f>
        <v>CUST#16156071/TAX OFFICE</v>
      </c>
      <c r="G1126" s="2">
        <v>83.41</v>
      </c>
      <c r="H1126" t="str">
        <f>"CUST#16156071/TAX OFFICE"</f>
        <v>CUST#16156071/TAX OFFICE</v>
      </c>
    </row>
    <row r="1127" spans="1:8" x14ac:dyDescent="0.25">
      <c r="A1127" t="s">
        <v>456</v>
      </c>
      <c r="B1127">
        <v>130265</v>
      </c>
      <c r="C1127" s="2">
        <v>67.12</v>
      </c>
      <c r="D1127" s="1">
        <v>43822</v>
      </c>
      <c r="E1127" t="str">
        <f>"8128714294"</f>
        <v>8128714294</v>
      </c>
      <c r="F1127" t="str">
        <f>"CUST#16158670/JP#4"</f>
        <v>CUST#16158670/JP#4</v>
      </c>
      <c r="G1127" s="2">
        <v>67.12</v>
      </c>
      <c r="H1127" t="str">
        <f>"CUST#16158670/JP#4"</f>
        <v>CUST#16158670/JP#4</v>
      </c>
    </row>
    <row r="1128" spans="1:8" x14ac:dyDescent="0.25">
      <c r="A1128" t="s">
        <v>457</v>
      </c>
      <c r="B1128">
        <v>130024</v>
      </c>
      <c r="C1128" s="2">
        <v>50</v>
      </c>
      <c r="D1128" s="1">
        <v>43808</v>
      </c>
      <c r="E1128" t="str">
        <f>"2658"</f>
        <v>2658</v>
      </c>
      <c r="F1128" t="str">
        <f>"CAR MAGNETS/OEM"</f>
        <v>CAR MAGNETS/OEM</v>
      </c>
      <c r="G1128" s="2">
        <v>50</v>
      </c>
      <c r="H1128" t="str">
        <f>"CAR MAGNETS/OEM"</f>
        <v>CAR MAGNETS/OEM</v>
      </c>
    </row>
    <row r="1129" spans="1:8" x14ac:dyDescent="0.25">
      <c r="A1129" t="s">
        <v>458</v>
      </c>
      <c r="B1129">
        <v>130266</v>
      </c>
      <c r="C1129" s="2">
        <v>199.65</v>
      </c>
      <c r="D1129" s="1">
        <v>43822</v>
      </c>
      <c r="E1129" t="str">
        <f>"201912184279"</f>
        <v>201912184279</v>
      </c>
      <c r="F1129" t="str">
        <f>"INDIGENT HEALTH"</f>
        <v>INDIGENT HEALTH</v>
      </c>
      <c r="G1129" s="2">
        <v>199.65</v>
      </c>
      <c r="H1129" t="str">
        <f>"INDIGENT HEALTH"</f>
        <v>INDIGENT HEALTH</v>
      </c>
    </row>
    <row r="1130" spans="1:8" x14ac:dyDescent="0.25">
      <c r="A1130" t="s">
        <v>459</v>
      </c>
      <c r="B1130">
        <v>130025</v>
      </c>
      <c r="C1130" s="2">
        <v>258.22000000000003</v>
      </c>
      <c r="D1130" s="1">
        <v>43808</v>
      </c>
      <c r="E1130" t="str">
        <f>"201912033749"</f>
        <v>201912033749</v>
      </c>
      <c r="F1130" t="str">
        <f>"JAIL MEDICAL"</f>
        <v>JAIL MEDICAL</v>
      </c>
      <c r="G1130" s="2">
        <v>258.22000000000003</v>
      </c>
      <c r="H1130" t="str">
        <f>"JAIL MEDICAL"</f>
        <v>JAIL MEDICAL</v>
      </c>
    </row>
    <row r="1131" spans="1:8" x14ac:dyDescent="0.25">
      <c r="A1131" t="s">
        <v>460</v>
      </c>
      <c r="B1131">
        <v>1878</v>
      </c>
      <c r="C1131" s="2">
        <v>161.16</v>
      </c>
      <c r="D1131" s="1">
        <v>43809</v>
      </c>
      <c r="E1131" t="str">
        <f>"79605"</f>
        <v>79605</v>
      </c>
      <c r="F1131" t="str">
        <f>"INV 79605"</f>
        <v>INV 79605</v>
      </c>
      <c r="G1131" s="2">
        <v>161.16</v>
      </c>
      <c r="H1131" t="str">
        <f>"INV 79605"</f>
        <v>INV 79605</v>
      </c>
    </row>
    <row r="1132" spans="1:8" x14ac:dyDescent="0.25">
      <c r="A1132" t="s">
        <v>461</v>
      </c>
      <c r="B1132">
        <v>130267</v>
      </c>
      <c r="C1132" s="2">
        <v>106.67</v>
      </c>
      <c r="D1132" s="1">
        <v>43822</v>
      </c>
      <c r="E1132" t="str">
        <f>"32071"</f>
        <v>32071</v>
      </c>
      <c r="F1132" t="str">
        <f>"STATEMENT#32071/PCT#2"</f>
        <v>STATEMENT#32071/PCT#2</v>
      </c>
      <c r="G1132" s="2">
        <v>106.67</v>
      </c>
      <c r="H1132" t="str">
        <f>"STATEMENT#32071/PCT#2"</f>
        <v>STATEMENT#32071/PCT#2</v>
      </c>
    </row>
    <row r="1133" spans="1:8" x14ac:dyDescent="0.25">
      <c r="A1133" t="s">
        <v>462</v>
      </c>
      <c r="B1133">
        <v>130268</v>
      </c>
      <c r="C1133" s="2">
        <v>50</v>
      </c>
      <c r="D1133" s="1">
        <v>43822</v>
      </c>
      <c r="E1133" t="str">
        <f>"7531"</f>
        <v>7531</v>
      </c>
      <c r="F1133" t="str">
        <f>"MEMBERSHIP RENEWAL/ANNUAL DUES"</f>
        <v>MEMBERSHIP RENEWAL/ANNUAL DUES</v>
      </c>
      <c r="G1133" s="2">
        <v>50</v>
      </c>
      <c r="H1133" t="str">
        <f>"MEMBERSHIP RENEWAL/ANNUAL DUES"</f>
        <v>MEMBERSHIP RENEWAL/ANNUAL DUES</v>
      </c>
    </row>
    <row r="1134" spans="1:8" x14ac:dyDescent="0.25">
      <c r="A1134" t="s">
        <v>463</v>
      </c>
      <c r="B1134">
        <v>130026</v>
      </c>
      <c r="C1134" s="2">
        <v>731.68</v>
      </c>
      <c r="D1134" s="1">
        <v>43808</v>
      </c>
      <c r="E1134" t="str">
        <f>"201912043779"</f>
        <v>201912043779</v>
      </c>
      <c r="F1134" t="str">
        <f>"ACCT#260/PCT#2"</f>
        <v>ACCT#260/PCT#2</v>
      </c>
      <c r="G1134" s="2">
        <v>731.68</v>
      </c>
      <c r="H1134" t="str">
        <f>"ACCT#260/PCT#2"</f>
        <v>ACCT#260/PCT#2</v>
      </c>
    </row>
    <row r="1135" spans="1:8" x14ac:dyDescent="0.25">
      <c r="A1135" t="s">
        <v>464</v>
      </c>
      <c r="B1135">
        <v>130269</v>
      </c>
      <c r="C1135" s="2">
        <v>705</v>
      </c>
      <c r="D1135" s="1">
        <v>43822</v>
      </c>
      <c r="E1135" t="str">
        <f>"IN459922"</f>
        <v>IN459922</v>
      </c>
      <c r="F1135" t="str">
        <f>"Solarwinds Annual Renewal"</f>
        <v>Solarwinds Annual Renewal</v>
      </c>
      <c r="G1135" s="2">
        <v>705</v>
      </c>
      <c r="H1135" t="str">
        <f>"Solarwinds Annual Renewal"</f>
        <v>Solarwinds Annual Renewal</v>
      </c>
    </row>
    <row r="1136" spans="1:8" x14ac:dyDescent="0.25">
      <c r="A1136" t="s">
        <v>465</v>
      </c>
      <c r="B1136">
        <v>130270</v>
      </c>
      <c r="C1136" s="2">
        <v>385</v>
      </c>
      <c r="D1136" s="1">
        <v>43822</v>
      </c>
      <c r="E1136" t="str">
        <f>"11732"</f>
        <v>11732</v>
      </c>
      <c r="F1136" t="str">
        <f>"INTERPRETATION"</f>
        <v>INTERPRETATION</v>
      </c>
      <c r="G1136" s="2">
        <v>385</v>
      </c>
      <c r="H1136" t="str">
        <f>"INTERPRETATION"</f>
        <v>INTERPRETATION</v>
      </c>
    </row>
    <row r="1137" spans="1:8" x14ac:dyDescent="0.25">
      <c r="A1137" t="s">
        <v>466</v>
      </c>
      <c r="B1137">
        <v>130027</v>
      </c>
      <c r="C1137" s="2">
        <v>3686.62</v>
      </c>
      <c r="D1137" s="1">
        <v>43808</v>
      </c>
      <c r="E1137" t="str">
        <f>"4650030590"</f>
        <v>4650030590</v>
      </c>
      <c r="F1137" t="str">
        <f>"CUST#52157/TIRE SVCS/PCT#4"</f>
        <v>CUST#52157/TIRE SVCS/PCT#4</v>
      </c>
      <c r="G1137" s="2">
        <v>2202.62</v>
      </c>
      <c r="H1137" t="str">
        <f>"CUST#52157/TIRE SVCS/PCT#4"</f>
        <v>CUST#52157/TIRE SVCS/PCT#4</v>
      </c>
    </row>
    <row r="1138" spans="1:8" x14ac:dyDescent="0.25">
      <c r="E1138" t="str">
        <f>"4660007049"</f>
        <v>4660007049</v>
      </c>
      <c r="F1138" t="str">
        <f>"ACCT#52158/PCT#2"</f>
        <v>ACCT#52158/PCT#2</v>
      </c>
      <c r="G1138" s="2">
        <v>1484</v>
      </c>
      <c r="H1138" t="str">
        <f>"ACCT#52158/PCT#2"</f>
        <v>ACCT#52158/PCT#2</v>
      </c>
    </row>
    <row r="1139" spans="1:8" x14ac:dyDescent="0.25">
      <c r="A1139" t="s">
        <v>466</v>
      </c>
      <c r="B1139">
        <v>130271</v>
      </c>
      <c r="C1139" s="2">
        <v>75</v>
      </c>
      <c r="D1139" s="1">
        <v>43822</v>
      </c>
      <c r="E1139" t="str">
        <f>"4650032340"</f>
        <v>4650032340</v>
      </c>
      <c r="F1139" t="str">
        <f>"CUST#52157/PCT#4"</f>
        <v>CUST#52157/PCT#4</v>
      </c>
      <c r="G1139" s="2">
        <v>75</v>
      </c>
      <c r="H1139" t="str">
        <f>"CUST#52157/PCT#4"</f>
        <v>CUST#52157/PCT#4</v>
      </c>
    </row>
    <row r="1140" spans="1:8" x14ac:dyDescent="0.25">
      <c r="A1140" t="s">
        <v>467</v>
      </c>
      <c r="B1140">
        <v>130028</v>
      </c>
      <c r="C1140" s="2">
        <v>218.86</v>
      </c>
      <c r="D1140" s="1">
        <v>43808</v>
      </c>
      <c r="E1140" t="str">
        <f>"11969495 112219"</f>
        <v>11969495 112219</v>
      </c>
      <c r="F1140" t="str">
        <f>"ACCT#556850411969495/DA OFFICE"</f>
        <v>ACCT#556850411969495/DA OFFICE</v>
      </c>
      <c r="G1140" s="2">
        <v>218.86</v>
      </c>
      <c r="H1140" t="str">
        <f>"ACCT#556850411969495/DA OFFICE"</f>
        <v>ACCT#556850411969495/DA OFFICE</v>
      </c>
    </row>
    <row r="1141" spans="1:8" x14ac:dyDescent="0.25">
      <c r="A1141" t="s">
        <v>467</v>
      </c>
      <c r="B1141">
        <v>130272</v>
      </c>
      <c r="C1141" s="2">
        <v>10.54</v>
      </c>
      <c r="D1141" s="1">
        <v>43822</v>
      </c>
      <c r="E1141" t="str">
        <f>"9604456 120519"</f>
        <v>9604456 120519</v>
      </c>
      <c r="F1141" t="str">
        <f>"ACCT#46668439604456/JP#2"</f>
        <v>ACCT#46668439604456/JP#2</v>
      </c>
      <c r="G1141" s="2">
        <v>10.54</v>
      </c>
      <c r="H1141" t="str">
        <f>"ACCT#46668439604456/JP#2"</f>
        <v>ACCT#46668439604456/JP#2</v>
      </c>
    </row>
    <row r="1142" spans="1:8" x14ac:dyDescent="0.25">
      <c r="A1142" t="s">
        <v>468</v>
      </c>
      <c r="B1142">
        <v>130029</v>
      </c>
      <c r="C1142" s="2">
        <v>15.45</v>
      </c>
      <c r="D1142" s="1">
        <v>43808</v>
      </c>
      <c r="E1142" t="str">
        <f>"201912033750"</f>
        <v>201912033750</v>
      </c>
      <c r="F1142" t="str">
        <f>"JAIL MEDICAL"</f>
        <v>JAIL MEDICAL</v>
      </c>
      <c r="G1142" s="2">
        <v>15.45</v>
      </c>
      <c r="H1142" t="str">
        <f>"JAIL MEDICAL"</f>
        <v>JAIL MEDICAL</v>
      </c>
    </row>
    <row r="1143" spans="1:8" x14ac:dyDescent="0.25">
      <c r="A1143" t="s">
        <v>468</v>
      </c>
      <c r="B1143">
        <v>130273</v>
      </c>
      <c r="C1143" s="2">
        <v>1160.56</v>
      </c>
      <c r="D1143" s="1">
        <v>43822</v>
      </c>
      <c r="E1143" t="str">
        <f>"201912184281"</f>
        <v>201912184281</v>
      </c>
      <c r="F1143" t="str">
        <f>"INDIGENT HEALTH"</f>
        <v>INDIGENT HEALTH</v>
      </c>
      <c r="G1143" s="2">
        <v>570.79</v>
      </c>
      <c r="H1143" t="str">
        <f>"INDIGENT HEALTH"</f>
        <v>INDIGENT HEALTH</v>
      </c>
    </row>
    <row r="1144" spans="1:8" x14ac:dyDescent="0.25">
      <c r="E1144" t="str">
        <f>"201912184282"</f>
        <v>201912184282</v>
      </c>
      <c r="F1144" t="str">
        <f>"INDIGENT HEALTH"</f>
        <v>INDIGENT HEALTH</v>
      </c>
      <c r="G1144" s="2">
        <v>589.77</v>
      </c>
      <c r="H1144" t="str">
        <f>"INDIGENT HEALTH"</f>
        <v>INDIGENT HEALTH</v>
      </c>
    </row>
    <row r="1145" spans="1:8" x14ac:dyDescent="0.25">
      <c r="A1145" t="s">
        <v>469</v>
      </c>
      <c r="B1145">
        <v>130274</v>
      </c>
      <c r="C1145" s="2">
        <v>141.63</v>
      </c>
      <c r="D1145" s="1">
        <v>43822</v>
      </c>
      <c r="E1145" t="str">
        <f>"201912184280"</f>
        <v>201912184280</v>
      </c>
      <c r="F1145" t="str">
        <f>"INDIGENT HEALTH"</f>
        <v>INDIGENT HEALTH</v>
      </c>
      <c r="G1145" s="2">
        <v>141.63</v>
      </c>
      <c r="H1145" t="str">
        <f>"INDIGENT HEALTH"</f>
        <v>INDIGENT HEALTH</v>
      </c>
    </row>
    <row r="1146" spans="1:8" x14ac:dyDescent="0.25">
      <c r="A1146" t="s">
        <v>470</v>
      </c>
      <c r="B1146">
        <v>130275</v>
      </c>
      <c r="C1146" s="2">
        <v>2010.63</v>
      </c>
      <c r="D1146" s="1">
        <v>43822</v>
      </c>
      <c r="E1146" t="str">
        <f>"201912184283"</f>
        <v>201912184283</v>
      </c>
      <c r="F1146" t="str">
        <f>"INDIGENT HEALTH"</f>
        <v>INDIGENT HEALTH</v>
      </c>
      <c r="G1146" s="2">
        <v>2010.63</v>
      </c>
      <c r="H1146" t="str">
        <f>"INDIGENT HEALTH"</f>
        <v>INDIGENT HEALTH</v>
      </c>
    </row>
    <row r="1147" spans="1:8" x14ac:dyDescent="0.25">
      <c r="E1147" t="str">
        <f>""</f>
        <v/>
      </c>
      <c r="F1147" t="str">
        <f>""</f>
        <v/>
      </c>
      <c r="H1147" t="str">
        <f>"INDIGENT HEALTH"</f>
        <v>INDIGENT HEALTH</v>
      </c>
    </row>
    <row r="1148" spans="1:8" x14ac:dyDescent="0.25">
      <c r="A1148" t="s">
        <v>471</v>
      </c>
      <c r="B1148">
        <v>130030</v>
      </c>
      <c r="C1148" s="2">
        <v>1871.91</v>
      </c>
      <c r="D1148" s="1">
        <v>43808</v>
      </c>
      <c r="E1148" t="str">
        <f>"8056458947"</f>
        <v>8056458947</v>
      </c>
      <c r="F1148" t="str">
        <f>"Sum Inv# 8056458947"</f>
        <v>Sum Inv# 8056458947</v>
      </c>
      <c r="G1148" s="2">
        <v>1871.91</v>
      </c>
      <c r="H1148" t="str">
        <f>"inv# 3431067468"</f>
        <v>inv# 3431067468</v>
      </c>
    </row>
    <row r="1149" spans="1:8" x14ac:dyDescent="0.25">
      <c r="E1149" t="str">
        <f>""</f>
        <v/>
      </c>
      <c r="F1149" t="str">
        <f>""</f>
        <v/>
      </c>
      <c r="H1149" t="str">
        <f>"inv# 3431067469"</f>
        <v>inv# 3431067469</v>
      </c>
    </row>
    <row r="1150" spans="1:8" x14ac:dyDescent="0.25">
      <c r="E1150" t="str">
        <f>""</f>
        <v/>
      </c>
      <c r="F1150" t="str">
        <f>""</f>
        <v/>
      </c>
      <c r="H1150" t="str">
        <f>"inv# 3431067470"</f>
        <v>inv# 3431067470</v>
      </c>
    </row>
    <row r="1151" spans="1:8" x14ac:dyDescent="0.25">
      <c r="E1151" t="str">
        <f>""</f>
        <v/>
      </c>
      <c r="F1151" t="str">
        <f>""</f>
        <v/>
      </c>
      <c r="H1151" t="str">
        <f>"inv# 3431067472"</f>
        <v>inv# 3431067472</v>
      </c>
    </row>
    <row r="1152" spans="1:8" x14ac:dyDescent="0.25">
      <c r="E1152" t="str">
        <f>""</f>
        <v/>
      </c>
      <c r="F1152" t="str">
        <f>""</f>
        <v/>
      </c>
      <c r="H1152" t="str">
        <f>"inv# 3431067473"</f>
        <v>inv# 3431067473</v>
      </c>
    </row>
    <row r="1153" spans="1:8" x14ac:dyDescent="0.25">
      <c r="E1153" t="str">
        <f>""</f>
        <v/>
      </c>
      <c r="F1153" t="str">
        <f>""</f>
        <v/>
      </c>
      <c r="H1153" t="str">
        <f>"inv# 3431067480"</f>
        <v>inv# 3431067480</v>
      </c>
    </row>
    <row r="1154" spans="1:8" x14ac:dyDescent="0.25">
      <c r="E1154" t="str">
        <f>""</f>
        <v/>
      </c>
      <c r="F1154" t="str">
        <f>""</f>
        <v/>
      </c>
      <c r="H1154" t="str">
        <f>"inv# 3431067478"</f>
        <v>inv# 3431067478</v>
      </c>
    </row>
    <row r="1155" spans="1:8" x14ac:dyDescent="0.25">
      <c r="E1155" t="str">
        <f>""</f>
        <v/>
      </c>
      <c r="F1155" t="str">
        <f>""</f>
        <v/>
      </c>
      <c r="H1155" t="str">
        <f>"inv# 3431067475"</f>
        <v>inv# 3431067475</v>
      </c>
    </row>
    <row r="1156" spans="1:8" x14ac:dyDescent="0.25">
      <c r="E1156" t="str">
        <f>""</f>
        <v/>
      </c>
      <c r="F1156" t="str">
        <f>""</f>
        <v/>
      </c>
      <c r="H1156" t="str">
        <f>"inv# 34310674776"</f>
        <v>inv# 34310674776</v>
      </c>
    </row>
    <row r="1157" spans="1:8" x14ac:dyDescent="0.25">
      <c r="E1157" t="str">
        <f>""</f>
        <v/>
      </c>
      <c r="F1157" t="str">
        <f>""</f>
        <v/>
      </c>
      <c r="H1157" t="str">
        <f>"inv# 3431067477"</f>
        <v>inv# 3431067477</v>
      </c>
    </row>
    <row r="1158" spans="1:8" x14ac:dyDescent="0.25">
      <c r="A1158" t="s">
        <v>471</v>
      </c>
      <c r="B1158">
        <v>130276</v>
      </c>
      <c r="C1158" s="2">
        <v>3041.31</v>
      </c>
      <c r="D1158" s="1">
        <v>43822</v>
      </c>
      <c r="E1158" t="str">
        <f>"8056665779"</f>
        <v>8056665779</v>
      </c>
      <c r="F1158" t="str">
        <f>"sum inv# 8056665779"</f>
        <v>sum inv# 8056665779</v>
      </c>
      <c r="G1158" s="2">
        <v>3041.31</v>
      </c>
      <c r="H1158" t="str">
        <f>"inv# 3432847430"</f>
        <v>inv# 3432847430</v>
      </c>
    </row>
    <row r="1159" spans="1:8" x14ac:dyDescent="0.25">
      <c r="E1159" t="str">
        <f>""</f>
        <v/>
      </c>
      <c r="F1159" t="str">
        <f>""</f>
        <v/>
      </c>
      <c r="H1159" t="str">
        <f>"inv# 3432847431"</f>
        <v>inv# 3432847431</v>
      </c>
    </row>
    <row r="1160" spans="1:8" x14ac:dyDescent="0.25">
      <c r="E1160" t="str">
        <f>""</f>
        <v/>
      </c>
      <c r="F1160" t="str">
        <f>""</f>
        <v/>
      </c>
      <c r="H1160" t="str">
        <f>"inv# 3432847438"</f>
        <v>inv# 3432847438</v>
      </c>
    </row>
    <row r="1161" spans="1:8" x14ac:dyDescent="0.25">
      <c r="E1161" t="str">
        <f>""</f>
        <v/>
      </c>
      <c r="F1161" t="str">
        <f>""</f>
        <v/>
      </c>
      <c r="H1161" t="str">
        <f>"inv# 3432847440"</f>
        <v>inv# 3432847440</v>
      </c>
    </row>
    <row r="1162" spans="1:8" x14ac:dyDescent="0.25">
      <c r="E1162" t="str">
        <f>""</f>
        <v/>
      </c>
      <c r="F1162" t="str">
        <f>""</f>
        <v/>
      </c>
      <c r="H1162" t="str">
        <f>"inv# 3432847432"</f>
        <v>inv# 3432847432</v>
      </c>
    </row>
    <row r="1163" spans="1:8" x14ac:dyDescent="0.25">
      <c r="E1163" t="str">
        <f>""</f>
        <v/>
      </c>
      <c r="F1163" t="str">
        <f>""</f>
        <v/>
      </c>
      <c r="H1163" t="str">
        <f>"inv# 3432847433"</f>
        <v>inv# 3432847433</v>
      </c>
    </row>
    <row r="1164" spans="1:8" x14ac:dyDescent="0.25">
      <c r="E1164" t="str">
        <f>""</f>
        <v/>
      </c>
      <c r="F1164" t="str">
        <f>""</f>
        <v/>
      </c>
      <c r="H1164" t="str">
        <f>"inv# 3432847434"</f>
        <v>inv# 3432847434</v>
      </c>
    </row>
    <row r="1165" spans="1:8" x14ac:dyDescent="0.25">
      <c r="E1165" t="str">
        <f>""</f>
        <v/>
      </c>
      <c r="F1165" t="str">
        <f>""</f>
        <v/>
      </c>
      <c r="H1165" t="str">
        <f>"inv# 3432847434"</f>
        <v>inv# 3432847434</v>
      </c>
    </row>
    <row r="1166" spans="1:8" x14ac:dyDescent="0.25">
      <c r="E1166" t="str">
        <f>""</f>
        <v/>
      </c>
      <c r="F1166" t="str">
        <f>""</f>
        <v/>
      </c>
      <c r="H1166" t="str">
        <f>"inv# 3432847436"</f>
        <v>inv# 3432847436</v>
      </c>
    </row>
    <row r="1167" spans="1:8" x14ac:dyDescent="0.25">
      <c r="E1167" t="str">
        <f>""</f>
        <v/>
      </c>
      <c r="F1167" t="str">
        <f>""</f>
        <v/>
      </c>
      <c r="H1167" t="str">
        <f>"inv# 3432847428"</f>
        <v>inv# 3432847428</v>
      </c>
    </row>
    <row r="1168" spans="1:8" x14ac:dyDescent="0.25">
      <c r="E1168" t="str">
        <f>""</f>
        <v/>
      </c>
      <c r="F1168" t="str">
        <f>""</f>
        <v/>
      </c>
      <c r="H1168" t="str">
        <f>"inv# 3432847445"</f>
        <v>inv# 3432847445</v>
      </c>
    </row>
    <row r="1169" spans="1:8" x14ac:dyDescent="0.25">
      <c r="E1169" t="str">
        <f>""</f>
        <v/>
      </c>
      <c r="F1169" t="str">
        <f>""</f>
        <v/>
      </c>
      <c r="H1169" t="str">
        <f>"inv# 3432847445"</f>
        <v>inv# 3432847445</v>
      </c>
    </row>
    <row r="1170" spans="1:8" x14ac:dyDescent="0.25">
      <c r="E1170" t="str">
        <f>""</f>
        <v/>
      </c>
      <c r="F1170" t="str">
        <f>""</f>
        <v/>
      </c>
      <c r="H1170" t="str">
        <f>"inv# 3432847446"</f>
        <v>inv# 3432847446</v>
      </c>
    </row>
    <row r="1171" spans="1:8" x14ac:dyDescent="0.25">
      <c r="E1171" t="str">
        <f>""</f>
        <v/>
      </c>
      <c r="F1171" t="str">
        <f>""</f>
        <v/>
      </c>
      <c r="H1171" t="str">
        <f>"inv# 3432847441"</f>
        <v>inv# 3432847441</v>
      </c>
    </row>
    <row r="1172" spans="1:8" x14ac:dyDescent="0.25">
      <c r="E1172" t="str">
        <f>""</f>
        <v/>
      </c>
      <c r="F1172" t="str">
        <f>""</f>
        <v/>
      </c>
      <c r="H1172" t="str">
        <f>"inv# 3432847442"</f>
        <v>inv# 3432847442</v>
      </c>
    </row>
    <row r="1173" spans="1:8" x14ac:dyDescent="0.25">
      <c r="E1173" t="str">
        <f>""</f>
        <v/>
      </c>
      <c r="F1173" t="str">
        <f>""</f>
        <v/>
      </c>
      <c r="H1173" t="str">
        <f>"inv# 3432847443"</f>
        <v>inv# 3432847443</v>
      </c>
    </row>
    <row r="1174" spans="1:8" x14ac:dyDescent="0.25">
      <c r="E1174" t="str">
        <f>""</f>
        <v/>
      </c>
      <c r="F1174" t="str">
        <f>""</f>
        <v/>
      </c>
      <c r="H1174" t="str">
        <f>"inv# 3432847444"</f>
        <v>inv# 3432847444</v>
      </c>
    </row>
    <row r="1175" spans="1:8" x14ac:dyDescent="0.25">
      <c r="E1175" t="str">
        <f>""</f>
        <v/>
      </c>
      <c r="F1175" t="str">
        <f>""</f>
        <v/>
      </c>
      <c r="H1175" t="str">
        <f>"inv# 3432847437"</f>
        <v>inv# 3432847437</v>
      </c>
    </row>
    <row r="1176" spans="1:8" x14ac:dyDescent="0.25">
      <c r="A1176" t="s">
        <v>127</v>
      </c>
      <c r="B1176">
        <v>130277</v>
      </c>
      <c r="C1176" s="2">
        <v>215</v>
      </c>
      <c r="D1176" s="1">
        <v>43822</v>
      </c>
      <c r="E1176" t="str">
        <f>"201912164116"</f>
        <v>201912164116</v>
      </c>
      <c r="F1176" t="str">
        <f>"NOVEMBER 2019"</f>
        <v>NOVEMBER 2019</v>
      </c>
      <c r="G1176" s="2">
        <v>215</v>
      </c>
      <c r="H1176" t="str">
        <f>"NOVEMBER 2019"</f>
        <v>NOVEMBER 2019</v>
      </c>
    </row>
    <row r="1177" spans="1:8" x14ac:dyDescent="0.25">
      <c r="A1177" t="s">
        <v>472</v>
      </c>
      <c r="B1177">
        <v>130031</v>
      </c>
      <c r="C1177" s="2">
        <v>750</v>
      </c>
      <c r="D1177" s="1">
        <v>43808</v>
      </c>
      <c r="E1177" t="str">
        <f>"1006852"</f>
        <v>1006852</v>
      </c>
      <c r="F1177" t="str">
        <f>"PROJ ID:20800-P7 2019"</f>
        <v>PROJ ID:20800-P7 2019</v>
      </c>
      <c r="G1177" s="2">
        <v>750</v>
      </c>
      <c r="H1177" t="str">
        <f>"PROJ ID:20800-P7 2019"</f>
        <v>PROJ ID:20800-P7 2019</v>
      </c>
    </row>
    <row r="1178" spans="1:8" x14ac:dyDescent="0.25">
      <c r="A1178" t="s">
        <v>473</v>
      </c>
      <c r="B1178">
        <v>130032</v>
      </c>
      <c r="C1178" s="2">
        <v>115</v>
      </c>
      <c r="D1178" s="1">
        <v>43808</v>
      </c>
      <c r="E1178" t="str">
        <f>"201911273572"</f>
        <v>201911273572</v>
      </c>
      <c r="F1178" t="str">
        <f t="shared" ref="F1178:F1186" si="18">"FERAL HOGS"</f>
        <v>FERAL HOGS</v>
      </c>
      <c r="G1178" s="2">
        <v>30</v>
      </c>
      <c r="H1178" t="str">
        <f t="shared" ref="H1178:H1186" si="19">"FERAL HOGS"</f>
        <v>FERAL HOGS</v>
      </c>
    </row>
    <row r="1179" spans="1:8" x14ac:dyDescent="0.25">
      <c r="E1179" t="str">
        <f>"201911273573"</f>
        <v>201911273573</v>
      </c>
      <c r="F1179" t="str">
        <f t="shared" si="18"/>
        <v>FERAL HOGS</v>
      </c>
      <c r="G1179" s="2">
        <v>55</v>
      </c>
      <c r="H1179" t="str">
        <f t="shared" si="19"/>
        <v>FERAL HOGS</v>
      </c>
    </row>
    <row r="1180" spans="1:8" x14ac:dyDescent="0.25">
      <c r="E1180" t="str">
        <f>"201911273574"</f>
        <v>201911273574</v>
      </c>
      <c r="F1180" t="str">
        <f t="shared" si="18"/>
        <v>FERAL HOGS</v>
      </c>
      <c r="G1180" s="2">
        <v>30</v>
      </c>
      <c r="H1180" t="str">
        <f t="shared" si="19"/>
        <v>FERAL HOGS</v>
      </c>
    </row>
    <row r="1181" spans="1:8" x14ac:dyDescent="0.25">
      <c r="A1181" t="s">
        <v>473</v>
      </c>
      <c r="B1181">
        <v>130278</v>
      </c>
      <c r="C1181" s="2">
        <v>360</v>
      </c>
      <c r="D1181" s="1">
        <v>43822</v>
      </c>
      <c r="E1181" t="str">
        <f>"201912113932"</f>
        <v>201912113932</v>
      </c>
      <c r="F1181" t="str">
        <f t="shared" si="18"/>
        <v>FERAL HOGS</v>
      </c>
      <c r="G1181" s="2">
        <v>95</v>
      </c>
      <c r="H1181" t="str">
        <f t="shared" si="19"/>
        <v>FERAL HOGS</v>
      </c>
    </row>
    <row r="1182" spans="1:8" x14ac:dyDescent="0.25">
      <c r="E1182" t="str">
        <f>"201912113933"</f>
        <v>201912113933</v>
      </c>
      <c r="F1182" t="str">
        <f t="shared" si="18"/>
        <v>FERAL HOGS</v>
      </c>
      <c r="G1182" s="2">
        <v>5</v>
      </c>
      <c r="H1182" t="str">
        <f t="shared" si="19"/>
        <v>FERAL HOGS</v>
      </c>
    </row>
    <row r="1183" spans="1:8" x14ac:dyDescent="0.25">
      <c r="E1183" t="str">
        <f>"201912113935"</f>
        <v>201912113935</v>
      </c>
      <c r="F1183" t="str">
        <f t="shared" si="18"/>
        <v>FERAL HOGS</v>
      </c>
      <c r="G1183" s="2">
        <v>35</v>
      </c>
      <c r="H1183" t="str">
        <f t="shared" si="19"/>
        <v>FERAL HOGS</v>
      </c>
    </row>
    <row r="1184" spans="1:8" x14ac:dyDescent="0.25">
      <c r="E1184" t="str">
        <f>"201912113936"</f>
        <v>201912113936</v>
      </c>
      <c r="F1184" t="str">
        <f t="shared" si="18"/>
        <v>FERAL HOGS</v>
      </c>
      <c r="G1184" s="2">
        <v>35</v>
      </c>
      <c r="H1184" t="str">
        <f t="shared" si="19"/>
        <v>FERAL HOGS</v>
      </c>
    </row>
    <row r="1185" spans="1:8" x14ac:dyDescent="0.25">
      <c r="E1185" t="str">
        <f>"201912113937"</f>
        <v>201912113937</v>
      </c>
      <c r="F1185" t="str">
        <f t="shared" si="18"/>
        <v>FERAL HOGS</v>
      </c>
      <c r="G1185" s="2">
        <v>30</v>
      </c>
      <c r="H1185" t="str">
        <f t="shared" si="19"/>
        <v>FERAL HOGS</v>
      </c>
    </row>
    <row r="1186" spans="1:8" x14ac:dyDescent="0.25">
      <c r="E1186" t="str">
        <f>"201912113938"</f>
        <v>201912113938</v>
      </c>
      <c r="F1186" t="str">
        <f t="shared" si="18"/>
        <v>FERAL HOGS</v>
      </c>
      <c r="G1186" s="2">
        <v>160</v>
      </c>
      <c r="H1186" t="str">
        <f t="shared" si="19"/>
        <v>FERAL HOGS</v>
      </c>
    </row>
    <row r="1187" spans="1:8" x14ac:dyDescent="0.25">
      <c r="A1187" t="s">
        <v>474</v>
      </c>
      <c r="B1187">
        <v>130033</v>
      </c>
      <c r="C1187" s="2">
        <v>795.59</v>
      </c>
      <c r="D1187" s="1">
        <v>43808</v>
      </c>
      <c r="E1187" t="str">
        <f>"4008986876"</f>
        <v>4008986876</v>
      </c>
      <c r="F1187" t="str">
        <f>"INV 4008986876"</f>
        <v>INV 4008986876</v>
      </c>
      <c r="G1187" s="2">
        <v>795.59</v>
      </c>
      <c r="H1187" t="str">
        <f>"INV 4008986876"</f>
        <v>INV 4008986876</v>
      </c>
    </row>
    <row r="1188" spans="1:8" x14ac:dyDescent="0.25">
      <c r="A1188" t="s">
        <v>475</v>
      </c>
      <c r="B1188">
        <v>130034</v>
      </c>
      <c r="C1188" s="2">
        <v>40</v>
      </c>
      <c r="D1188" s="1">
        <v>43808</v>
      </c>
      <c r="E1188" t="str">
        <f>"201911273575"</f>
        <v>201911273575</v>
      </c>
      <c r="F1188" t="str">
        <f>"FERAL HOGS"</f>
        <v>FERAL HOGS</v>
      </c>
      <c r="G1188" s="2">
        <v>40</v>
      </c>
      <c r="H1188" t="str">
        <f>"FERAL HOGS"</f>
        <v>FERAL HOGS</v>
      </c>
    </row>
    <row r="1189" spans="1:8" x14ac:dyDescent="0.25">
      <c r="A1189" t="s">
        <v>476</v>
      </c>
      <c r="B1189">
        <v>130035</v>
      </c>
      <c r="C1189" s="2">
        <v>396.5</v>
      </c>
      <c r="D1189" s="1">
        <v>43808</v>
      </c>
      <c r="E1189" t="str">
        <f>"201912033718"</f>
        <v>201912033718</v>
      </c>
      <c r="F1189" t="str">
        <f>"TRASH REMOVAL 11/25-11/30/P4"</f>
        <v>TRASH REMOVAL 11/25-11/30/P4</v>
      </c>
      <c r="G1189" s="2">
        <v>156</v>
      </c>
      <c r="H1189" t="str">
        <f>"TRASH REMOVAL 11/25-11/30/P4"</f>
        <v>TRASH REMOVAL 11/25-11/30/P4</v>
      </c>
    </row>
    <row r="1190" spans="1:8" x14ac:dyDescent="0.25">
      <c r="E1190" t="str">
        <f>"201912033719"</f>
        <v>201912033719</v>
      </c>
      <c r="F1190" t="str">
        <f>"TRASH REMOVAL 12/02-12/06/P4"</f>
        <v>TRASH REMOVAL 12/02-12/06/P4</v>
      </c>
      <c r="G1190" s="2">
        <v>240.5</v>
      </c>
      <c r="H1190" t="str">
        <f>"TRASH REMOVAL 12/02-12/06/P4"</f>
        <v>TRASH REMOVAL 12/02-12/06/P4</v>
      </c>
    </row>
    <row r="1191" spans="1:8" x14ac:dyDescent="0.25">
      <c r="A1191" t="s">
        <v>476</v>
      </c>
      <c r="B1191">
        <v>130279</v>
      </c>
      <c r="C1191" s="2">
        <v>416</v>
      </c>
      <c r="D1191" s="1">
        <v>43822</v>
      </c>
      <c r="E1191" t="str">
        <f>"201912174149"</f>
        <v>201912174149</v>
      </c>
      <c r="F1191" t="str">
        <f>"TRASH REMOVAL 12/9-12/20/PCT#4"</f>
        <v>TRASH REMOVAL 12/9-12/20/PCT#4</v>
      </c>
      <c r="G1191" s="2">
        <v>416</v>
      </c>
      <c r="H1191" t="str">
        <f>"TRASH REMOVAL 12/9-12/20/PCT#4"</f>
        <v>TRASH REMOVAL 12/9-12/20/PCT#4</v>
      </c>
    </row>
    <row r="1192" spans="1:8" x14ac:dyDescent="0.25">
      <c r="A1192" t="s">
        <v>477</v>
      </c>
      <c r="B1192">
        <v>130280</v>
      </c>
      <c r="C1192" s="2">
        <v>15</v>
      </c>
      <c r="D1192" s="1">
        <v>43822</v>
      </c>
      <c r="E1192" t="str">
        <f>"201912113940"</f>
        <v>201912113940</v>
      </c>
      <c r="F1192" t="str">
        <f>"FERAL HOGS"</f>
        <v>FERAL HOGS</v>
      </c>
      <c r="G1192" s="2">
        <v>15</v>
      </c>
      <c r="H1192" t="str">
        <f>"FERAL HOGS"</f>
        <v>FERAL HOGS</v>
      </c>
    </row>
    <row r="1193" spans="1:8" x14ac:dyDescent="0.25">
      <c r="A1193" t="s">
        <v>478</v>
      </c>
      <c r="B1193">
        <v>1849</v>
      </c>
      <c r="C1193" s="2">
        <v>4160</v>
      </c>
      <c r="D1193" s="1">
        <v>43809</v>
      </c>
      <c r="E1193" t="str">
        <f>"359"</f>
        <v>359</v>
      </c>
      <c r="F1193" t="str">
        <f>"MOWING/SHREDDING/PCT#1"</f>
        <v>MOWING/SHREDDING/PCT#1</v>
      </c>
      <c r="G1193" s="2">
        <v>2080</v>
      </c>
      <c r="H1193" t="str">
        <f>"MOWING/SHREDDING/PCT#1"</f>
        <v>MOWING/SHREDDING/PCT#1</v>
      </c>
    </row>
    <row r="1194" spans="1:8" x14ac:dyDescent="0.25">
      <c r="E1194" t="str">
        <f>"360"</f>
        <v>360</v>
      </c>
      <c r="F1194" t="str">
        <f>"SHREDDING/MOWING/PCT #2"</f>
        <v>SHREDDING/MOWING/PCT #2</v>
      </c>
      <c r="G1194" s="2">
        <v>2080</v>
      </c>
      <c r="H1194" t="str">
        <f>"SHREDDING/MOWING/PCT #2"</f>
        <v>SHREDDING/MOWING/PCT #2</v>
      </c>
    </row>
    <row r="1195" spans="1:8" x14ac:dyDescent="0.25">
      <c r="A1195" t="s">
        <v>479</v>
      </c>
      <c r="B1195">
        <v>1857</v>
      </c>
      <c r="C1195" s="2">
        <v>4025.39</v>
      </c>
      <c r="D1195" s="1">
        <v>43809</v>
      </c>
      <c r="E1195" t="str">
        <f>"95505223"</f>
        <v>95505223</v>
      </c>
      <c r="F1195" t="str">
        <f>"ACCT#10187930/PCT#2"</f>
        <v>ACCT#10187930/PCT#2</v>
      </c>
      <c r="G1195" s="2">
        <v>4025.39</v>
      </c>
      <c r="H1195" t="str">
        <f>"ACCT#10187930/PCT#2"</f>
        <v>ACCT#10187930/PCT#2</v>
      </c>
    </row>
    <row r="1196" spans="1:8" x14ac:dyDescent="0.25">
      <c r="A1196" t="s">
        <v>479</v>
      </c>
      <c r="B1196">
        <v>1931</v>
      </c>
      <c r="C1196" s="2">
        <v>6198.4</v>
      </c>
      <c r="D1196" s="1">
        <v>43823</v>
      </c>
      <c r="E1196" t="str">
        <f>"95520069"</f>
        <v>95520069</v>
      </c>
      <c r="F1196" t="str">
        <f>"ACCT#10187718/FUEL/PCT#2"</f>
        <v>ACCT#10187718/FUEL/PCT#2</v>
      </c>
      <c r="G1196" s="2">
        <v>3142.09</v>
      </c>
      <c r="H1196" t="str">
        <f>"ACCT#10187718/FUEL/PCT#2"</f>
        <v>ACCT#10187718/FUEL/PCT#2</v>
      </c>
    </row>
    <row r="1197" spans="1:8" x14ac:dyDescent="0.25">
      <c r="E1197" t="str">
        <f>"95529642"</f>
        <v>95529642</v>
      </c>
      <c r="F1197" t="str">
        <f>"ACCT#10187718/FUEL/PCT#2"</f>
        <v>ACCT#10187718/FUEL/PCT#2</v>
      </c>
      <c r="G1197" s="2">
        <v>3056.31</v>
      </c>
      <c r="H1197" t="str">
        <f>"ACCT#10187718/FUEL/PCT#2"</f>
        <v>ACCT#10187718/FUEL/PCT#2</v>
      </c>
    </row>
    <row r="1198" spans="1:8" x14ac:dyDescent="0.25">
      <c r="A1198" t="s">
        <v>480</v>
      </c>
      <c r="B1198">
        <v>1860</v>
      </c>
      <c r="C1198" s="2">
        <v>2768</v>
      </c>
      <c r="D1198" s="1">
        <v>43809</v>
      </c>
      <c r="E1198" t="str">
        <f>"7454"</f>
        <v>7454</v>
      </c>
      <c r="F1198" t="str">
        <f>"CLEANING SUPPLIES/PCT#4"</f>
        <v>CLEANING SUPPLIES/PCT#4</v>
      </c>
      <c r="G1198" s="2">
        <v>2768</v>
      </c>
      <c r="H1198" t="str">
        <f>"CLEANING SUPPLIES/PCT#4"</f>
        <v>CLEANING SUPPLIES/PCT#4</v>
      </c>
    </row>
    <row r="1199" spans="1:8" x14ac:dyDescent="0.25">
      <c r="A1199" t="s">
        <v>481</v>
      </c>
      <c r="B1199">
        <v>130036</v>
      </c>
      <c r="C1199" s="2">
        <v>630</v>
      </c>
      <c r="D1199" s="1">
        <v>43808</v>
      </c>
      <c r="E1199" t="str">
        <f>"200003582"</f>
        <v>200003582</v>
      </c>
      <c r="F1199" t="str">
        <f>"WINTER CONF-ADENA LEWIS"</f>
        <v>WINTER CONF-ADENA LEWIS</v>
      </c>
      <c r="G1199" s="2">
        <v>295</v>
      </c>
      <c r="H1199" t="str">
        <f>"WINTER CONF-ADENA LEWIS"</f>
        <v>WINTER CONF-ADENA LEWIS</v>
      </c>
    </row>
    <row r="1200" spans="1:8" x14ac:dyDescent="0.25">
      <c r="E1200" t="str">
        <f>"20003583"</f>
        <v>20003583</v>
      </c>
      <c r="F1200" t="str">
        <f>"WINTER CONF-FRAN HUNTER"</f>
        <v>WINTER CONF-FRAN HUNTER</v>
      </c>
      <c r="G1200" s="2">
        <v>335</v>
      </c>
      <c r="H1200" t="str">
        <f>"WINTER CONF-FRAN HUNTER"</f>
        <v>WINTER CONF-FRAN HUNTER</v>
      </c>
    </row>
    <row r="1201" spans="1:8" x14ac:dyDescent="0.25">
      <c r="A1201" t="s">
        <v>482</v>
      </c>
      <c r="B1201">
        <v>1847</v>
      </c>
      <c r="C1201" s="2">
        <v>45.68</v>
      </c>
      <c r="D1201" s="1">
        <v>43809</v>
      </c>
      <c r="E1201" t="str">
        <f>"19120201"</f>
        <v>19120201</v>
      </c>
      <c r="F1201" t="str">
        <f>"SVC CONTRACT 11/04-12/02"</f>
        <v>SVC CONTRACT 11/04-12/02</v>
      </c>
      <c r="G1201" s="2">
        <v>45.68</v>
      </c>
      <c r="H1201" t="str">
        <f>"SVC CONTRACT 11/04-12/02"</f>
        <v>SVC CONTRACT 11/04-12/02</v>
      </c>
    </row>
    <row r="1202" spans="1:8" x14ac:dyDescent="0.25">
      <c r="A1202" t="s">
        <v>483</v>
      </c>
      <c r="B1202">
        <v>1969</v>
      </c>
      <c r="C1202" s="2">
        <v>111.4</v>
      </c>
      <c r="D1202" s="1">
        <v>43823</v>
      </c>
      <c r="E1202" t="str">
        <f>"21696"</f>
        <v>21696</v>
      </c>
      <c r="F1202" t="str">
        <f>"ORD#13168/PCT#4"</f>
        <v>ORD#13168/PCT#4</v>
      </c>
      <c r="G1202" s="2">
        <v>111.4</v>
      </c>
      <c r="H1202" t="str">
        <f>"ORD#13168/PCT#4"</f>
        <v>ORD#13168/PCT#4</v>
      </c>
    </row>
    <row r="1203" spans="1:8" x14ac:dyDescent="0.25">
      <c r="A1203" t="s">
        <v>484</v>
      </c>
      <c r="B1203">
        <v>130281</v>
      </c>
      <c r="C1203" s="2">
        <v>805</v>
      </c>
      <c r="D1203" s="1">
        <v>43822</v>
      </c>
      <c r="E1203" t="str">
        <f>"20-0029"</f>
        <v>20-0029</v>
      </c>
      <c r="F1203" t="str">
        <f>"INV 20-0029"</f>
        <v>INV 20-0029</v>
      </c>
      <c r="G1203" s="2">
        <v>805</v>
      </c>
      <c r="H1203" t="str">
        <f>"INV 20-0029"</f>
        <v>INV 20-0029</v>
      </c>
    </row>
    <row r="1204" spans="1:8" x14ac:dyDescent="0.25">
      <c r="A1204" t="s">
        <v>485</v>
      </c>
      <c r="B1204">
        <v>130037</v>
      </c>
      <c r="C1204" s="2">
        <v>2847</v>
      </c>
      <c r="D1204" s="1">
        <v>43808</v>
      </c>
      <c r="E1204" t="str">
        <f>"201912033685"</f>
        <v>201912033685</v>
      </c>
      <c r="F1204" t="str">
        <f>"BASTROP COUNTY-CDA"</f>
        <v>BASTROP COUNTY-CDA</v>
      </c>
      <c r="G1204" s="2">
        <v>880</v>
      </c>
      <c r="H1204" t="str">
        <f>"BASTROP COUNTY-CDA"</f>
        <v>BASTROP COUNTY-CDA</v>
      </c>
    </row>
    <row r="1205" spans="1:8" x14ac:dyDescent="0.25">
      <c r="E1205" t="str">
        <f>"50962"</f>
        <v>50962</v>
      </c>
      <c r="F1205" t="str">
        <f>"BOOKS/HANDBOOKS/MANUALS"</f>
        <v>BOOKS/HANDBOOKS/MANUALS</v>
      </c>
      <c r="G1205" s="2">
        <v>1835</v>
      </c>
      <c r="H1205" t="str">
        <f>"BOOKS/HANDBOOKS/MANUALS"</f>
        <v>BOOKS/HANDBOOKS/MANUALS</v>
      </c>
    </row>
    <row r="1206" spans="1:8" x14ac:dyDescent="0.25">
      <c r="E1206" t="str">
        <f>"50963"</f>
        <v>50963</v>
      </c>
      <c r="F1206" t="str">
        <f>"GRAND JURY HANDBOOK/S&amp;H"</f>
        <v>GRAND JURY HANDBOOK/S&amp;H</v>
      </c>
      <c r="G1206" s="2">
        <v>132</v>
      </c>
      <c r="H1206" t="str">
        <f>"GRAND JURY HANDBOOK/S&amp;H"</f>
        <v>GRAND JURY HANDBOOK/S&amp;H</v>
      </c>
    </row>
    <row r="1207" spans="1:8" x14ac:dyDescent="0.25">
      <c r="A1207" t="s">
        <v>485</v>
      </c>
      <c r="B1207">
        <v>130282</v>
      </c>
      <c r="C1207" s="2">
        <v>437</v>
      </c>
      <c r="D1207" s="1">
        <v>43822</v>
      </c>
      <c r="E1207" t="str">
        <f>"51026"</f>
        <v>51026</v>
      </c>
      <c r="F1207" t="str">
        <f>"INV 51026"</f>
        <v>INV 51026</v>
      </c>
      <c r="G1207" s="2">
        <v>437</v>
      </c>
      <c r="H1207" t="str">
        <f>"INV 51026"</f>
        <v>INV 51026</v>
      </c>
    </row>
    <row r="1208" spans="1:8" x14ac:dyDescent="0.25">
      <c r="A1208" t="s">
        <v>486</v>
      </c>
      <c r="B1208">
        <v>1965</v>
      </c>
      <c r="C1208" s="2">
        <v>217</v>
      </c>
      <c r="D1208" s="1">
        <v>43823</v>
      </c>
      <c r="E1208" t="str">
        <f>"2001054"</f>
        <v>2001054</v>
      </c>
      <c r="F1208" t="str">
        <f>"MONTHLY CONTRACT BILLING"</f>
        <v>MONTHLY CONTRACT BILLING</v>
      </c>
      <c r="G1208" s="2">
        <v>217</v>
      </c>
      <c r="H1208" t="str">
        <f>"MONTHLY CONTRACT BILLING"</f>
        <v>MONTHLY CONTRACT BILLING</v>
      </c>
    </row>
    <row r="1209" spans="1:8" x14ac:dyDescent="0.25">
      <c r="A1209" t="s">
        <v>487</v>
      </c>
      <c r="B1209">
        <v>130283</v>
      </c>
      <c r="C1209" s="2">
        <v>5</v>
      </c>
      <c r="D1209" s="1">
        <v>43822</v>
      </c>
      <c r="E1209" t="str">
        <f>"201912113941"</f>
        <v>201912113941</v>
      </c>
      <c r="F1209" t="str">
        <f>"FERAL HOGS"</f>
        <v>FERAL HOGS</v>
      </c>
      <c r="G1209" s="2">
        <v>5</v>
      </c>
      <c r="H1209" t="str">
        <f>"FERAL HOGS"</f>
        <v>FERAL HOGS</v>
      </c>
    </row>
    <row r="1210" spans="1:8" x14ac:dyDescent="0.25">
      <c r="A1210" t="s">
        <v>488</v>
      </c>
      <c r="B1210">
        <v>130284</v>
      </c>
      <c r="C1210" s="2">
        <v>638.58000000000004</v>
      </c>
      <c r="D1210" s="1">
        <v>43822</v>
      </c>
      <c r="E1210" t="str">
        <f>"377446"</f>
        <v>377446</v>
      </c>
      <c r="F1210" t="str">
        <f>"Air Filters"</f>
        <v>Air Filters</v>
      </c>
      <c r="G1210" s="2">
        <v>638.58000000000004</v>
      </c>
      <c r="H1210" t="str">
        <f>"20x20x1 Pleated Air"</f>
        <v>20x20x1 Pleated Air</v>
      </c>
    </row>
    <row r="1211" spans="1:8" x14ac:dyDescent="0.25">
      <c r="E1211" t="str">
        <f>""</f>
        <v/>
      </c>
      <c r="F1211" t="str">
        <f>""</f>
        <v/>
      </c>
      <c r="H1211" t="str">
        <f>"20x20x2 Pleated Air"</f>
        <v>20x20x2 Pleated Air</v>
      </c>
    </row>
    <row r="1212" spans="1:8" x14ac:dyDescent="0.25">
      <c r="E1212" t="str">
        <f>""</f>
        <v/>
      </c>
      <c r="F1212" t="str">
        <f>""</f>
        <v/>
      </c>
      <c r="H1212" t="str">
        <f>"20x24x2 Pleated Air"</f>
        <v>20x24x2 Pleated Air</v>
      </c>
    </row>
    <row r="1213" spans="1:8" x14ac:dyDescent="0.25">
      <c r="E1213" t="str">
        <f>""</f>
        <v/>
      </c>
      <c r="F1213" t="str">
        <f>""</f>
        <v/>
      </c>
      <c r="H1213" t="str">
        <f>"25x25x2 Pleated Air"</f>
        <v>25x25x2 Pleated Air</v>
      </c>
    </row>
    <row r="1214" spans="1:8" x14ac:dyDescent="0.25">
      <c r="E1214" t="str">
        <f>""</f>
        <v/>
      </c>
      <c r="F1214" t="str">
        <f>""</f>
        <v/>
      </c>
      <c r="H1214" t="str">
        <f>"25x27x2 Pleated Air"</f>
        <v>25x27x2 Pleated Air</v>
      </c>
    </row>
    <row r="1215" spans="1:8" x14ac:dyDescent="0.25">
      <c r="E1215" t="str">
        <f>""</f>
        <v/>
      </c>
      <c r="F1215" t="str">
        <f>""</f>
        <v/>
      </c>
      <c r="H1215" t="str">
        <f>"16x20x1 Pleated Air"</f>
        <v>16x20x1 Pleated Air</v>
      </c>
    </row>
    <row r="1216" spans="1:8" x14ac:dyDescent="0.25">
      <c r="A1216" t="s">
        <v>489</v>
      </c>
      <c r="B1216">
        <v>1884</v>
      </c>
      <c r="C1216" s="2">
        <v>129.6</v>
      </c>
      <c r="D1216" s="1">
        <v>43809</v>
      </c>
      <c r="E1216" t="str">
        <f>"81269"</f>
        <v>81269</v>
      </c>
      <c r="F1216" t="str">
        <f>"ACCT#63275/CUST ID:BASCO1/P3"</f>
        <v>ACCT#63275/CUST ID:BASCO1/P3</v>
      </c>
      <c r="G1216" s="2">
        <v>129.6</v>
      </c>
      <c r="H1216" t="str">
        <f>"ACCT#63275/CUST ID:BASCO1/P3"</f>
        <v>ACCT#63275/CUST ID:BASCO1/P3</v>
      </c>
    </row>
    <row r="1217" spans="1:8" x14ac:dyDescent="0.25">
      <c r="A1217" t="s">
        <v>490</v>
      </c>
      <c r="B1217">
        <v>130038</v>
      </c>
      <c r="C1217" s="2">
        <v>3772.63</v>
      </c>
      <c r="D1217" s="1">
        <v>43808</v>
      </c>
      <c r="E1217" t="str">
        <f>"0920750-IN"</f>
        <v>0920750-IN</v>
      </c>
      <c r="F1217" t="str">
        <f>"ACCT#01-0112917/DIESEL/PCT#3"</f>
        <v>ACCT#01-0112917/DIESEL/PCT#3</v>
      </c>
      <c r="G1217" s="2">
        <v>291.36</v>
      </c>
      <c r="H1217" t="str">
        <f>"ACCT#01-0112917/DIESEL/PCT#3"</f>
        <v>ACCT#01-0112917/DIESEL/PCT#3</v>
      </c>
    </row>
    <row r="1218" spans="1:8" x14ac:dyDescent="0.25">
      <c r="E1218" t="str">
        <f>"0921592-IN"</f>
        <v>0921592-IN</v>
      </c>
      <c r="F1218" t="str">
        <f>"ACCT#01-0112917/FUEL/PCT#3"</f>
        <v>ACCT#01-0112917/FUEL/PCT#3</v>
      </c>
      <c r="G1218" s="2">
        <v>3481.27</v>
      </c>
      <c r="H1218" t="str">
        <f>"ACCT#01-0112917/FUEL/PCT#3"</f>
        <v>ACCT#01-0112917/FUEL/PCT#3</v>
      </c>
    </row>
    <row r="1219" spans="1:8" x14ac:dyDescent="0.25">
      <c r="A1219" t="s">
        <v>490</v>
      </c>
      <c r="B1219">
        <v>130285</v>
      </c>
      <c r="C1219" s="2">
        <v>11791.83</v>
      </c>
      <c r="D1219" s="1">
        <v>43822</v>
      </c>
      <c r="E1219" t="str">
        <f>"0924923-IN"</f>
        <v>0924923-IN</v>
      </c>
      <c r="F1219" t="str">
        <f>"ACCT#01-0112917/BOL#328005/P4"</f>
        <v>ACCT#01-0112917/BOL#328005/P4</v>
      </c>
      <c r="G1219" s="2">
        <v>5373.25</v>
      </c>
      <c r="H1219" t="str">
        <f>"ACCT#01-0112917/BOL#328005/P4"</f>
        <v>ACCT#01-0112917/BOL#328005/P4</v>
      </c>
    </row>
    <row r="1220" spans="1:8" x14ac:dyDescent="0.25">
      <c r="E1220" t="str">
        <f>"0926582-IN"</f>
        <v>0926582-IN</v>
      </c>
      <c r="F1220" t="str">
        <f>"ACCT#01-0112917/PCT#3"</f>
        <v>ACCT#01-0112917/PCT#3</v>
      </c>
      <c r="G1220" s="2">
        <v>3178.88</v>
      </c>
      <c r="H1220" t="str">
        <f>"ACCT#01-0112917/PCT#3"</f>
        <v>ACCT#01-0112917/PCT#3</v>
      </c>
    </row>
    <row r="1221" spans="1:8" x14ac:dyDescent="0.25">
      <c r="E1221" t="str">
        <f>"0926596-IN"</f>
        <v>0926596-IN</v>
      </c>
      <c r="F1221" t="str">
        <f>"ACCT#01-0112917/PCT#4"</f>
        <v>ACCT#01-0112917/PCT#4</v>
      </c>
      <c r="G1221" s="2">
        <v>3239.7</v>
      </c>
      <c r="H1221" t="str">
        <f>"ACCT#01-0112917/PCT#4"</f>
        <v>ACCT#01-0112917/PCT#4</v>
      </c>
    </row>
    <row r="1222" spans="1:8" x14ac:dyDescent="0.25">
      <c r="A1222" t="s">
        <v>491</v>
      </c>
      <c r="B1222">
        <v>130286</v>
      </c>
      <c r="C1222" s="2">
        <v>844.15</v>
      </c>
      <c r="D1222" s="1">
        <v>43822</v>
      </c>
      <c r="E1222" t="str">
        <f>"201912184284"</f>
        <v>201912184284</v>
      </c>
      <c r="F1222" t="str">
        <f>"INDIGENT HEALTH"</f>
        <v>INDIGENT HEALTH</v>
      </c>
      <c r="G1222" s="2">
        <v>844.15</v>
      </c>
      <c r="H1222" t="str">
        <f>"INDIGENT HEALTH"</f>
        <v>INDIGENT HEALTH</v>
      </c>
    </row>
    <row r="1223" spans="1:8" x14ac:dyDescent="0.25">
      <c r="A1223" t="s">
        <v>492</v>
      </c>
      <c r="B1223">
        <v>130287</v>
      </c>
      <c r="C1223" s="2">
        <v>502.27</v>
      </c>
      <c r="D1223" s="1">
        <v>43822</v>
      </c>
      <c r="E1223" t="str">
        <f>"201912184285"</f>
        <v>201912184285</v>
      </c>
      <c r="F1223" t="str">
        <f>"INDIGENT HEALTH"</f>
        <v>INDIGENT HEALTH</v>
      </c>
      <c r="G1223" s="2">
        <v>502.27</v>
      </c>
      <c r="H1223" t="str">
        <f>"INDIGENT HEALTH"</f>
        <v>INDIGENT HEALTH</v>
      </c>
    </row>
    <row r="1224" spans="1:8" x14ac:dyDescent="0.25">
      <c r="A1224" t="s">
        <v>493</v>
      </c>
      <c r="B1224">
        <v>130039</v>
      </c>
      <c r="C1224" s="2">
        <v>899.85</v>
      </c>
      <c r="D1224" s="1">
        <v>43808</v>
      </c>
      <c r="E1224" t="str">
        <f>"3885"</f>
        <v>3885</v>
      </c>
      <c r="F1224" t="str">
        <f>"RIP RAP/PCT#4"</f>
        <v>RIP RAP/PCT#4</v>
      </c>
      <c r="G1224" s="2">
        <v>899.85</v>
      </c>
      <c r="H1224" t="str">
        <f>"RIP RAP/PCT#4"</f>
        <v>RIP RAP/PCT#4</v>
      </c>
    </row>
    <row r="1225" spans="1:8" x14ac:dyDescent="0.25">
      <c r="A1225" t="s">
        <v>494</v>
      </c>
      <c r="B1225">
        <v>130040</v>
      </c>
      <c r="C1225" s="2">
        <v>100</v>
      </c>
      <c r="D1225" s="1">
        <v>43808</v>
      </c>
      <c r="E1225" t="str">
        <f>"4420"</f>
        <v>4420</v>
      </c>
      <c r="F1225" t="str">
        <f>"INV 4420"</f>
        <v>INV 4420</v>
      </c>
      <c r="G1225" s="2">
        <v>50</v>
      </c>
      <c r="H1225" t="str">
        <f>"INV 4420"</f>
        <v>INV 4420</v>
      </c>
    </row>
    <row r="1226" spans="1:8" x14ac:dyDescent="0.25">
      <c r="E1226" t="str">
        <f>"4422"</f>
        <v>4422</v>
      </c>
      <c r="F1226" t="str">
        <f>"INV 4422"</f>
        <v>INV 4422</v>
      </c>
      <c r="G1226" s="2">
        <v>50</v>
      </c>
      <c r="H1226" t="str">
        <f>"INV 4422"</f>
        <v>INV 4422</v>
      </c>
    </row>
    <row r="1227" spans="1:8" x14ac:dyDescent="0.25">
      <c r="A1227" t="s">
        <v>494</v>
      </c>
      <c r="B1227">
        <v>130288</v>
      </c>
      <c r="C1227" s="2">
        <v>521</v>
      </c>
      <c r="D1227" s="1">
        <v>43822</v>
      </c>
      <c r="E1227" t="str">
        <f>"4330"</f>
        <v>4330</v>
      </c>
      <c r="F1227" t="str">
        <f>"ACCT#BASTCOU-08-LISA SMITH"</f>
        <v>ACCT#BASTCOU-08-LISA SMITH</v>
      </c>
      <c r="G1227" s="2">
        <v>350</v>
      </c>
      <c r="H1227" t="str">
        <f>"ACCT#BASTCOU-08-LISA SMITH"</f>
        <v>ACCT#BASTCOU-08-LISA SMITH</v>
      </c>
    </row>
    <row r="1228" spans="1:8" x14ac:dyDescent="0.25">
      <c r="E1228" t="str">
        <f>"4423"</f>
        <v>4423</v>
      </c>
      <c r="F1228" t="str">
        <f>"ACCT#BASTCOU-10/NEW RESERVE CO"</f>
        <v>ACCT#BASTCOU-10/NEW RESERVE CO</v>
      </c>
      <c r="G1228" s="2">
        <v>50</v>
      </c>
      <c r="H1228" t="str">
        <f>"ACCT#BASTCOU-10/NEW RESERVE CO"</f>
        <v>ACCT#BASTCOU-10/NEW RESERVE CO</v>
      </c>
    </row>
    <row r="1229" spans="1:8" x14ac:dyDescent="0.25">
      <c r="E1229" t="str">
        <f>"4433"</f>
        <v>4433</v>
      </c>
      <c r="F1229" t="str">
        <f>"BOND #97918 - WAYNE WOOD"</f>
        <v>BOND #97918 - WAYNE WOOD</v>
      </c>
      <c r="G1229" s="2">
        <v>50</v>
      </c>
      <c r="H1229" t="str">
        <f>"BOND #97918 - WAYNE WOOD"</f>
        <v>BOND #97918 - WAYNE WOOD</v>
      </c>
    </row>
    <row r="1230" spans="1:8" x14ac:dyDescent="0.25">
      <c r="E1230" t="str">
        <f>"4450"</f>
        <v>4450</v>
      </c>
      <c r="F1230" t="str">
        <f>"INV 4450"</f>
        <v>INV 4450</v>
      </c>
      <c r="G1230" s="2">
        <v>71</v>
      </c>
      <c r="H1230" t="str">
        <f>"INV 4450"</f>
        <v>INV 4450</v>
      </c>
    </row>
    <row r="1231" spans="1:8" x14ac:dyDescent="0.25">
      <c r="A1231" t="s">
        <v>495</v>
      </c>
      <c r="B1231">
        <v>130041</v>
      </c>
      <c r="C1231" s="2">
        <v>950</v>
      </c>
      <c r="D1231" s="1">
        <v>43808</v>
      </c>
      <c r="E1231" t="str">
        <f>"201911263517"</f>
        <v>201911263517</v>
      </c>
      <c r="F1231" t="str">
        <f>"ANNUAL DUES/2020 CONF/K. MILES"</f>
        <v>ANNUAL DUES/2020 CONF/K. MILES</v>
      </c>
      <c r="G1231" s="2">
        <v>350</v>
      </c>
      <c r="H1231" t="str">
        <f>"ANNUAL DUES/2020 CONFERENCE"</f>
        <v>ANNUAL DUES/2020 CONFERENCE</v>
      </c>
    </row>
    <row r="1232" spans="1:8" x14ac:dyDescent="0.25">
      <c r="E1232" t="str">
        <f>"201911263518"</f>
        <v>201911263518</v>
      </c>
      <c r="F1232" t="str">
        <f>"ANNUAL DUES/2020 CONF/S.STRONG"</f>
        <v>ANNUAL DUES/2020 CONF/S.STRONG</v>
      </c>
      <c r="G1232" s="2">
        <v>300</v>
      </c>
      <c r="H1232" t="str">
        <f>"ANNUAL DUES/2020 CONF/S.STRONG"</f>
        <v>ANNUAL DUES/2020 CONF/S.STRONG</v>
      </c>
    </row>
    <row r="1233" spans="1:8" x14ac:dyDescent="0.25">
      <c r="E1233" t="str">
        <f>"201911263519"</f>
        <v>201911263519</v>
      </c>
      <c r="F1233" t="str">
        <f>"ANNUAL DUES/2020 CONF/M. WELCH"</f>
        <v>ANNUAL DUES/2020 CONF/M. WELCH</v>
      </c>
      <c r="G1233" s="2">
        <v>300</v>
      </c>
      <c r="H1233" t="str">
        <f>"ANNUAL DUES/2020 CONF/M. WELCH"</f>
        <v>ANNUAL DUES/2020 CONF/M. WELCH</v>
      </c>
    </row>
    <row r="1234" spans="1:8" x14ac:dyDescent="0.25">
      <c r="A1234" t="s">
        <v>496</v>
      </c>
      <c r="B1234">
        <v>130289</v>
      </c>
      <c r="C1234" s="2">
        <v>82935.09</v>
      </c>
      <c r="D1234" s="1">
        <v>43822</v>
      </c>
      <c r="E1234" t="str">
        <f>"NRCN-27081-WC1"</f>
        <v>NRCN-27081-WC1</v>
      </c>
      <c r="F1234" t="str">
        <f>"1ST QTR 2020 WRKRS COMP/#0110"</f>
        <v>1ST QTR 2020 WRKRS COMP/#0110</v>
      </c>
      <c r="G1234" s="2">
        <v>82935.09</v>
      </c>
      <c r="H1234" t="str">
        <f t="shared" ref="H1234:H1280" si="20">"1ST QTR 2020 WRKRS COMP/#0110"</f>
        <v>1ST QTR 2020 WRKRS COMP/#0110</v>
      </c>
    </row>
    <row r="1235" spans="1:8" x14ac:dyDescent="0.25">
      <c r="E1235" t="str">
        <f>""</f>
        <v/>
      </c>
      <c r="F1235" t="str">
        <f>""</f>
        <v/>
      </c>
      <c r="H1235" t="str">
        <f t="shared" si="20"/>
        <v>1ST QTR 2020 WRKRS COMP/#0110</v>
      </c>
    </row>
    <row r="1236" spans="1:8" x14ac:dyDescent="0.25">
      <c r="E1236" t="str">
        <f>""</f>
        <v/>
      </c>
      <c r="F1236" t="str">
        <f>""</f>
        <v/>
      </c>
      <c r="H1236" t="str">
        <f t="shared" si="20"/>
        <v>1ST QTR 2020 WRKRS COMP/#0110</v>
      </c>
    </row>
    <row r="1237" spans="1:8" x14ac:dyDescent="0.25">
      <c r="E1237" t="str">
        <f>""</f>
        <v/>
      </c>
      <c r="F1237" t="str">
        <f>""</f>
        <v/>
      </c>
      <c r="H1237" t="str">
        <f t="shared" si="20"/>
        <v>1ST QTR 2020 WRKRS COMP/#0110</v>
      </c>
    </row>
    <row r="1238" spans="1:8" x14ac:dyDescent="0.25">
      <c r="E1238" t="str">
        <f>""</f>
        <v/>
      </c>
      <c r="F1238" t="str">
        <f>""</f>
        <v/>
      </c>
      <c r="H1238" t="str">
        <f t="shared" si="20"/>
        <v>1ST QTR 2020 WRKRS COMP/#0110</v>
      </c>
    </row>
    <row r="1239" spans="1:8" x14ac:dyDescent="0.25">
      <c r="E1239" t="str">
        <f>""</f>
        <v/>
      </c>
      <c r="F1239" t="str">
        <f>""</f>
        <v/>
      </c>
      <c r="H1239" t="str">
        <f t="shared" si="20"/>
        <v>1ST QTR 2020 WRKRS COMP/#0110</v>
      </c>
    </row>
    <row r="1240" spans="1:8" x14ac:dyDescent="0.25">
      <c r="E1240" t="str">
        <f>""</f>
        <v/>
      </c>
      <c r="F1240" t="str">
        <f>""</f>
        <v/>
      </c>
      <c r="H1240" t="str">
        <f t="shared" si="20"/>
        <v>1ST QTR 2020 WRKRS COMP/#0110</v>
      </c>
    </row>
    <row r="1241" spans="1:8" x14ac:dyDescent="0.25">
      <c r="E1241" t="str">
        <f>""</f>
        <v/>
      </c>
      <c r="F1241" t="str">
        <f>""</f>
        <v/>
      </c>
      <c r="H1241" t="str">
        <f t="shared" si="20"/>
        <v>1ST QTR 2020 WRKRS COMP/#0110</v>
      </c>
    </row>
    <row r="1242" spans="1:8" x14ac:dyDescent="0.25">
      <c r="E1242" t="str">
        <f>""</f>
        <v/>
      </c>
      <c r="F1242" t="str">
        <f>""</f>
        <v/>
      </c>
      <c r="H1242" t="str">
        <f t="shared" si="20"/>
        <v>1ST QTR 2020 WRKRS COMP/#0110</v>
      </c>
    </row>
    <row r="1243" spans="1:8" x14ac:dyDescent="0.25">
      <c r="E1243" t="str">
        <f>""</f>
        <v/>
      </c>
      <c r="F1243" t="str">
        <f>""</f>
        <v/>
      </c>
      <c r="H1243" t="str">
        <f t="shared" si="20"/>
        <v>1ST QTR 2020 WRKRS COMP/#0110</v>
      </c>
    </row>
    <row r="1244" spans="1:8" x14ac:dyDescent="0.25">
      <c r="E1244" t="str">
        <f>""</f>
        <v/>
      </c>
      <c r="F1244" t="str">
        <f>""</f>
        <v/>
      </c>
      <c r="H1244" t="str">
        <f t="shared" si="20"/>
        <v>1ST QTR 2020 WRKRS COMP/#0110</v>
      </c>
    </row>
    <row r="1245" spans="1:8" x14ac:dyDescent="0.25">
      <c r="E1245" t="str">
        <f>""</f>
        <v/>
      </c>
      <c r="F1245" t="str">
        <f>""</f>
        <v/>
      </c>
      <c r="H1245" t="str">
        <f t="shared" si="20"/>
        <v>1ST QTR 2020 WRKRS COMP/#0110</v>
      </c>
    </row>
    <row r="1246" spans="1:8" x14ac:dyDescent="0.25">
      <c r="E1246" t="str">
        <f>""</f>
        <v/>
      </c>
      <c r="F1246" t="str">
        <f>""</f>
        <v/>
      </c>
      <c r="H1246" t="str">
        <f t="shared" si="20"/>
        <v>1ST QTR 2020 WRKRS COMP/#0110</v>
      </c>
    </row>
    <row r="1247" spans="1:8" x14ac:dyDescent="0.25">
      <c r="E1247" t="str">
        <f>""</f>
        <v/>
      </c>
      <c r="F1247" t="str">
        <f>""</f>
        <v/>
      </c>
      <c r="H1247" t="str">
        <f t="shared" si="20"/>
        <v>1ST QTR 2020 WRKRS COMP/#0110</v>
      </c>
    </row>
    <row r="1248" spans="1:8" x14ac:dyDescent="0.25">
      <c r="E1248" t="str">
        <f>""</f>
        <v/>
      </c>
      <c r="F1248" t="str">
        <f>""</f>
        <v/>
      </c>
      <c r="H1248" t="str">
        <f t="shared" si="20"/>
        <v>1ST QTR 2020 WRKRS COMP/#0110</v>
      </c>
    </row>
    <row r="1249" spans="5:8" x14ac:dyDescent="0.25">
      <c r="E1249" t="str">
        <f>""</f>
        <v/>
      </c>
      <c r="F1249" t="str">
        <f>""</f>
        <v/>
      </c>
      <c r="H1249" t="str">
        <f t="shared" si="20"/>
        <v>1ST QTR 2020 WRKRS COMP/#0110</v>
      </c>
    </row>
    <row r="1250" spans="5:8" x14ac:dyDescent="0.25">
      <c r="E1250" t="str">
        <f>""</f>
        <v/>
      </c>
      <c r="F1250" t="str">
        <f>""</f>
        <v/>
      </c>
      <c r="H1250" t="str">
        <f t="shared" si="20"/>
        <v>1ST QTR 2020 WRKRS COMP/#0110</v>
      </c>
    </row>
    <row r="1251" spans="5:8" x14ac:dyDescent="0.25">
      <c r="E1251" t="str">
        <f>""</f>
        <v/>
      </c>
      <c r="F1251" t="str">
        <f>""</f>
        <v/>
      </c>
      <c r="H1251" t="str">
        <f t="shared" si="20"/>
        <v>1ST QTR 2020 WRKRS COMP/#0110</v>
      </c>
    </row>
    <row r="1252" spans="5:8" x14ac:dyDescent="0.25">
      <c r="E1252" t="str">
        <f>""</f>
        <v/>
      </c>
      <c r="F1252" t="str">
        <f>""</f>
        <v/>
      </c>
      <c r="H1252" t="str">
        <f t="shared" si="20"/>
        <v>1ST QTR 2020 WRKRS COMP/#0110</v>
      </c>
    </row>
    <row r="1253" spans="5:8" x14ac:dyDescent="0.25">
      <c r="E1253" t="str">
        <f>""</f>
        <v/>
      </c>
      <c r="F1253" t="str">
        <f>""</f>
        <v/>
      </c>
      <c r="H1253" t="str">
        <f t="shared" si="20"/>
        <v>1ST QTR 2020 WRKRS COMP/#0110</v>
      </c>
    </row>
    <row r="1254" spans="5:8" x14ac:dyDescent="0.25">
      <c r="E1254" t="str">
        <f>""</f>
        <v/>
      </c>
      <c r="F1254" t="str">
        <f>""</f>
        <v/>
      </c>
      <c r="H1254" t="str">
        <f t="shared" si="20"/>
        <v>1ST QTR 2020 WRKRS COMP/#0110</v>
      </c>
    </row>
    <row r="1255" spans="5:8" x14ac:dyDescent="0.25">
      <c r="E1255" t="str">
        <f>""</f>
        <v/>
      </c>
      <c r="F1255" t="str">
        <f>""</f>
        <v/>
      </c>
      <c r="H1255" t="str">
        <f t="shared" si="20"/>
        <v>1ST QTR 2020 WRKRS COMP/#0110</v>
      </c>
    </row>
    <row r="1256" spans="5:8" x14ac:dyDescent="0.25">
      <c r="E1256" t="str">
        <f>""</f>
        <v/>
      </c>
      <c r="F1256" t="str">
        <f>""</f>
        <v/>
      </c>
      <c r="H1256" t="str">
        <f t="shared" si="20"/>
        <v>1ST QTR 2020 WRKRS COMP/#0110</v>
      </c>
    </row>
    <row r="1257" spans="5:8" x14ac:dyDescent="0.25">
      <c r="E1257" t="str">
        <f>""</f>
        <v/>
      </c>
      <c r="F1257" t="str">
        <f>""</f>
        <v/>
      </c>
      <c r="H1257" t="str">
        <f t="shared" si="20"/>
        <v>1ST QTR 2020 WRKRS COMP/#0110</v>
      </c>
    </row>
    <row r="1258" spans="5:8" x14ac:dyDescent="0.25">
      <c r="E1258" t="str">
        <f>""</f>
        <v/>
      </c>
      <c r="F1258" t="str">
        <f>""</f>
        <v/>
      </c>
      <c r="H1258" t="str">
        <f t="shared" si="20"/>
        <v>1ST QTR 2020 WRKRS COMP/#0110</v>
      </c>
    </row>
    <row r="1259" spans="5:8" x14ac:dyDescent="0.25">
      <c r="E1259" t="str">
        <f>""</f>
        <v/>
      </c>
      <c r="F1259" t="str">
        <f>""</f>
        <v/>
      </c>
      <c r="H1259" t="str">
        <f t="shared" si="20"/>
        <v>1ST QTR 2020 WRKRS COMP/#0110</v>
      </c>
    </row>
    <row r="1260" spans="5:8" x14ac:dyDescent="0.25">
      <c r="E1260" t="str">
        <f>""</f>
        <v/>
      </c>
      <c r="F1260" t="str">
        <f>""</f>
        <v/>
      </c>
      <c r="H1260" t="str">
        <f t="shared" si="20"/>
        <v>1ST QTR 2020 WRKRS COMP/#0110</v>
      </c>
    </row>
    <row r="1261" spans="5:8" x14ac:dyDescent="0.25">
      <c r="E1261" t="str">
        <f>""</f>
        <v/>
      </c>
      <c r="F1261" t="str">
        <f>""</f>
        <v/>
      </c>
      <c r="H1261" t="str">
        <f t="shared" si="20"/>
        <v>1ST QTR 2020 WRKRS COMP/#0110</v>
      </c>
    </row>
    <row r="1262" spans="5:8" x14ac:dyDescent="0.25">
      <c r="E1262" t="str">
        <f>""</f>
        <v/>
      </c>
      <c r="F1262" t="str">
        <f>""</f>
        <v/>
      </c>
      <c r="H1262" t="str">
        <f t="shared" si="20"/>
        <v>1ST QTR 2020 WRKRS COMP/#0110</v>
      </c>
    </row>
    <row r="1263" spans="5:8" x14ac:dyDescent="0.25">
      <c r="E1263" t="str">
        <f>""</f>
        <v/>
      </c>
      <c r="F1263" t="str">
        <f>""</f>
        <v/>
      </c>
      <c r="H1263" t="str">
        <f t="shared" si="20"/>
        <v>1ST QTR 2020 WRKRS COMP/#0110</v>
      </c>
    </row>
    <row r="1264" spans="5:8" x14ac:dyDescent="0.25">
      <c r="E1264" t="str">
        <f>""</f>
        <v/>
      </c>
      <c r="F1264" t="str">
        <f>""</f>
        <v/>
      </c>
      <c r="H1264" t="str">
        <f t="shared" si="20"/>
        <v>1ST QTR 2020 WRKRS COMP/#0110</v>
      </c>
    </row>
    <row r="1265" spans="5:8" x14ac:dyDescent="0.25">
      <c r="E1265" t="str">
        <f>""</f>
        <v/>
      </c>
      <c r="F1265" t="str">
        <f>""</f>
        <v/>
      </c>
      <c r="H1265" t="str">
        <f t="shared" si="20"/>
        <v>1ST QTR 2020 WRKRS COMP/#0110</v>
      </c>
    </row>
    <row r="1266" spans="5:8" x14ac:dyDescent="0.25">
      <c r="E1266" t="str">
        <f>""</f>
        <v/>
      </c>
      <c r="F1266" t="str">
        <f>""</f>
        <v/>
      </c>
      <c r="H1266" t="str">
        <f t="shared" si="20"/>
        <v>1ST QTR 2020 WRKRS COMP/#0110</v>
      </c>
    </row>
    <row r="1267" spans="5:8" x14ac:dyDescent="0.25">
      <c r="E1267" t="str">
        <f>""</f>
        <v/>
      </c>
      <c r="F1267" t="str">
        <f>""</f>
        <v/>
      </c>
      <c r="H1267" t="str">
        <f t="shared" si="20"/>
        <v>1ST QTR 2020 WRKRS COMP/#0110</v>
      </c>
    </row>
    <row r="1268" spans="5:8" x14ac:dyDescent="0.25">
      <c r="E1268" t="str">
        <f>""</f>
        <v/>
      </c>
      <c r="F1268" t="str">
        <f>""</f>
        <v/>
      </c>
      <c r="H1268" t="str">
        <f t="shared" si="20"/>
        <v>1ST QTR 2020 WRKRS COMP/#0110</v>
      </c>
    </row>
    <row r="1269" spans="5:8" x14ac:dyDescent="0.25">
      <c r="E1269" t="str">
        <f>""</f>
        <v/>
      </c>
      <c r="F1269" t="str">
        <f>""</f>
        <v/>
      </c>
      <c r="H1269" t="str">
        <f t="shared" si="20"/>
        <v>1ST QTR 2020 WRKRS COMP/#0110</v>
      </c>
    </row>
    <row r="1270" spans="5:8" x14ac:dyDescent="0.25">
      <c r="E1270" t="str">
        <f>""</f>
        <v/>
      </c>
      <c r="F1270" t="str">
        <f>""</f>
        <v/>
      </c>
      <c r="H1270" t="str">
        <f t="shared" si="20"/>
        <v>1ST QTR 2020 WRKRS COMP/#0110</v>
      </c>
    </row>
    <row r="1271" spans="5:8" x14ac:dyDescent="0.25">
      <c r="E1271" t="str">
        <f>""</f>
        <v/>
      </c>
      <c r="F1271" t="str">
        <f>""</f>
        <v/>
      </c>
      <c r="H1271" t="str">
        <f t="shared" si="20"/>
        <v>1ST QTR 2020 WRKRS COMP/#0110</v>
      </c>
    </row>
    <row r="1272" spans="5:8" x14ac:dyDescent="0.25">
      <c r="E1272" t="str">
        <f>""</f>
        <v/>
      </c>
      <c r="F1272" t="str">
        <f>""</f>
        <v/>
      </c>
      <c r="H1272" t="str">
        <f t="shared" si="20"/>
        <v>1ST QTR 2020 WRKRS COMP/#0110</v>
      </c>
    </row>
    <row r="1273" spans="5:8" x14ac:dyDescent="0.25">
      <c r="E1273" t="str">
        <f>""</f>
        <v/>
      </c>
      <c r="F1273" t="str">
        <f>""</f>
        <v/>
      </c>
      <c r="H1273" t="str">
        <f t="shared" si="20"/>
        <v>1ST QTR 2020 WRKRS COMP/#0110</v>
      </c>
    </row>
    <row r="1274" spans="5:8" x14ac:dyDescent="0.25">
      <c r="E1274" t="str">
        <f>""</f>
        <v/>
      </c>
      <c r="F1274" t="str">
        <f>""</f>
        <v/>
      </c>
      <c r="H1274" t="str">
        <f t="shared" si="20"/>
        <v>1ST QTR 2020 WRKRS COMP/#0110</v>
      </c>
    </row>
    <row r="1275" spans="5:8" x14ac:dyDescent="0.25">
      <c r="E1275" t="str">
        <f>""</f>
        <v/>
      </c>
      <c r="F1275" t="str">
        <f>""</f>
        <v/>
      </c>
      <c r="H1275" t="str">
        <f t="shared" si="20"/>
        <v>1ST QTR 2020 WRKRS COMP/#0110</v>
      </c>
    </row>
    <row r="1276" spans="5:8" x14ac:dyDescent="0.25">
      <c r="E1276" t="str">
        <f>""</f>
        <v/>
      </c>
      <c r="F1276" t="str">
        <f>""</f>
        <v/>
      </c>
      <c r="H1276" t="str">
        <f t="shared" si="20"/>
        <v>1ST QTR 2020 WRKRS COMP/#0110</v>
      </c>
    </row>
    <row r="1277" spans="5:8" x14ac:dyDescent="0.25">
      <c r="E1277" t="str">
        <f>""</f>
        <v/>
      </c>
      <c r="F1277" t="str">
        <f>""</f>
        <v/>
      </c>
      <c r="H1277" t="str">
        <f t="shared" si="20"/>
        <v>1ST QTR 2020 WRKRS COMP/#0110</v>
      </c>
    </row>
    <row r="1278" spans="5:8" x14ac:dyDescent="0.25">
      <c r="E1278" t="str">
        <f>""</f>
        <v/>
      </c>
      <c r="F1278" t="str">
        <f>""</f>
        <v/>
      </c>
      <c r="H1278" t="str">
        <f t="shared" si="20"/>
        <v>1ST QTR 2020 WRKRS COMP/#0110</v>
      </c>
    </row>
    <row r="1279" spans="5:8" x14ac:dyDescent="0.25">
      <c r="E1279" t="str">
        <f>""</f>
        <v/>
      </c>
      <c r="F1279" t="str">
        <f>""</f>
        <v/>
      </c>
      <c r="H1279" t="str">
        <f t="shared" si="20"/>
        <v>1ST QTR 2020 WRKRS COMP/#0110</v>
      </c>
    </row>
    <row r="1280" spans="5:8" x14ac:dyDescent="0.25">
      <c r="E1280" t="str">
        <f>""</f>
        <v/>
      </c>
      <c r="F1280" t="str">
        <f>""</f>
        <v/>
      </c>
      <c r="H1280" t="str">
        <f t="shared" si="20"/>
        <v>1ST QTR 2020 WRKRS COMP/#0110</v>
      </c>
    </row>
    <row r="1281" spans="1:9" x14ac:dyDescent="0.25">
      <c r="A1281" t="s">
        <v>496</v>
      </c>
      <c r="B1281">
        <v>130290</v>
      </c>
      <c r="C1281" s="2">
        <v>125</v>
      </c>
      <c r="D1281" s="1">
        <v>43822</v>
      </c>
      <c r="E1281" t="str">
        <f>"203170-2020"</f>
        <v>203170-2020</v>
      </c>
      <c r="F1281" t="str">
        <f>"ELECTED OFF MBRSHP-L. HARMON"</f>
        <v>ELECTED OFF MBRSHP-L. HARMON</v>
      </c>
      <c r="G1281" s="2">
        <v>125</v>
      </c>
      <c r="H1281" t="str">
        <f>"ELECTED OFF MBRSHP-L. HARMON"</f>
        <v>ELECTED OFF MBRSHP-L. HARMON</v>
      </c>
    </row>
    <row r="1282" spans="1:9" x14ac:dyDescent="0.25">
      <c r="A1282" t="s">
        <v>496</v>
      </c>
      <c r="B1282">
        <v>130291</v>
      </c>
      <c r="C1282" s="2">
        <v>50</v>
      </c>
      <c r="D1282" s="1">
        <v>43822</v>
      </c>
      <c r="E1282" t="str">
        <f>"231551-2020"</f>
        <v>231551-2020</v>
      </c>
      <c r="F1282" t="str">
        <f>"MEMBERSHIP DUES-K. FOSTER"</f>
        <v>MEMBERSHIP DUES-K. FOSTER</v>
      </c>
      <c r="G1282" s="2">
        <v>50</v>
      </c>
      <c r="H1282" t="str">
        <f>"MEMBERSHIP DUES-K. FOSTER"</f>
        <v>MEMBERSHIP DUES-K. FOSTER</v>
      </c>
    </row>
    <row r="1283" spans="1:9" x14ac:dyDescent="0.25">
      <c r="A1283" t="s">
        <v>496</v>
      </c>
      <c r="B1283">
        <v>130292</v>
      </c>
      <c r="C1283" s="2">
        <v>50</v>
      </c>
      <c r="D1283" s="1">
        <v>43822</v>
      </c>
      <c r="E1283" t="str">
        <f>"231552 - 2020"</f>
        <v>231552 - 2020</v>
      </c>
      <c r="F1283" t="str">
        <f>"MEMBERSHIP DUES-J. SCHANHALS"</f>
        <v>MEMBERSHIP DUES-J. SCHANHALS</v>
      </c>
      <c r="G1283" s="2">
        <v>50</v>
      </c>
      <c r="H1283" t="str">
        <f>"TACA MEMBERSHIP DUES FOR STAFF"</f>
        <v>TACA MEMBERSHIP DUES FOR STAFF</v>
      </c>
    </row>
    <row r="1284" spans="1:9" x14ac:dyDescent="0.25">
      <c r="A1284" t="s">
        <v>497</v>
      </c>
      <c r="B1284">
        <v>130042</v>
      </c>
      <c r="C1284" s="2">
        <v>1009.83</v>
      </c>
      <c r="D1284" s="1">
        <v>43808</v>
      </c>
      <c r="E1284" t="str">
        <f>"2019-10-22A"</f>
        <v>2019-10-22A</v>
      </c>
      <c r="F1284" t="str">
        <f>"BOOTS/PCT#2"</f>
        <v>BOOTS/PCT#2</v>
      </c>
      <c r="G1284" s="2">
        <v>150</v>
      </c>
      <c r="H1284" t="str">
        <f>"BOOTS/PCT#2"</f>
        <v>BOOTS/PCT#2</v>
      </c>
    </row>
    <row r="1285" spans="1:9" x14ac:dyDescent="0.25">
      <c r="E1285" t="str">
        <f>"2019-10-24A"</f>
        <v>2019-10-24A</v>
      </c>
      <c r="F1285" t="str">
        <f>"BOOTS/PCT#2"</f>
        <v>BOOTS/PCT#2</v>
      </c>
      <c r="G1285" s="2">
        <v>309.94</v>
      </c>
      <c r="H1285" t="str">
        <f>"BOOTS/PCT#2"</f>
        <v>BOOTS/PCT#2</v>
      </c>
    </row>
    <row r="1286" spans="1:9" x14ac:dyDescent="0.25">
      <c r="E1286" t="str">
        <f>"2019-10-25A"</f>
        <v>2019-10-25A</v>
      </c>
      <c r="F1286" t="str">
        <f>"BOOTS/PCT#2"</f>
        <v>BOOTS/PCT#2</v>
      </c>
      <c r="G1286" s="2">
        <v>209.99</v>
      </c>
      <c r="H1286" t="str">
        <f>"BOOTS/PCT#2"</f>
        <v>BOOTS/PCT#2</v>
      </c>
    </row>
    <row r="1287" spans="1:9" x14ac:dyDescent="0.25">
      <c r="E1287" t="str">
        <f>"2019-11-09A"</f>
        <v>2019-11-09A</v>
      </c>
      <c r="F1287" t="str">
        <f>"BOOTS/PCT#2"</f>
        <v>BOOTS/PCT#2</v>
      </c>
      <c r="G1287" s="2">
        <v>209.95</v>
      </c>
      <c r="H1287" t="str">
        <f>"BOOTS/PCT#2"</f>
        <v>BOOTS/PCT#2</v>
      </c>
    </row>
    <row r="1288" spans="1:9" x14ac:dyDescent="0.25">
      <c r="E1288" t="str">
        <f>"2019-11-22A"</f>
        <v>2019-11-22A</v>
      </c>
      <c r="F1288" t="str">
        <f>"ANTHEM WORK BOOTS/PCT#1"</f>
        <v>ANTHEM WORK BOOTS/PCT#1</v>
      </c>
      <c r="G1288" s="2">
        <v>129.94999999999999</v>
      </c>
      <c r="H1288" t="str">
        <f>"ANTHEM WORK BOOTS/PCT#1"</f>
        <v>ANTHEM WORK BOOTS/PCT#1</v>
      </c>
    </row>
    <row r="1289" spans="1:9" x14ac:dyDescent="0.25">
      <c r="A1289" t="s">
        <v>498</v>
      </c>
      <c r="B1289">
        <v>130293</v>
      </c>
      <c r="C1289" s="2">
        <v>2280</v>
      </c>
      <c r="D1289" s="1">
        <v>43822</v>
      </c>
      <c r="E1289" t="str">
        <f>"WTR0053831/832"</f>
        <v>WTR0053831/832</v>
      </c>
      <c r="F1289" t="str">
        <f>"ACCT#0620010/BASTROP COUNTY"</f>
        <v>ACCT#0620010/BASTROP COUNTY</v>
      </c>
      <c r="G1289" s="2">
        <v>2280</v>
      </c>
      <c r="H1289" t="str">
        <f>"ACCT#0620010/BASTROP COUNTY"</f>
        <v>ACCT#0620010/BASTROP COUNTY</v>
      </c>
    </row>
    <row r="1290" spans="1:9" x14ac:dyDescent="0.25">
      <c r="A1290" t="s">
        <v>499</v>
      </c>
      <c r="B1290">
        <v>130043</v>
      </c>
      <c r="C1290" s="2">
        <v>200</v>
      </c>
      <c r="D1290" s="1">
        <v>43808</v>
      </c>
      <c r="E1290" t="str">
        <f>"746139"</f>
        <v>746139</v>
      </c>
      <c r="F1290" t="str">
        <f>"GO TEXAN BOOTH"</f>
        <v>GO TEXAN BOOTH</v>
      </c>
      <c r="G1290" s="2">
        <v>200</v>
      </c>
      <c r="H1290" t="str">
        <f>"GO TEXAN BOOTH"</f>
        <v>GO TEXAN BOOTH</v>
      </c>
    </row>
    <row r="1291" spans="1:9" x14ac:dyDescent="0.25">
      <c r="A1291" t="s">
        <v>500</v>
      </c>
      <c r="B1291">
        <v>130294</v>
      </c>
      <c r="C1291" s="2">
        <v>162.88</v>
      </c>
      <c r="D1291" s="1">
        <v>43822</v>
      </c>
      <c r="E1291" t="str">
        <f>"201912123951"</f>
        <v>201912123951</v>
      </c>
      <c r="F1291" t="str">
        <f>"OVERPAYMENT REIMBURSEMENT"</f>
        <v>OVERPAYMENT REIMBURSEMENT</v>
      </c>
      <c r="G1291" s="2">
        <v>162.88</v>
      </c>
      <c r="H1291" t="str">
        <f>"OVERPAYMENT REIMBURSEMENT"</f>
        <v>OVERPAYMENT REIMBURSEMENT</v>
      </c>
    </row>
    <row r="1292" spans="1:9" x14ac:dyDescent="0.25">
      <c r="A1292" t="s">
        <v>501</v>
      </c>
      <c r="B1292">
        <v>130044</v>
      </c>
      <c r="C1292" s="2">
        <v>8</v>
      </c>
      <c r="D1292" s="1">
        <v>43808</v>
      </c>
      <c r="E1292" t="str">
        <f>"CRS-201909-180139"</f>
        <v>CRS-201909-180139</v>
      </c>
      <c r="F1292" t="str">
        <f>"SECURE SITE CCH NAME SEARCH"</f>
        <v>SECURE SITE CCH NAME SEARCH</v>
      </c>
      <c r="G1292" s="2">
        <v>8</v>
      </c>
      <c r="H1292" t="str">
        <f>"SECURE SITE CCH NAME SEARCH"</f>
        <v>SECURE SITE CCH NAME SEARCH</v>
      </c>
    </row>
    <row r="1293" spans="1:9" x14ac:dyDescent="0.25">
      <c r="A1293" t="s">
        <v>501</v>
      </c>
      <c r="B1293">
        <v>130295</v>
      </c>
      <c r="C1293" s="2">
        <v>20</v>
      </c>
      <c r="D1293" s="1">
        <v>43822</v>
      </c>
      <c r="E1293" t="s">
        <v>227</v>
      </c>
      <c r="F1293" t="s">
        <v>502</v>
      </c>
      <c r="G1293" s="2" t="str">
        <f>"RESTITUTION-G. CORONA"</f>
        <v>RESTITUTION-G. CORONA</v>
      </c>
      <c r="H1293" t="str">
        <f>"210-0000"</f>
        <v>210-0000</v>
      </c>
      <c r="I1293" t="str">
        <f>""</f>
        <v/>
      </c>
    </row>
    <row r="1294" spans="1:9" x14ac:dyDescent="0.25">
      <c r="A1294" t="s">
        <v>503</v>
      </c>
      <c r="B1294">
        <v>130045</v>
      </c>
      <c r="C1294" s="2">
        <v>500</v>
      </c>
      <c r="D1294" s="1">
        <v>43808</v>
      </c>
      <c r="E1294" t="str">
        <f>"11477"</f>
        <v>11477</v>
      </c>
      <c r="F1294" t="str">
        <f>"MEMBERSHIP RENEWAL-ADENA LEWIS"</f>
        <v>MEMBERSHIP RENEWAL-ADENA LEWIS</v>
      </c>
      <c r="G1294" s="2">
        <v>500</v>
      </c>
      <c r="H1294" t="str">
        <f>"MEMBERSHIP RENEWAL-ADENA LEWIS"</f>
        <v>MEMBERSHIP RENEWAL-ADENA LEWIS</v>
      </c>
    </row>
    <row r="1295" spans="1:9" x14ac:dyDescent="0.25">
      <c r="A1295" t="s">
        <v>503</v>
      </c>
      <c r="B1295">
        <v>130296</v>
      </c>
      <c r="C1295" s="2">
        <v>350</v>
      </c>
      <c r="D1295" s="1">
        <v>43822</v>
      </c>
      <c r="E1295" t="str">
        <f>"11567"</f>
        <v>11567</v>
      </c>
      <c r="F1295" t="str">
        <f>"2020 WINTER CONFERENCE"</f>
        <v>2020 WINTER CONFERENCE</v>
      </c>
      <c r="G1295" s="2">
        <v>350</v>
      </c>
      <c r="H1295" t="str">
        <f>"2020 WINTER CONFERENCE"</f>
        <v>2020 WINTER CONFERENCE</v>
      </c>
    </row>
    <row r="1296" spans="1:9" x14ac:dyDescent="0.25">
      <c r="A1296" t="s">
        <v>504</v>
      </c>
      <c r="B1296">
        <v>130046</v>
      </c>
      <c r="C1296" s="2">
        <v>4656.24</v>
      </c>
      <c r="D1296" s="1">
        <v>43808</v>
      </c>
      <c r="E1296" t="str">
        <f>"1069732-0002"</f>
        <v>1069732-0002</v>
      </c>
      <c r="F1296" t="str">
        <f>"TAX ADJUSTMENT / P2"</f>
        <v>TAX ADJUSTMENT / P2</v>
      </c>
      <c r="G1296" s="2">
        <v>-58.25</v>
      </c>
      <c r="H1296" t="str">
        <f>"TAX ADJUSTMENT / P2"</f>
        <v>TAX ADJUSTMENT / P2</v>
      </c>
    </row>
    <row r="1297" spans="1:8" x14ac:dyDescent="0.25">
      <c r="E1297" t="str">
        <f>"1105527-0001/2/3"</f>
        <v>1105527-0001/2/3</v>
      </c>
      <c r="F1297" t="str">
        <f>"Traco Rental"</f>
        <v>Traco Rental</v>
      </c>
      <c r="G1297" s="2">
        <v>4714.49</v>
      </c>
      <c r="H1297" t="str">
        <f>"inv# 1105527-0001"</f>
        <v>inv# 1105527-0001</v>
      </c>
    </row>
    <row r="1298" spans="1:8" x14ac:dyDescent="0.25">
      <c r="E1298" t="str">
        <f>""</f>
        <v/>
      </c>
      <c r="F1298" t="str">
        <f>""</f>
        <v/>
      </c>
      <c r="H1298" t="str">
        <f>"inv# 1105527-0002"</f>
        <v>inv# 1105527-0002</v>
      </c>
    </row>
    <row r="1299" spans="1:8" x14ac:dyDescent="0.25">
      <c r="E1299" t="str">
        <f>""</f>
        <v/>
      </c>
      <c r="F1299" t="str">
        <f>""</f>
        <v/>
      </c>
      <c r="H1299" t="str">
        <f>"inv# 1105527-0003"</f>
        <v>inv# 1105527-0003</v>
      </c>
    </row>
    <row r="1300" spans="1:8" x14ac:dyDescent="0.25">
      <c r="A1300" t="s">
        <v>505</v>
      </c>
      <c r="B1300">
        <v>130047</v>
      </c>
      <c r="C1300" s="2">
        <v>7350.75</v>
      </c>
      <c r="D1300" s="1">
        <v>43808</v>
      </c>
      <c r="E1300" t="str">
        <f>"200828519"</f>
        <v>200828519</v>
      </c>
      <c r="F1300" t="str">
        <f>"CUST#255120/PCT#2"</f>
        <v>CUST#255120/PCT#2</v>
      </c>
      <c r="G1300" s="2">
        <v>7350.75</v>
      </c>
      <c r="H1300" t="str">
        <f>"CUST#255120/PCT#2"</f>
        <v>CUST#255120/PCT#2</v>
      </c>
    </row>
    <row r="1301" spans="1:8" x14ac:dyDescent="0.25">
      <c r="A1301" t="s">
        <v>506</v>
      </c>
      <c r="B1301">
        <v>130048</v>
      </c>
      <c r="C1301" s="2">
        <v>425</v>
      </c>
      <c r="D1301" s="1">
        <v>43808</v>
      </c>
      <c r="E1301" t="str">
        <f>"19-25894J4"</f>
        <v>19-25894J4</v>
      </c>
      <c r="F1301" t="str">
        <f>"A8286595-D.A. RODRIGUEZ"</f>
        <v>A8286595-D.A. RODRIGUEZ</v>
      </c>
      <c r="G1301" s="2">
        <v>80.75</v>
      </c>
      <c r="H1301" t="str">
        <f>"A8286595-D.A. RODRIGUEZ"</f>
        <v>A8286595-D.A. RODRIGUEZ</v>
      </c>
    </row>
    <row r="1302" spans="1:8" x14ac:dyDescent="0.25">
      <c r="E1302" t="str">
        <f>"1CO-3639-19"</f>
        <v>1CO-3639-19</v>
      </c>
      <c r="F1302" t="str">
        <f>"A8286594 - S. JUAREZ"</f>
        <v>A8286594 - S. JUAREZ</v>
      </c>
      <c r="G1302" s="2">
        <v>114.75</v>
      </c>
      <c r="H1302" t="str">
        <f>"A8286594 - S. JUAREZ"</f>
        <v>A8286594 - S. JUAREZ</v>
      </c>
    </row>
    <row r="1303" spans="1:8" x14ac:dyDescent="0.25">
      <c r="E1303" t="str">
        <f>"J2-66555"</f>
        <v>J2-66555</v>
      </c>
      <c r="F1303" t="str">
        <f>"A8303681-B. THOMPSON"</f>
        <v>A8303681-B. THOMPSON</v>
      </c>
      <c r="G1303" s="2">
        <v>114.75</v>
      </c>
      <c r="H1303" t="str">
        <f>"A8303681-B. THOMPSON"</f>
        <v>A8303681-B. THOMPSON</v>
      </c>
    </row>
    <row r="1304" spans="1:8" x14ac:dyDescent="0.25">
      <c r="E1304" t="str">
        <f>"J2-66558"</f>
        <v>J2-66558</v>
      </c>
      <c r="F1304" t="str">
        <f>"A8303685-D.A. HERNANDEZ"</f>
        <v>A8303685-D.A. HERNANDEZ</v>
      </c>
      <c r="G1304" s="2">
        <v>114.75</v>
      </c>
      <c r="H1304" t="str">
        <f>"A8303685-D.A. HERNANDEZ"</f>
        <v>A8303685-D.A. HERNANDEZ</v>
      </c>
    </row>
    <row r="1305" spans="1:8" x14ac:dyDescent="0.25">
      <c r="A1305" t="s">
        <v>506</v>
      </c>
      <c r="B1305">
        <v>130298</v>
      </c>
      <c r="C1305" s="2">
        <v>80.75</v>
      </c>
      <c r="D1305" s="1">
        <v>43822</v>
      </c>
      <c r="E1305" t="str">
        <f>"J2-66756"</f>
        <v>J2-66756</v>
      </c>
      <c r="F1305" t="str">
        <f>"A8286600 - J. HENLEY"</f>
        <v>A8286600 - J. HENLEY</v>
      </c>
      <c r="G1305" s="2">
        <v>80.75</v>
      </c>
      <c r="H1305" t="str">
        <f>"A8286600 - J. HENLEY"</f>
        <v>A8286600 - J. HENLEY</v>
      </c>
    </row>
    <row r="1306" spans="1:8" x14ac:dyDescent="0.25">
      <c r="A1306" t="s">
        <v>507</v>
      </c>
      <c r="B1306">
        <v>130049</v>
      </c>
      <c r="C1306" s="2">
        <v>5725.4</v>
      </c>
      <c r="D1306" s="1">
        <v>43808</v>
      </c>
      <c r="E1306" t="str">
        <f>"201912033736"</f>
        <v>201912033736</v>
      </c>
      <c r="F1306" t="str">
        <f>"PowerLift PL60"</f>
        <v>PowerLift PL60</v>
      </c>
      <c r="G1306" s="2">
        <v>5725.4</v>
      </c>
      <c r="H1306" t="str">
        <f>"PowerLift PL60"</f>
        <v>PowerLift PL60</v>
      </c>
    </row>
    <row r="1307" spans="1:8" x14ac:dyDescent="0.25">
      <c r="E1307" t="str">
        <f>""</f>
        <v/>
      </c>
      <c r="F1307" t="str">
        <f>""</f>
        <v/>
      </c>
      <c r="H1307" t="str">
        <f>"shipping"</f>
        <v>shipping</v>
      </c>
    </row>
    <row r="1308" spans="1:8" x14ac:dyDescent="0.25">
      <c r="A1308" t="s">
        <v>508</v>
      </c>
      <c r="B1308">
        <v>1933</v>
      </c>
      <c r="C1308" s="2">
        <v>202.2</v>
      </c>
      <c r="D1308" s="1">
        <v>43823</v>
      </c>
      <c r="E1308" t="str">
        <f>"201912184286"</f>
        <v>201912184286</v>
      </c>
      <c r="F1308" t="str">
        <f>"INDIGENT HEALTH"</f>
        <v>INDIGENT HEALTH</v>
      </c>
      <c r="G1308" s="2">
        <v>202.2</v>
      </c>
      <c r="H1308" t="str">
        <f>"INDIGENT HEALTH"</f>
        <v>INDIGENT HEALTH</v>
      </c>
    </row>
    <row r="1309" spans="1:8" x14ac:dyDescent="0.25">
      <c r="A1309" t="s">
        <v>509</v>
      </c>
      <c r="B1309">
        <v>130050</v>
      </c>
      <c r="C1309" s="2">
        <v>2340.75</v>
      </c>
      <c r="D1309" s="1">
        <v>43808</v>
      </c>
      <c r="E1309" t="str">
        <f>"SRV0157349"</f>
        <v>SRV0157349</v>
      </c>
      <c r="F1309" t="str">
        <f>"INV SRV0157349"</f>
        <v>INV SRV0157349</v>
      </c>
      <c r="G1309" s="2">
        <v>2340.75</v>
      </c>
      <c r="H1309" t="str">
        <f>"INV SRV0157349"</f>
        <v>INV SRV0157349</v>
      </c>
    </row>
    <row r="1310" spans="1:8" x14ac:dyDescent="0.25">
      <c r="A1310" t="s">
        <v>510</v>
      </c>
      <c r="B1310">
        <v>130051</v>
      </c>
      <c r="C1310" s="2">
        <v>1316</v>
      </c>
      <c r="D1310" s="1">
        <v>43808</v>
      </c>
      <c r="E1310" t="str">
        <f>"133816"</f>
        <v>133816</v>
      </c>
      <c r="F1310" t="str">
        <f>"ACCT#188757/RD &amp; BRIDGE/SIGN S"</f>
        <v>ACCT#188757/RD &amp; BRIDGE/SIGN S</v>
      </c>
      <c r="G1310" s="2">
        <v>95</v>
      </c>
      <c r="H1310" t="str">
        <f>"ACCT#188757/RD &amp; BRIDGE/SIGN S"</f>
        <v>ACCT#188757/RD &amp; BRIDGE/SIGN S</v>
      </c>
    </row>
    <row r="1311" spans="1:8" x14ac:dyDescent="0.25">
      <c r="E1311" t="str">
        <f>"133826"</f>
        <v>133826</v>
      </c>
      <c r="F1311" t="str">
        <f>"ACCT#188757/JUVENILE BOOT CAMP"</f>
        <v>ACCT#188757/JUVENILE BOOT CAMP</v>
      </c>
      <c r="G1311" s="2">
        <v>118.5</v>
      </c>
      <c r="H1311" t="str">
        <f>"ACCT#188757/JUVENILE BOOT CAMP"</f>
        <v>ACCT#188757/JUVENILE BOOT CAMP</v>
      </c>
    </row>
    <row r="1312" spans="1:8" x14ac:dyDescent="0.25">
      <c r="E1312" t="str">
        <f>"133958"</f>
        <v>133958</v>
      </c>
      <c r="F1312" t="str">
        <f>"ACCT#188757/MIKE FISHER BLDG"</f>
        <v>ACCT#188757/MIKE FISHER BLDG</v>
      </c>
      <c r="G1312" s="2">
        <v>112</v>
      </c>
      <c r="H1312" t="str">
        <f>"ACCT#188757/MIKE FISHER BLDG"</f>
        <v>ACCT#188757/MIKE FISHER BLDG</v>
      </c>
    </row>
    <row r="1313" spans="1:8" x14ac:dyDescent="0.25">
      <c r="E1313" t="str">
        <f>"134636"</f>
        <v>134636</v>
      </c>
      <c r="F1313" t="str">
        <f>"ACCT#188757/JUVENILE PROBATION"</f>
        <v>ACCT#188757/JUVENILE PROBATION</v>
      </c>
      <c r="G1313" s="2">
        <v>132</v>
      </c>
      <c r="H1313" t="str">
        <f>"ACCT#188757/JUVENILE PROBATION"</f>
        <v>ACCT#188757/JUVENILE PROBATION</v>
      </c>
    </row>
    <row r="1314" spans="1:8" x14ac:dyDescent="0.25">
      <c r="E1314" t="str">
        <f>"134654"</f>
        <v>134654</v>
      </c>
      <c r="F1314" t="str">
        <f>"ACCT#188757/HISTORIC JAIL"</f>
        <v>ACCT#188757/HISTORIC JAIL</v>
      </c>
      <c r="G1314" s="2">
        <v>76</v>
      </c>
      <c r="H1314" t="str">
        <f>"ACCT#188757/HISTORIC JAIL"</f>
        <v>ACCT#188757/HISTORIC JAIL</v>
      </c>
    </row>
    <row r="1315" spans="1:8" x14ac:dyDescent="0.25">
      <c r="E1315" t="str">
        <f>"134655"</f>
        <v>134655</v>
      </c>
      <c r="F1315" t="str">
        <f>"ACCT#188757/CT HSE MAIN/ANNEX"</f>
        <v>ACCT#188757/CT HSE MAIN/ANNEX</v>
      </c>
      <c r="G1315" s="2">
        <v>137</v>
      </c>
      <c r="H1315" t="str">
        <f>"ACCT#188757/CT HSE MAIN/ANNEX"</f>
        <v>ACCT#188757/CT HSE MAIN/ANNEX</v>
      </c>
    </row>
    <row r="1316" spans="1:8" x14ac:dyDescent="0.25">
      <c r="E1316" t="str">
        <f>"134656"</f>
        <v>134656</v>
      </c>
      <c r="F1316" t="str">
        <f>"ACCT#188757/EXT HABITAT BLDG"</f>
        <v>ACCT#188757/EXT HABITAT BLDG</v>
      </c>
      <c r="G1316" s="2">
        <v>89</v>
      </c>
      <c r="H1316" t="str">
        <f>"ACCT#188757/EXT HABITAT BLDG"</f>
        <v>ACCT#188757/EXT HABITAT BLDG</v>
      </c>
    </row>
    <row r="1317" spans="1:8" x14ac:dyDescent="0.25">
      <c r="E1317" t="str">
        <f>"134840"</f>
        <v>134840</v>
      </c>
      <c r="F1317" t="str">
        <f>"ACCT#188757/TAX OFFICE"</f>
        <v>ACCT#188757/TAX OFFICE</v>
      </c>
      <c r="G1317" s="2">
        <v>102</v>
      </c>
      <c r="H1317" t="str">
        <f>"ACCT#188757/TAX OFFICE"</f>
        <v>ACCT#188757/TAX OFFICE</v>
      </c>
    </row>
    <row r="1318" spans="1:8" x14ac:dyDescent="0.25">
      <c r="E1318" t="str">
        <f>"134841"</f>
        <v>134841</v>
      </c>
      <c r="F1318" t="str">
        <f>"ACCT#188757/ANIMAL SHELTER"</f>
        <v>ACCT#188757/ANIMAL SHELTER</v>
      </c>
      <c r="G1318" s="2">
        <v>290</v>
      </c>
      <c r="H1318" t="str">
        <f>"ACCT#188757/ANIMAL SHELTER"</f>
        <v>ACCT#188757/ANIMAL SHELTER</v>
      </c>
    </row>
    <row r="1319" spans="1:8" x14ac:dyDescent="0.25">
      <c r="E1319" t="str">
        <f>"134976"</f>
        <v>134976</v>
      </c>
      <c r="F1319" t="str">
        <f>"ACCT#188757/PCT#4 RD &amp; BRIDGE"</f>
        <v>ACCT#188757/PCT#4 RD &amp; BRIDGE</v>
      </c>
      <c r="G1319" s="2">
        <v>95.5</v>
      </c>
      <c r="H1319" t="str">
        <f>"ACCT#188757/PCT#4 RD &amp; BRIDGE"</f>
        <v>ACCT#188757/PCT#4 RD &amp; BRIDGE</v>
      </c>
    </row>
    <row r="1320" spans="1:8" x14ac:dyDescent="0.25">
      <c r="E1320" t="str">
        <f>"135034"</f>
        <v>135034</v>
      </c>
      <c r="F1320" t="str">
        <f>"ACCT#188757/LBJ BLDG/HLTH DPT"</f>
        <v>ACCT#188757/LBJ BLDG/HLTH DPT</v>
      </c>
      <c r="G1320" s="2">
        <v>69</v>
      </c>
      <c r="H1320" t="str">
        <f>"ACCT#188757/LBJ BLDG/HLTH DPT"</f>
        <v>ACCT#188757/LBJ BLDG/HLTH DPT</v>
      </c>
    </row>
    <row r="1321" spans="1:8" x14ac:dyDescent="0.25">
      <c r="A1321" t="s">
        <v>510</v>
      </c>
      <c r="B1321">
        <v>130299</v>
      </c>
      <c r="C1321" s="2">
        <v>1137.5</v>
      </c>
      <c r="D1321" s="1">
        <v>43822</v>
      </c>
      <c r="E1321" t="str">
        <f>"135858"</f>
        <v>135858</v>
      </c>
      <c r="F1321" t="str">
        <f>"ACCT#188757/DPS TDL"</f>
        <v>ACCT#188757/DPS TDL</v>
      </c>
      <c r="G1321" s="2">
        <v>76</v>
      </c>
      <c r="H1321" t="str">
        <f>"ACCT#188757/DPS TDL"</f>
        <v>ACCT#188757/DPS TDL</v>
      </c>
    </row>
    <row r="1322" spans="1:8" x14ac:dyDescent="0.25">
      <c r="E1322" t="str">
        <f>"136127"</f>
        <v>136127</v>
      </c>
      <c r="F1322" t="str">
        <f>"ACCT#188757/CEDAR CREEK PARK"</f>
        <v>ACCT#188757/CEDAR CREEK PARK</v>
      </c>
      <c r="G1322" s="2">
        <v>125</v>
      </c>
      <c r="H1322" t="str">
        <f>"ACCT#188757/CEDAR CREEK PARK"</f>
        <v>ACCT#188757/CEDAR CREEK PARK</v>
      </c>
    </row>
    <row r="1323" spans="1:8" x14ac:dyDescent="0.25">
      <c r="E1323" t="str">
        <f>"136486"</f>
        <v>136486</v>
      </c>
      <c r="F1323" t="str">
        <f>"ACCT#188757/LOST PINES PARK"</f>
        <v>ACCT#188757/LOST PINES PARK</v>
      </c>
      <c r="G1323" s="2">
        <v>75</v>
      </c>
      <c r="H1323" t="str">
        <f>"ACCT#188757/LOST PINES PARK"</f>
        <v>ACCT#188757/LOST PINES PARK</v>
      </c>
    </row>
    <row r="1324" spans="1:8" x14ac:dyDescent="0.25">
      <c r="E1324" t="str">
        <f>"137163"</f>
        <v>137163</v>
      </c>
      <c r="F1324" t="str">
        <f>"ACCT#188757/MIKE FISHER BLDG"</f>
        <v>ACCT#188757/MIKE FISHER BLDG</v>
      </c>
      <c r="G1324" s="2">
        <v>112</v>
      </c>
      <c r="H1324" t="str">
        <f>"ACCT#188757/MIKE FISHER BLDG"</f>
        <v>ACCT#188757/MIKE FISHER BLDG</v>
      </c>
    </row>
    <row r="1325" spans="1:8" x14ac:dyDescent="0.25">
      <c r="E1325" t="str">
        <f>"137191"</f>
        <v>137191</v>
      </c>
      <c r="F1325" t="str">
        <f>"ACCT#188757/RD&amp;BRIDGE/SIGN SHP"</f>
        <v>ACCT#188757/RD&amp;BRIDGE/SIGN SHP</v>
      </c>
      <c r="G1325" s="2">
        <v>95</v>
      </c>
      <c r="H1325" t="str">
        <f>"ACCT#188757/RD&amp;BRIDGE/SIGN SHP"</f>
        <v>ACCT#188757/RD&amp;BRIDGE/SIGN SHP</v>
      </c>
    </row>
    <row r="1326" spans="1:8" x14ac:dyDescent="0.25">
      <c r="E1326" t="str">
        <f>"137192"</f>
        <v>137192</v>
      </c>
      <c r="F1326" t="str">
        <f>"ACCT#188757/JUVE BOOT CAMP"</f>
        <v>ACCT#188757/JUVE BOOT CAMP</v>
      </c>
      <c r="G1326" s="2">
        <v>118.5</v>
      </c>
      <c r="H1326" t="str">
        <f>"ACCT#188757/JUVE BOOT CAMP"</f>
        <v>ACCT#188757/JUVE BOOT CAMP</v>
      </c>
    </row>
    <row r="1327" spans="1:8" x14ac:dyDescent="0.25">
      <c r="E1327" t="str">
        <f>"137539"</f>
        <v>137539</v>
      </c>
      <c r="F1327" t="str">
        <f>"ACCT#188757/TAX OFFICE"</f>
        <v>ACCT#188757/TAX OFFICE</v>
      </c>
      <c r="G1327" s="2">
        <v>102</v>
      </c>
      <c r="H1327" t="str">
        <f>"ACCT#188757/TAX OFFICE"</f>
        <v>ACCT#188757/TAX OFFICE</v>
      </c>
    </row>
    <row r="1328" spans="1:8" x14ac:dyDescent="0.25">
      <c r="E1328" t="str">
        <f>"137551"</f>
        <v>137551</v>
      </c>
      <c r="F1328" t="str">
        <f>"ACCT#188757/HISTORIC JAIL"</f>
        <v>ACCT#188757/HISTORIC JAIL</v>
      </c>
      <c r="G1328" s="2">
        <v>76</v>
      </c>
      <c r="H1328" t="str">
        <f>"ACCT#188757/HISTORIC JAIL"</f>
        <v>ACCT#188757/HISTORIC JAIL</v>
      </c>
    </row>
    <row r="1329" spans="1:8" x14ac:dyDescent="0.25">
      <c r="E1329" t="str">
        <f>"137552"</f>
        <v>137552</v>
      </c>
      <c r="F1329" t="str">
        <f>"ACCT#188757/COURTHOUSE/ANNEX"</f>
        <v>ACCT#188757/COURTHOUSE/ANNEX</v>
      </c>
      <c r="G1329" s="2">
        <v>137</v>
      </c>
      <c r="H1329" t="str">
        <f>"ACCT#188757/COURTHOUSE/ANNEX"</f>
        <v>ACCT#188757/COURTHOUSE/ANNEX</v>
      </c>
    </row>
    <row r="1330" spans="1:8" x14ac:dyDescent="0.25">
      <c r="E1330" t="str">
        <f>"137555"</f>
        <v>137555</v>
      </c>
      <c r="F1330" t="str">
        <f>"ACCT#188757/EXT HABITAT BLDG"</f>
        <v>ACCT#188757/EXT HABITAT BLDG</v>
      </c>
      <c r="G1330" s="2">
        <v>89</v>
      </c>
      <c r="H1330" t="str">
        <f>"ACCT#188757/EXT HABITAT BLDG"</f>
        <v>ACCT#188757/EXT HABITAT BLDG</v>
      </c>
    </row>
    <row r="1331" spans="1:8" x14ac:dyDescent="0.25">
      <c r="E1331" t="str">
        <f>"137569"</f>
        <v>137569</v>
      </c>
      <c r="F1331" t="str">
        <f>"ACCT#188757/JUVENILE PROBATION"</f>
        <v>ACCT#188757/JUVENILE PROBATION</v>
      </c>
      <c r="G1331" s="2">
        <v>132</v>
      </c>
      <c r="H1331" t="str">
        <f>"ACCT#188757/JUVENILE PROBATION"</f>
        <v>ACCT#188757/JUVENILE PROBATION</v>
      </c>
    </row>
    <row r="1332" spans="1:8" x14ac:dyDescent="0.25">
      <c r="A1332" t="s">
        <v>511</v>
      </c>
      <c r="B1332">
        <v>1916</v>
      </c>
      <c r="C1332" s="2">
        <v>500</v>
      </c>
      <c r="D1332" s="1">
        <v>43823</v>
      </c>
      <c r="E1332" t="str">
        <f>"201912174167"</f>
        <v>201912174167</v>
      </c>
      <c r="F1332" t="str">
        <f>"56 710"</f>
        <v>56 710</v>
      </c>
      <c r="G1332" s="2">
        <v>250</v>
      </c>
      <c r="H1332" t="str">
        <f>"56 710"</f>
        <v>56 710</v>
      </c>
    </row>
    <row r="1333" spans="1:8" x14ac:dyDescent="0.25">
      <c r="E1333" t="str">
        <f>"201912174224"</f>
        <v>201912174224</v>
      </c>
      <c r="F1333" t="str">
        <f>"56 262"</f>
        <v>56 262</v>
      </c>
      <c r="G1333" s="2">
        <v>250</v>
      </c>
      <c r="H1333" t="str">
        <f>"56 262"</f>
        <v>56 262</v>
      </c>
    </row>
    <row r="1334" spans="1:8" x14ac:dyDescent="0.25">
      <c r="A1334" t="s">
        <v>512</v>
      </c>
      <c r="B1334">
        <v>1907</v>
      </c>
      <c r="C1334" s="2">
        <v>650</v>
      </c>
      <c r="D1334" s="1">
        <v>43823</v>
      </c>
      <c r="E1334" t="str">
        <f>"201912123983"</f>
        <v>201912123983</v>
      </c>
      <c r="F1334" t="str">
        <f>"02-0907-2  423-6972"</f>
        <v>02-0907-2  423-6972</v>
      </c>
      <c r="G1334" s="2">
        <v>100</v>
      </c>
      <c r="H1334" t="str">
        <f>"02-0907-2  423-6972"</f>
        <v>02-0907-2  423-6972</v>
      </c>
    </row>
    <row r="1335" spans="1:8" x14ac:dyDescent="0.25">
      <c r="E1335" t="str">
        <f>"201912174190"</f>
        <v>201912174190</v>
      </c>
      <c r="F1335" t="str">
        <f>"02-0907-3  02-0907-1  02-09-07"</f>
        <v>02-0907-3  02-0907-1  02-09-07</v>
      </c>
      <c r="G1335" s="2">
        <v>300</v>
      </c>
      <c r="H1335" t="str">
        <f>"02-0907-3  02-0907-1  02-09-07"</f>
        <v>02-0907-3  02-0907-1  02-09-07</v>
      </c>
    </row>
    <row r="1336" spans="1:8" x14ac:dyDescent="0.25">
      <c r="E1336" t="str">
        <f>"201912174191"</f>
        <v>201912174191</v>
      </c>
      <c r="F1336" t="str">
        <f>"18-19410"</f>
        <v>18-19410</v>
      </c>
      <c r="G1336" s="2">
        <v>250</v>
      </c>
      <c r="H1336" t="str">
        <f>"18-19410"</f>
        <v>18-19410</v>
      </c>
    </row>
    <row r="1337" spans="1:8" x14ac:dyDescent="0.25">
      <c r="A1337" t="s">
        <v>513</v>
      </c>
      <c r="B1337">
        <v>130300</v>
      </c>
      <c r="C1337" s="2">
        <v>348.55</v>
      </c>
      <c r="D1337" s="1">
        <v>43822</v>
      </c>
      <c r="E1337" t="str">
        <f>"63018768361"</f>
        <v>63018768361</v>
      </c>
      <c r="F1337" t="str">
        <f>"INV 63018768361"</f>
        <v>INV 63018768361</v>
      </c>
      <c r="G1337" s="2">
        <v>348.55</v>
      </c>
      <c r="H1337" t="str">
        <f>"INV 63018768361"</f>
        <v>INV 63018768361</v>
      </c>
    </row>
    <row r="1338" spans="1:8" x14ac:dyDescent="0.25">
      <c r="A1338" t="s">
        <v>514</v>
      </c>
      <c r="B1338">
        <v>130301</v>
      </c>
      <c r="C1338" s="2">
        <v>3678</v>
      </c>
      <c r="D1338" s="1">
        <v>43822</v>
      </c>
      <c r="E1338" t="str">
        <f>"000568412"</f>
        <v>000568412</v>
      </c>
      <c r="F1338" t="str">
        <f>"ACCT#4812W1083/POLICY#15R29980"</f>
        <v>ACCT#4812W1083/POLICY#15R29980</v>
      </c>
      <c r="G1338" s="2">
        <v>3678</v>
      </c>
      <c r="H1338" t="str">
        <f>"ACCT#4812W1083/POLICY#15R29980"</f>
        <v>ACCT#4812W1083/POLICY#15R29980</v>
      </c>
    </row>
    <row r="1339" spans="1:8" x14ac:dyDescent="0.25">
      <c r="A1339" t="s">
        <v>515</v>
      </c>
      <c r="B1339">
        <v>130052</v>
      </c>
      <c r="C1339" s="2">
        <v>45</v>
      </c>
      <c r="D1339" s="1">
        <v>43808</v>
      </c>
      <c r="E1339" t="str">
        <f>"201911273576"</f>
        <v>201911273576</v>
      </c>
      <c r="F1339" t="str">
        <f>"FERAL HOGS"</f>
        <v>FERAL HOGS</v>
      </c>
      <c r="G1339" s="2">
        <v>45</v>
      </c>
      <c r="H1339" t="str">
        <f>"FERAL HOGS"</f>
        <v>FERAL HOGS</v>
      </c>
    </row>
    <row r="1340" spans="1:8" x14ac:dyDescent="0.25">
      <c r="A1340" t="s">
        <v>516</v>
      </c>
      <c r="B1340">
        <v>130302</v>
      </c>
      <c r="C1340" s="2">
        <v>1607.35</v>
      </c>
      <c r="D1340" s="1">
        <v>43822</v>
      </c>
      <c r="E1340" t="str">
        <f>"841370695"</f>
        <v>841370695</v>
      </c>
      <c r="F1340" t="str">
        <f>"ACCT#1000648597WEST INFO CHRGS"</f>
        <v>ACCT#1000648597WEST INFO CHRGS</v>
      </c>
      <c r="G1340" s="2">
        <v>572</v>
      </c>
      <c r="H1340" t="str">
        <f>"ACCT#1000648597WEST INFO CHRGS"</f>
        <v>ACCT#1000648597WEST INFO CHRGS</v>
      </c>
    </row>
    <row r="1341" spans="1:8" x14ac:dyDescent="0.25">
      <c r="E1341" t="str">
        <f>"841385154"</f>
        <v>841385154</v>
      </c>
      <c r="F1341" t="str">
        <f>"ACCT#1000310962/WEST INFO CHRG"</f>
        <v>ACCT#1000310962/WEST INFO CHRG</v>
      </c>
      <c r="G1341" s="2">
        <v>952</v>
      </c>
      <c r="H1341" t="str">
        <f>"ACCT#1000310962/WEST INFO CHRG"</f>
        <v>ACCT#1000310962/WEST INFO CHRG</v>
      </c>
    </row>
    <row r="1342" spans="1:8" x14ac:dyDescent="0.25">
      <c r="E1342" t="str">
        <f>"841511778"</f>
        <v>841511778</v>
      </c>
      <c r="F1342" t="str">
        <f>"ACCT#1003836657"</f>
        <v>ACCT#1003836657</v>
      </c>
      <c r="G1342" s="2">
        <v>83.35</v>
      </c>
      <c r="H1342" t="str">
        <f>"ACCT#1003836657"</f>
        <v>ACCT#1003836657</v>
      </c>
    </row>
    <row r="1343" spans="1:8" x14ac:dyDescent="0.25">
      <c r="A1343" t="s">
        <v>517</v>
      </c>
      <c r="B1343">
        <v>130053</v>
      </c>
      <c r="C1343" s="2">
        <v>988</v>
      </c>
      <c r="D1343" s="1">
        <v>43808</v>
      </c>
      <c r="E1343" t="str">
        <f>"PINV0140311"</f>
        <v>PINV0140311</v>
      </c>
      <c r="F1343" t="str">
        <f>"Toxicology &amp; Blood Alch."</f>
        <v>Toxicology &amp; Blood Alch.</v>
      </c>
      <c r="G1343" s="2">
        <v>988</v>
      </c>
      <c r="H1343" t="str">
        <f>"Code: 19348350612"</f>
        <v>Code: 19348350612</v>
      </c>
    </row>
    <row r="1344" spans="1:8" x14ac:dyDescent="0.25">
      <c r="A1344" t="s">
        <v>518</v>
      </c>
      <c r="B1344">
        <v>130054</v>
      </c>
      <c r="C1344" s="2">
        <v>1320</v>
      </c>
      <c r="D1344" s="1">
        <v>43808</v>
      </c>
      <c r="E1344" t="str">
        <f>"201912033682"</f>
        <v>201912033682</v>
      </c>
      <c r="F1344" t="str">
        <f>"423-6426"</f>
        <v>423-6426</v>
      </c>
      <c r="G1344" s="2">
        <v>1320</v>
      </c>
      <c r="H1344" t="str">
        <f>"423-6426"</f>
        <v>423-6426</v>
      </c>
    </row>
    <row r="1345" spans="1:8" x14ac:dyDescent="0.25">
      <c r="A1345" t="s">
        <v>519</v>
      </c>
      <c r="B1345">
        <v>130055</v>
      </c>
      <c r="C1345" s="2">
        <v>11335.54</v>
      </c>
      <c r="D1345" s="1">
        <v>43808</v>
      </c>
      <c r="E1345" t="str">
        <f>"0003669112819"</f>
        <v>0003669112819</v>
      </c>
      <c r="F1345" t="str">
        <f>"ACCT#8260163000003669"</f>
        <v>ACCT#8260163000003669</v>
      </c>
      <c r="G1345" s="2">
        <v>11335.54</v>
      </c>
      <c r="H1345" t="str">
        <f>"ACCT#8260163000003669"</f>
        <v>ACCT#8260163000003669</v>
      </c>
    </row>
    <row r="1346" spans="1:8" x14ac:dyDescent="0.25">
      <c r="E1346" t="str">
        <f>""</f>
        <v/>
      </c>
      <c r="F1346" t="str">
        <f>""</f>
        <v/>
      </c>
      <c r="H1346" t="str">
        <f>"ACCT#8260163000003669"</f>
        <v>ACCT#8260163000003669</v>
      </c>
    </row>
    <row r="1347" spans="1:8" x14ac:dyDescent="0.25">
      <c r="A1347" t="s">
        <v>520</v>
      </c>
      <c r="B1347">
        <v>130303</v>
      </c>
      <c r="C1347" s="2">
        <v>263.2</v>
      </c>
      <c r="D1347" s="1">
        <v>43822</v>
      </c>
      <c r="E1347" t="str">
        <f>"201912164117"</f>
        <v>201912164117</v>
      </c>
      <c r="F1347" t="str">
        <f>"TRAVEL REIMBURSEMENT"</f>
        <v>TRAVEL REIMBURSEMENT</v>
      </c>
      <c r="G1347" s="2">
        <v>263.2</v>
      </c>
      <c r="H1347" t="str">
        <f>"TRAVEL REIMBURSEMENT"</f>
        <v>TRAVEL REIMBURSEMENT</v>
      </c>
    </row>
    <row r="1348" spans="1:8" x14ac:dyDescent="0.25">
      <c r="A1348" t="s">
        <v>521</v>
      </c>
      <c r="B1348">
        <v>130056</v>
      </c>
      <c r="C1348" s="2">
        <v>225.87</v>
      </c>
      <c r="D1348" s="1">
        <v>43808</v>
      </c>
      <c r="E1348" t="str">
        <f>"100141429 20060968"</f>
        <v>100141429 20060968</v>
      </c>
      <c r="F1348" t="str">
        <f>"acct# 6035301200160982"</f>
        <v>acct# 6035301200160982</v>
      </c>
      <c r="G1348" s="2">
        <v>225.87</v>
      </c>
      <c r="H1348" t="str">
        <f>"Inv# 300584714"</f>
        <v>Inv# 300584714</v>
      </c>
    </row>
    <row r="1349" spans="1:8" x14ac:dyDescent="0.25">
      <c r="E1349" t="str">
        <f>""</f>
        <v/>
      </c>
      <c r="F1349" t="str">
        <f>""</f>
        <v/>
      </c>
      <c r="H1349" t="str">
        <f>"inv# 200609683"</f>
        <v>inv# 200609683</v>
      </c>
    </row>
    <row r="1350" spans="1:8" x14ac:dyDescent="0.25">
      <c r="E1350" t="str">
        <f>""</f>
        <v/>
      </c>
      <c r="F1350" t="str">
        <f>""</f>
        <v/>
      </c>
      <c r="H1350" t="str">
        <f>"Inv# 100141429"</f>
        <v>Inv# 100141429</v>
      </c>
    </row>
    <row r="1351" spans="1:8" x14ac:dyDescent="0.25">
      <c r="A1351" t="s">
        <v>522</v>
      </c>
      <c r="B1351">
        <v>130057</v>
      </c>
      <c r="C1351" s="2">
        <v>420</v>
      </c>
      <c r="D1351" s="1">
        <v>43808</v>
      </c>
      <c r="E1351" t="str">
        <f>"13164"</f>
        <v>13164</v>
      </c>
      <c r="F1351" t="str">
        <f>"SERVICE"</f>
        <v>SERVICE</v>
      </c>
      <c r="G1351" s="2">
        <v>300</v>
      </c>
      <c r="H1351" t="str">
        <f>"SERVICE"</f>
        <v>SERVICE</v>
      </c>
    </row>
    <row r="1352" spans="1:8" x14ac:dyDescent="0.25">
      <c r="E1352" t="str">
        <f>"13302"</f>
        <v>13302</v>
      </c>
      <c r="F1352" t="str">
        <f>"SERVICE"</f>
        <v>SERVICE</v>
      </c>
      <c r="G1352" s="2">
        <v>75</v>
      </c>
      <c r="H1352" t="str">
        <f>"SERVICE"</f>
        <v>SERVICE</v>
      </c>
    </row>
    <row r="1353" spans="1:8" x14ac:dyDescent="0.25">
      <c r="E1353" t="str">
        <f>"7888"</f>
        <v>7888</v>
      </c>
      <c r="F1353" t="str">
        <f>"SERVICE"</f>
        <v>SERVICE</v>
      </c>
      <c r="G1353" s="2">
        <v>45</v>
      </c>
      <c r="H1353" t="str">
        <f>"SERVICE"</f>
        <v>SERVICE</v>
      </c>
    </row>
    <row r="1354" spans="1:8" x14ac:dyDescent="0.25">
      <c r="A1354" t="s">
        <v>522</v>
      </c>
      <c r="B1354">
        <v>130304</v>
      </c>
      <c r="C1354" s="2">
        <v>75</v>
      </c>
      <c r="D1354" s="1">
        <v>43822</v>
      </c>
      <c r="E1354" t="str">
        <f>"13127"</f>
        <v>13127</v>
      </c>
      <c r="F1354" t="str">
        <f>"SERVICE"</f>
        <v>SERVICE</v>
      </c>
      <c r="G1354" s="2">
        <v>75</v>
      </c>
      <c r="H1354" t="str">
        <f>"SERVICE"</f>
        <v>SERVICE</v>
      </c>
    </row>
    <row r="1355" spans="1:8" x14ac:dyDescent="0.25">
      <c r="A1355" t="s">
        <v>523</v>
      </c>
      <c r="B1355">
        <v>130058</v>
      </c>
      <c r="C1355" s="2">
        <v>102.81</v>
      </c>
      <c r="D1355" s="1">
        <v>43808</v>
      </c>
      <c r="E1355" t="str">
        <f>"201912033751"</f>
        <v>201912033751</v>
      </c>
      <c r="F1355" t="str">
        <f>"JAIL MEDICAL"</f>
        <v>JAIL MEDICAL</v>
      </c>
      <c r="G1355" s="2">
        <v>102.81</v>
      </c>
      <c r="H1355" t="str">
        <f>"JAIL MEDICAL"</f>
        <v>JAIL MEDICAL</v>
      </c>
    </row>
    <row r="1356" spans="1:8" x14ac:dyDescent="0.25">
      <c r="A1356" t="s">
        <v>524</v>
      </c>
      <c r="B1356">
        <v>130059</v>
      </c>
      <c r="C1356" s="2">
        <v>2900</v>
      </c>
      <c r="D1356" s="1">
        <v>43808</v>
      </c>
      <c r="E1356" t="str">
        <f>"3300002953"</f>
        <v>3300002953</v>
      </c>
      <c r="F1356" t="str">
        <f>"CUST#100009/INV#3300002953"</f>
        <v>CUST#100009/INV#3300002953</v>
      </c>
      <c r="G1356" s="2">
        <v>2900</v>
      </c>
      <c r="H1356" t="str">
        <f>"CUST#100009/INV#3300002953"</f>
        <v>CUST#100009/INV#3300002953</v>
      </c>
    </row>
    <row r="1357" spans="1:8" x14ac:dyDescent="0.25">
      <c r="A1357" t="s">
        <v>525</v>
      </c>
      <c r="B1357">
        <v>1840</v>
      </c>
      <c r="C1357" s="2">
        <v>211.78</v>
      </c>
      <c r="D1357" s="1">
        <v>43809</v>
      </c>
      <c r="E1357" t="str">
        <f>"7888549"</f>
        <v>7888549</v>
      </c>
      <c r="F1357" t="str">
        <f>"INV 788549 / UNIT 7455"</f>
        <v>INV 788549 / UNIT 7455</v>
      </c>
      <c r="G1357" s="2">
        <v>211.78</v>
      </c>
      <c r="H1357" t="str">
        <f>"INV 788549 / UNIT 7455"</f>
        <v>INV 788549 / UNIT 7455</v>
      </c>
    </row>
    <row r="1358" spans="1:8" x14ac:dyDescent="0.25">
      <c r="A1358" t="s">
        <v>526</v>
      </c>
      <c r="B1358">
        <v>130060</v>
      </c>
      <c r="C1358" s="2">
        <v>260.37</v>
      </c>
      <c r="D1358" s="1">
        <v>43808</v>
      </c>
      <c r="E1358" t="str">
        <f>"201912033746"</f>
        <v>201912033746</v>
      </c>
      <c r="F1358" t="str">
        <f>"JAIL MEDICAL"</f>
        <v>JAIL MEDICAL</v>
      </c>
      <c r="G1358" s="2">
        <v>260.37</v>
      </c>
      <c r="H1358" t="str">
        <f>"JAIL MEDICAL"</f>
        <v>JAIL MEDICAL</v>
      </c>
    </row>
    <row r="1359" spans="1:8" x14ac:dyDescent="0.25">
      <c r="A1359" t="s">
        <v>526</v>
      </c>
      <c r="B1359">
        <v>130305</v>
      </c>
      <c r="C1359" s="2">
        <v>543.63</v>
      </c>
      <c r="D1359" s="1">
        <v>43822</v>
      </c>
      <c r="E1359" t="str">
        <f>"201912184278"</f>
        <v>201912184278</v>
      </c>
      <c r="F1359" t="str">
        <f>"INDIGENT HEALTH"</f>
        <v>INDIGENT HEALTH</v>
      </c>
      <c r="G1359" s="2">
        <v>543.63</v>
      </c>
      <c r="H1359" t="str">
        <f>"INDIGENT HEALTH"</f>
        <v>INDIGENT HEALTH</v>
      </c>
    </row>
    <row r="1360" spans="1:8" x14ac:dyDescent="0.25">
      <c r="A1360" t="s">
        <v>527</v>
      </c>
      <c r="B1360">
        <v>130297</v>
      </c>
      <c r="C1360" s="2">
        <v>8468.11</v>
      </c>
      <c r="D1360" s="1">
        <v>43822</v>
      </c>
      <c r="E1360" t="str">
        <f>"4728"</f>
        <v>4728</v>
      </c>
      <c r="F1360" t="str">
        <f>"2007 FRHT REPAIR/PCT#3"</f>
        <v>2007 FRHT REPAIR/PCT#3</v>
      </c>
      <c r="G1360" s="2">
        <v>8468.11</v>
      </c>
      <c r="H1360" t="str">
        <f>"2007 FRHT REPAIR/PCT#3"</f>
        <v>2007 FRHT REPAIR/PCT#3</v>
      </c>
    </row>
    <row r="1361" spans="1:8" x14ac:dyDescent="0.25">
      <c r="A1361" t="s">
        <v>528</v>
      </c>
      <c r="B1361">
        <v>130061</v>
      </c>
      <c r="C1361" s="2">
        <v>540</v>
      </c>
      <c r="D1361" s="1">
        <v>43808</v>
      </c>
      <c r="E1361" t="str">
        <f>"30000906"</f>
        <v>30000906</v>
      </c>
      <c r="F1361" t="str">
        <f>"CONV CTR/CONTRIBUTION"</f>
        <v>CONV CTR/CONTRIBUTION</v>
      </c>
      <c r="G1361" s="2">
        <v>540</v>
      </c>
      <c r="H1361" t="str">
        <f>"CONV CTR/CONTRIBUTION"</f>
        <v>CONV CTR/CONTRIBUTION</v>
      </c>
    </row>
    <row r="1362" spans="1:8" x14ac:dyDescent="0.25">
      <c r="A1362" t="s">
        <v>529</v>
      </c>
      <c r="B1362">
        <v>1970</v>
      </c>
      <c r="C1362" s="2">
        <v>1000</v>
      </c>
      <c r="D1362" s="1">
        <v>43823</v>
      </c>
      <c r="E1362" t="str">
        <f>"201912103872"</f>
        <v>201912103872</v>
      </c>
      <c r="F1362" t="str">
        <f>"14 822"</f>
        <v>14 822</v>
      </c>
      <c r="G1362" s="2">
        <v>400</v>
      </c>
      <c r="H1362" t="str">
        <f>"14 822"</f>
        <v>14 822</v>
      </c>
    </row>
    <row r="1363" spans="1:8" x14ac:dyDescent="0.25">
      <c r="E1363" t="str">
        <f>"201912103873"</f>
        <v>201912103873</v>
      </c>
      <c r="F1363" t="str">
        <f>"16 947  16 948"</f>
        <v>16 947  16 948</v>
      </c>
      <c r="G1363" s="2">
        <v>600</v>
      </c>
      <c r="H1363" t="str">
        <f>"16 947  16 948"</f>
        <v>16 947  16 948</v>
      </c>
    </row>
    <row r="1364" spans="1:8" x14ac:dyDescent="0.25">
      <c r="A1364" t="s">
        <v>530</v>
      </c>
      <c r="B1364">
        <v>130306</v>
      </c>
      <c r="C1364" s="2">
        <v>67923.03</v>
      </c>
      <c r="D1364" s="1">
        <v>43822</v>
      </c>
      <c r="E1364" t="str">
        <f>"020-22456"</f>
        <v>020-22456</v>
      </c>
      <c r="F1364" t="str">
        <f>"CUST#42161/ORD#100308"</f>
        <v>CUST#42161/ORD#100308</v>
      </c>
      <c r="G1364" s="2">
        <v>37068.25</v>
      </c>
      <c r="H1364" t="str">
        <f>"CUST#42161/ORD#100308"</f>
        <v>CUST#42161/ORD#100308</v>
      </c>
    </row>
    <row r="1365" spans="1:8" x14ac:dyDescent="0.25">
      <c r="E1365" t="str">
        <f>""</f>
        <v/>
      </c>
      <c r="F1365" t="str">
        <f>""</f>
        <v/>
      </c>
      <c r="H1365" t="str">
        <f>"CUST#42161/ORD#100308"</f>
        <v>CUST#42161/ORD#100308</v>
      </c>
    </row>
    <row r="1366" spans="1:8" x14ac:dyDescent="0.25">
      <c r="E1366" t="str">
        <f>"020-22457"</f>
        <v>020-22457</v>
      </c>
      <c r="F1366" t="str">
        <f>"CUST#42161/ORD#100309"</f>
        <v>CUST#42161/ORD#100309</v>
      </c>
      <c r="G1366" s="2">
        <v>573.67999999999995</v>
      </c>
      <c r="H1366" t="str">
        <f>"CUST#42161/ORD#100309"</f>
        <v>CUST#42161/ORD#100309</v>
      </c>
    </row>
    <row r="1367" spans="1:8" x14ac:dyDescent="0.25">
      <c r="E1367" t="str">
        <f>"070-3908"</f>
        <v>070-3908</v>
      </c>
      <c r="F1367" t="str">
        <f>"CUST#46405/TAX OFFICE"</f>
        <v>CUST#46405/TAX OFFICE</v>
      </c>
      <c r="G1367" s="2">
        <v>27393.599999999999</v>
      </c>
      <c r="H1367" t="str">
        <f>"CUST#46405/TAX OFFICE"</f>
        <v>CUST#46405/TAX OFFICE</v>
      </c>
    </row>
    <row r="1368" spans="1:8" x14ac:dyDescent="0.25">
      <c r="E1368" t="str">
        <f>""</f>
        <v/>
      </c>
      <c r="F1368" t="str">
        <f>""</f>
        <v/>
      </c>
      <c r="H1368" t="str">
        <f>"CUST#46405/TAX OFFICE"</f>
        <v>CUST#46405/TAX OFFICE</v>
      </c>
    </row>
    <row r="1369" spans="1:8" x14ac:dyDescent="0.25">
      <c r="E1369" t="str">
        <f>"130-10447"</f>
        <v>130-10447</v>
      </c>
      <c r="F1369" t="str">
        <f>"CUST#42161/ORD#7702"</f>
        <v>CUST#42161/ORD#7702</v>
      </c>
      <c r="G1369" s="2">
        <v>2887.5</v>
      </c>
      <c r="H1369" t="str">
        <f>"CUST#42161/ORD#7702"</f>
        <v>CUST#42161/ORD#7702</v>
      </c>
    </row>
    <row r="1370" spans="1:8" x14ac:dyDescent="0.25">
      <c r="E1370" t="str">
        <f>""</f>
        <v/>
      </c>
      <c r="F1370" t="str">
        <f>""</f>
        <v/>
      </c>
      <c r="H1370" t="str">
        <f>"CUST#42161/ORD#7702"</f>
        <v>CUST#42161/ORD#7702</v>
      </c>
    </row>
    <row r="1371" spans="1:8" x14ac:dyDescent="0.25">
      <c r="A1371" t="s">
        <v>531</v>
      </c>
      <c r="B1371">
        <v>1901</v>
      </c>
      <c r="C1371" s="2">
        <v>301.36</v>
      </c>
      <c r="D1371" s="1">
        <v>43823</v>
      </c>
      <c r="E1371" t="str">
        <f>"115105826"</f>
        <v>115105826</v>
      </c>
      <c r="F1371" t="str">
        <f>"Cat Bogus Paper"</f>
        <v>Cat Bogus Paper</v>
      </c>
      <c r="G1371" s="2">
        <v>301.36</v>
      </c>
      <c r="H1371" t="str">
        <f>"Model: S-12832"</f>
        <v>Model: S-12832</v>
      </c>
    </row>
    <row r="1372" spans="1:8" x14ac:dyDescent="0.25">
      <c r="E1372" t="str">
        <f>""</f>
        <v/>
      </c>
      <c r="F1372" t="str">
        <f>""</f>
        <v/>
      </c>
      <c r="H1372" t="str">
        <f>"Shipping"</f>
        <v>Shipping</v>
      </c>
    </row>
    <row r="1373" spans="1:8" x14ac:dyDescent="0.25">
      <c r="A1373" t="s">
        <v>532</v>
      </c>
      <c r="B1373">
        <v>1835</v>
      </c>
      <c r="C1373" s="2">
        <v>246.79</v>
      </c>
      <c r="D1373" s="1">
        <v>43809</v>
      </c>
      <c r="E1373" t="str">
        <f>"10730686"</f>
        <v>10730686</v>
      </c>
      <c r="F1373" t="str">
        <f>"ACCT#38049/PCT#4"</f>
        <v>ACCT#38049/PCT#4</v>
      </c>
      <c r="G1373" s="2">
        <v>246.79</v>
      </c>
      <c r="H1373" t="str">
        <f>"ACCT#38049/PCT#4"</f>
        <v>ACCT#38049/PCT#4</v>
      </c>
    </row>
    <row r="1374" spans="1:8" x14ac:dyDescent="0.25">
      <c r="A1374" t="s">
        <v>533</v>
      </c>
      <c r="B1374">
        <v>130062</v>
      </c>
      <c r="C1374" s="2">
        <v>11699.78</v>
      </c>
      <c r="D1374" s="1">
        <v>43808</v>
      </c>
      <c r="E1374" t="str">
        <f>"201912033745"</f>
        <v>201912033745</v>
      </c>
      <c r="F1374" t="str">
        <f>"JAIL MEDICAL"</f>
        <v>JAIL MEDICAL</v>
      </c>
      <c r="G1374" s="2">
        <v>11699.78</v>
      </c>
      <c r="H1374" t="str">
        <f>"JAIL MEDICAL"</f>
        <v>JAIL MEDICAL</v>
      </c>
    </row>
    <row r="1375" spans="1:8" x14ac:dyDescent="0.25">
      <c r="A1375" t="s">
        <v>533</v>
      </c>
      <c r="B1375">
        <v>130307</v>
      </c>
      <c r="C1375" s="2">
        <v>12636.91</v>
      </c>
      <c r="D1375" s="1">
        <v>43822</v>
      </c>
      <c r="E1375" t="str">
        <f>"4584*98041*2"</f>
        <v>4584*98041*2</v>
      </c>
      <c r="F1375" t="str">
        <f>"JAIL MEDICAL"</f>
        <v>JAIL MEDICAL</v>
      </c>
      <c r="G1375" s="2">
        <v>12636.91</v>
      </c>
      <c r="H1375" t="str">
        <f>"JAIL MEDICAL"</f>
        <v>JAIL MEDICAL</v>
      </c>
    </row>
    <row r="1376" spans="1:8" x14ac:dyDescent="0.25">
      <c r="A1376" t="s">
        <v>534</v>
      </c>
      <c r="B1376">
        <v>130308</v>
      </c>
      <c r="C1376" s="2">
        <v>1215</v>
      </c>
      <c r="D1376" s="1">
        <v>43822</v>
      </c>
      <c r="E1376" t="str">
        <f>"I2019106363"</f>
        <v>I2019106363</v>
      </c>
      <c r="F1376" t="str">
        <f>"Annual Renewal"</f>
        <v>Annual Renewal</v>
      </c>
      <c r="G1376" s="2">
        <v>1215</v>
      </c>
      <c r="H1376" t="str">
        <f>"Annual Renewal"</f>
        <v>Annual Renewal</v>
      </c>
    </row>
    <row r="1377" spans="1:8" x14ac:dyDescent="0.25">
      <c r="E1377" t="str">
        <f>""</f>
        <v/>
      </c>
      <c r="F1377" t="str">
        <f>""</f>
        <v/>
      </c>
      <c r="H1377" t="str">
        <f>"Discount"</f>
        <v>Discount</v>
      </c>
    </row>
    <row r="1378" spans="1:8" x14ac:dyDescent="0.25">
      <c r="A1378" t="s">
        <v>535</v>
      </c>
      <c r="B1378">
        <v>130063</v>
      </c>
      <c r="C1378" s="2">
        <v>40</v>
      </c>
      <c r="D1378" s="1">
        <v>43808</v>
      </c>
      <c r="E1378" t="str">
        <f>"201911273577"</f>
        <v>201911273577</v>
      </c>
      <c r="F1378" t="str">
        <f>"FERAL HOGS"</f>
        <v>FERAL HOGS</v>
      </c>
      <c r="G1378" s="2">
        <v>40</v>
      </c>
      <c r="H1378" t="str">
        <f>"FERAL HOGS"</f>
        <v>FERAL HOGS</v>
      </c>
    </row>
    <row r="1379" spans="1:8" x14ac:dyDescent="0.25">
      <c r="A1379" t="s">
        <v>536</v>
      </c>
      <c r="B1379">
        <v>130309</v>
      </c>
      <c r="C1379" s="2">
        <v>197.64</v>
      </c>
      <c r="D1379" s="1">
        <v>43822</v>
      </c>
      <c r="E1379" t="str">
        <f>"2009694"</f>
        <v>2009694</v>
      </c>
      <c r="F1379" t="str">
        <f>"REMOTE BIRTH ACCESS NOV 1-30"</f>
        <v>REMOTE BIRTH ACCESS NOV 1-30</v>
      </c>
      <c r="G1379" s="2">
        <v>197.64</v>
      </c>
      <c r="H1379" t="str">
        <f>"REMOTE BIRTH ACCESS NOV 1-30"</f>
        <v>REMOTE BIRTH ACCESS NOV 1-30</v>
      </c>
    </row>
    <row r="1380" spans="1:8" x14ac:dyDescent="0.25">
      <c r="A1380" t="s">
        <v>537</v>
      </c>
      <c r="B1380">
        <v>130064</v>
      </c>
      <c r="C1380" s="2">
        <v>40168.61</v>
      </c>
      <c r="D1380" s="1">
        <v>43808</v>
      </c>
      <c r="E1380" t="str">
        <f>"201912033737"</f>
        <v>201912033737</v>
      </c>
      <c r="F1380" t="str">
        <f>"INV# 869395921948"</f>
        <v>INV# 869395921948</v>
      </c>
      <c r="G1380" s="2">
        <v>40168.61</v>
      </c>
      <c r="H1380" t="str">
        <f>"FUEL"</f>
        <v>FUEL</v>
      </c>
    </row>
    <row r="1381" spans="1:8" x14ac:dyDescent="0.25">
      <c r="E1381" t="str">
        <f>""</f>
        <v/>
      </c>
      <c r="F1381" t="str">
        <f>""</f>
        <v/>
      </c>
      <c r="H1381" t="str">
        <f>"TAX"</f>
        <v>TAX</v>
      </c>
    </row>
    <row r="1382" spans="1:8" x14ac:dyDescent="0.25">
      <c r="E1382" t="str">
        <f>""</f>
        <v/>
      </c>
      <c r="F1382" t="str">
        <f>""</f>
        <v/>
      </c>
      <c r="H1382" t="str">
        <f>"MAINTENACE"</f>
        <v>MAINTENACE</v>
      </c>
    </row>
    <row r="1383" spans="1:8" x14ac:dyDescent="0.25">
      <c r="E1383" t="str">
        <f>""</f>
        <v/>
      </c>
      <c r="F1383" t="str">
        <f>""</f>
        <v/>
      </c>
      <c r="H1383" t="str">
        <f>"MAINTENANCE"</f>
        <v>MAINTENANCE</v>
      </c>
    </row>
    <row r="1384" spans="1:8" x14ac:dyDescent="0.25">
      <c r="E1384" t="str">
        <f>""</f>
        <v/>
      </c>
      <c r="F1384" t="str">
        <f>""</f>
        <v/>
      </c>
      <c r="H1384" t="str">
        <f>"FUEL"</f>
        <v>FUEL</v>
      </c>
    </row>
    <row r="1385" spans="1:8" x14ac:dyDescent="0.25">
      <c r="E1385" t="str">
        <f>""</f>
        <v/>
      </c>
      <c r="F1385" t="str">
        <f>""</f>
        <v/>
      </c>
      <c r="H1385" t="str">
        <f>"TAX"</f>
        <v>TAX</v>
      </c>
    </row>
    <row r="1386" spans="1:8" x14ac:dyDescent="0.25">
      <c r="E1386" t="str">
        <f>""</f>
        <v/>
      </c>
      <c r="F1386" t="str">
        <f>""</f>
        <v/>
      </c>
      <c r="H1386" t="str">
        <f>"FUEL"</f>
        <v>FUEL</v>
      </c>
    </row>
    <row r="1387" spans="1:8" x14ac:dyDescent="0.25">
      <c r="E1387" t="str">
        <f>""</f>
        <v/>
      </c>
      <c r="F1387" t="str">
        <f>""</f>
        <v/>
      </c>
      <c r="H1387" t="str">
        <f>"TAX"</f>
        <v>TAX</v>
      </c>
    </row>
    <row r="1388" spans="1:8" x14ac:dyDescent="0.25">
      <c r="E1388" t="str">
        <f>""</f>
        <v/>
      </c>
      <c r="F1388" t="str">
        <f>""</f>
        <v/>
      </c>
      <c r="H1388" t="str">
        <f>"MAINTENANE"</f>
        <v>MAINTENANE</v>
      </c>
    </row>
    <row r="1389" spans="1:8" x14ac:dyDescent="0.25">
      <c r="E1389" t="str">
        <f>""</f>
        <v/>
      </c>
      <c r="F1389" t="str">
        <f>""</f>
        <v/>
      </c>
      <c r="H1389" t="str">
        <f>"FUEL"</f>
        <v>FUEL</v>
      </c>
    </row>
    <row r="1390" spans="1:8" x14ac:dyDescent="0.25">
      <c r="E1390" t="str">
        <f>""</f>
        <v/>
      </c>
      <c r="F1390" t="str">
        <f>""</f>
        <v/>
      </c>
      <c r="H1390" t="str">
        <f>"TAX"</f>
        <v>TAX</v>
      </c>
    </row>
    <row r="1391" spans="1:8" x14ac:dyDescent="0.25">
      <c r="E1391" t="str">
        <f>""</f>
        <v/>
      </c>
      <c r="F1391" t="str">
        <f>""</f>
        <v/>
      </c>
      <c r="H1391" t="str">
        <f>"MAINTENANCE"</f>
        <v>MAINTENANCE</v>
      </c>
    </row>
    <row r="1392" spans="1:8" x14ac:dyDescent="0.25">
      <c r="E1392" t="str">
        <f>""</f>
        <v/>
      </c>
      <c r="F1392" t="str">
        <f>""</f>
        <v/>
      </c>
      <c r="H1392" t="str">
        <f>"FUEL"</f>
        <v>FUEL</v>
      </c>
    </row>
    <row r="1393" spans="1:8" x14ac:dyDescent="0.25">
      <c r="E1393" t="str">
        <f>""</f>
        <v/>
      </c>
      <c r="F1393" t="str">
        <f>""</f>
        <v/>
      </c>
      <c r="H1393" t="str">
        <f>"TAX"</f>
        <v>TAX</v>
      </c>
    </row>
    <row r="1394" spans="1:8" x14ac:dyDescent="0.25">
      <c r="E1394" t="str">
        <f>""</f>
        <v/>
      </c>
      <c r="F1394" t="str">
        <f>""</f>
        <v/>
      </c>
      <c r="H1394" t="str">
        <f>"MAINTENANCE"</f>
        <v>MAINTENANCE</v>
      </c>
    </row>
    <row r="1395" spans="1:8" x14ac:dyDescent="0.25">
      <c r="E1395" t="str">
        <f>""</f>
        <v/>
      </c>
      <c r="F1395" t="str">
        <f>""</f>
        <v/>
      </c>
      <c r="H1395" t="str">
        <f>"FUEL"</f>
        <v>FUEL</v>
      </c>
    </row>
    <row r="1396" spans="1:8" x14ac:dyDescent="0.25">
      <c r="E1396" t="str">
        <f>""</f>
        <v/>
      </c>
      <c r="F1396" t="str">
        <f>""</f>
        <v/>
      </c>
      <c r="H1396" t="str">
        <f>"TAX"</f>
        <v>TAX</v>
      </c>
    </row>
    <row r="1397" spans="1:8" x14ac:dyDescent="0.25">
      <c r="E1397" t="str">
        <f>""</f>
        <v/>
      </c>
      <c r="F1397" t="str">
        <f>""</f>
        <v/>
      </c>
      <c r="H1397" t="str">
        <f>"MAINTENANCE"</f>
        <v>MAINTENANCE</v>
      </c>
    </row>
    <row r="1398" spans="1:8" x14ac:dyDescent="0.25">
      <c r="E1398" t="str">
        <f>""</f>
        <v/>
      </c>
      <c r="F1398" t="str">
        <f>""</f>
        <v/>
      </c>
      <c r="H1398" t="str">
        <f>"FUEL"</f>
        <v>FUEL</v>
      </c>
    </row>
    <row r="1399" spans="1:8" x14ac:dyDescent="0.25">
      <c r="E1399" t="str">
        <f>""</f>
        <v/>
      </c>
      <c r="F1399" t="str">
        <f>""</f>
        <v/>
      </c>
      <c r="H1399" t="str">
        <f>"TAX"</f>
        <v>TAX</v>
      </c>
    </row>
    <row r="1400" spans="1:8" x14ac:dyDescent="0.25">
      <c r="E1400" t="str">
        <f>""</f>
        <v/>
      </c>
      <c r="F1400" t="str">
        <f>""</f>
        <v/>
      </c>
      <c r="H1400" t="str">
        <f>"MAINTENANCE"</f>
        <v>MAINTENANCE</v>
      </c>
    </row>
    <row r="1401" spans="1:8" x14ac:dyDescent="0.25">
      <c r="A1401" t="s">
        <v>538</v>
      </c>
      <c r="B1401">
        <v>130065</v>
      </c>
      <c r="C1401" s="2">
        <v>5389.77</v>
      </c>
      <c r="D1401" s="1">
        <v>43808</v>
      </c>
      <c r="E1401" t="str">
        <f>"62014856"</f>
        <v>62014856</v>
      </c>
      <c r="F1401" t="str">
        <f>"CUST#90285-209209/PCT#3"</f>
        <v>CUST#90285-209209/PCT#3</v>
      </c>
      <c r="G1401" s="2">
        <v>5389.77</v>
      </c>
      <c r="H1401" t="str">
        <f>"CUST#90285-209209/PCT#3"</f>
        <v>CUST#90285-209209/PCT#3</v>
      </c>
    </row>
    <row r="1402" spans="1:8" x14ac:dyDescent="0.25">
      <c r="A1402" t="s">
        <v>539</v>
      </c>
      <c r="B1402">
        <v>130066</v>
      </c>
      <c r="C1402" s="2">
        <v>5</v>
      </c>
      <c r="D1402" s="1">
        <v>43808</v>
      </c>
      <c r="E1402" t="str">
        <f>"201911273578"</f>
        <v>201911273578</v>
      </c>
      <c r="F1402" t="str">
        <f>"FERAL HOGS"</f>
        <v>FERAL HOGS</v>
      </c>
      <c r="G1402" s="2">
        <v>5</v>
      </c>
      <c r="H1402" t="str">
        <f>"FERAL HOGS"</f>
        <v>FERAL HOGS</v>
      </c>
    </row>
    <row r="1403" spans="1:8" x14ac:dyDescent="0.25">
      <c r="A1403" t="s">
        <v>540</v>
      </c>
      <c r="B1403">
        <v>1842</v>
      </c>
      <c r="C1403" s="2">
        <v>2669.96</v>
      </c>
      <c r="D1403" s="1">
        <v>43809</v>
      </c>
      <c r="E1403" t="str">
        <f>"17824"</f>
        <v>17824</v>
      </c>
      <c r="F1403" t="str">
        <f>"COLD MIX/FREIGHT/PCT#1"</f>
        <v>COLD MIX/FREIGHT/PCT#1</v>
      </c>
      <c r="G1403" s="2">
        <v>2669.96</v>
      </c>
      <c r="H1403" t="str">
        <f>"COLD MIX/FREIGHT/PCT#1"</f>
        <v>COLD MIX/FREIGHT/PCT#1</v>
      </c>
    </row>
    <row r="1404" spans="1:8" x14ac:dyDescent="0.25">
      <c r="A1404" t="s">
        <v>540</v>
      </c>
      <c r="B1404">
        <v>1912</v>
      </c>
      <c r="C1404" s="2">
        <v>2610.41</v>
      </c>
      <c r="D1404" s="1">
        <v>43823</v>
      </c>
      <c r="E1404" t="str">
        <f>"17840"</f>
        <v>17840</v>
      </c>
      <c r="F1404" t="str">
        <f>"COLD MIX/FREIGHT/PCT#4"</f>
        <v>COLD MIX/FREIGHT/PCT#4</v>
      </c>
      <c r="G1404" s="2">
        <v>2610.41</v>
      </c>
      <c r="H1404" t="str">
        <f>"COLD MIX/FREIGHT/PCT#4"</f>
        <v>COLD MIX/FREIGHT/PCT#4</v>
      </c>
    </row>
    <row r="1405" spans="1:8" x14ac:dyDescent="0.25">
      <c r="A1405" t="s">
        <v>541</v>
      </c>
      <c r="B1405">
        <v>129910</v>
      </c>
      <c r="C1405" s="2">
        <v>22653.41</v>
      </c>
      <c r="D1405" s="1">
        <v>43803</v>
      </c>
      <c r="E1405" t="str">
        <f>"10228315"</f>
        <v>10228315</v>
      </c>
      <c r="F1405" t="str">
        <f>"ACCT#5150-005117630 / 12012019"</f>
        <v>ACCT#5150-005117630 / 12012019</v>
      </c>
      <c r="G1405" s="2">
        <v>262.81</v>
      </c>
      <c r="H1405" t="str">
        <f>"ACCT#5150-005117630 / 12012019"</f>
        <v>ACCT#5150-005117630 / 12012019</v>
      </c>
    </row>
    <row r="1406" spans="1:8" x14ac:dyDescent="0.25">
      <c r="E1406" t="str">
        <f>"10228322"</f>
        <v>10228322</v>
      </c>
      <c r="F1406" t="str">
        <f>"ACCT#5150-005117766 / 12012019"</f>
        <v>ACCT#5150-005117766 / 12012019</v>
      </c>
      <c r="G1406" s="2">
        <v>115.36</v>
      </c>
      <c r="H1406" t="str">
        <f>"ACCT#5150-005117766 / 12012019"</f>
        <v>ACCT#5150-005117766 / 12012019</v>
      </c>
    </row>
    <row r="1407" spans="1:8" x14ac:dyDescent="0.25">
      <c r="E1407" t="str">
        <f>"10228326"</f>
        <v>10228326</v>
      </c>
      <c r="F1407" t="str">
        <f>"ACCT#5150-005117838 / 12012019"</f>
        <v>ACCT#5150-005117838 / 12012019</v>
      </c>
      <c r="G1407" s="2">
        <v>106.76</v>
      </c>
      <c r="H1407" t="str">
        <f>"ACCT#5150-005117838 / 12012019"</f>
        <v>ACCT#5150-005117838 / 12012019</v>
      </c>
    </row>
    <row r="1408" spans="1:8" x14ac:dyDescent="0.25">
      <c r="E1408" t="str">
        <f>"10228328"</f>
        <v>10228328</v>
      </c>
      <c r="F1408" t="str">
        <f>"ACCT#5150-005117882 / 12012019"</f>
        <v>ACCT#5150-005117882 / 12012019</v>
      </c>
      <c r="G1408" s="2">
        <v>144.19</v>
      </c>
      <c r="H1408" t="str">
        <f>"ACCT#5150-005117882 / 12012019"</f>
        <v>ACCT#5150-005117882 / 12012019</v>
      </c>
    </row>
    <row r="1409" spans="1:8" x14ac:dyDescent="0.25">
      <c r="E1409" t="str">
        <f>"10228336"</f>
        <v>10228336</v>
      </c>
      <c r="F1409" t="str">
        <f>"ACCT#5150-005118183 / 12012019"</f>
        <v>ACCT#5150-005118183 / 12012019</v>
      </c>
      <c r="G1409" s="2">
        <v>622.41999999999996</v>
      </c>
      <c r="H1409" t="str">
        <f>"ACCT#5150-005118183 / 12012019"</f>
        <v>ACCT#5150-005118183 / 12012019</v>
      </c>
    </row>
    <row r="1410" spans="1:8" x14ac:dyDescent="0.25">
      <c r="E1410" t="str">
        <f>"10228378"</f>
        <v>10228378</v>
      </c>
      <c r="F1410" t="str">
        <f>"ACCT#5150-005129483 / 12012019"</f>
        <v>ACCT#5150-005129483 / 12012019</v>
      </c>
      <c r="G1410" s="2">
        <v>19939.5</v>
      </c>
      <c r="H1410" t="str">
        <f>"ACCT#5150-005129483 / 12012019"</f>
        <v>ACCT#5150-005129483 / 12012019</v>
      </c>
    </row>
    <row r="1411" spans="1:8" x14ac:dyDescent="0.25">
      <c r="E1411" t="str">
        <f>"10228969"</f>
        <v>10228969</v>
      </c>
      <c r="F1411" t="str">
        <f>"ACCT#5150-005081765 / 12012019"</f>
        <v>ACCT#5150-005081765 / 12012019</v>
      </c>
      <c r="G1411" s="2">
        <v>1350</v>
      </c>
      <c r="H1411" t="str">
        <f>"ACCT#5150-005081765 / 12012019"</f>
        <v>ACCT#5150-005081765 / 12012019</v>
      </c>
    </row>
    <row r="1412" spans="1:8" x14ac:dyDescent="0.25">
      <c r="E1412" t="str">
        <f>"10233117"</f>
        <v>10233117</v>
      </c>
      <c r="F1412" t="str">
        <f>"ACCT#5150-16203415 / 12012019"</f>
        <v>ACCT#5150-16203415 / 12012019</v>
      </c>
      <c r="G1412" s="2">
        <v>83.48</v>
      </c>
      <c r="H1412" t="str">
        <f>"ACCT#5150-16203415 / 12012019"</f>
        <v>ACCT#5150-16203415 / 12012019</v>
      </c>
    </row>
    <row r="1413" spans="1:8" x14ac:dyDescent="0.25">
      <c r="E1413" t="str">
        <f>"10233118"</f>
        <v>10233118</v>
      </c>
      <c r="F1413" t="str">
        <f>"ACCT#5150-16203417 / 12012019"</f>
        <v>ACCT#5150-16203417 / 12012019</v>
      </c>
      <c r="G1413" s="2">
        <v>28.89</v>
      </c>
      <c r="H1413" t="str">
        <f>"ACCT#5150-16203417 / 12012019"</f>
        <v>ACCT#5150-16203417 / 12012019</v>
      </c>
    </row>
    <row r="1414" spans="1:8" x14ac:dyDescent="0.25">
      <c r="A1414" t="s">
        <v>542</v>
      </c>
      <c r="B1414">
        <v>130067</v>
      </c>
      <c r="C1414" s="2">
        <v>414.24</v>
      </c>
      <c r="D1414" s="1">
        <v>43808</v>
      </c>
      <c r="E1414" t="str">
        <f>"0064783-2161-2"</f>
        <v>0064783-2161-2</v>
      </c>
      <c r="F1414" t="str">
        <f>"CUST ID:2-56581-95066/ANIMAL C"</f>
        <v>CUST ID:2-56581-95066/ANIMAL C</v>
      </c>
      <c r="G1414" s="2">
        <v>414.24</v>
      </c>
      <c r="H1414" t="str">
        <f>"CUST ID:2-56581-95066/ANIMAL C"</f>
        <v>CUST ID:2-56581-95066/ANIMAL C</v>
      </c>
    </row>
    <row r="1415" spans="1:8" x14ac:dyDescent="0.25">
      <c r="A1415" t="s">
        <v>542</v>
      </c>
      <c r="B1415">
        <v>130310</v>
      </c>
      <c r="C1415" s="2">
        <v>5205.37</v>
      </c>
      <c r="D1415" s="1">
        <v>43822</v>
      </c>
      <c r="E1415" t="str">
        <f>"0024201-2161-4"</f>
        <v>0024201-2161-4</v>
      </c>
      <c r="F1415" t="str">
        <f>"CUST ID:2-57060-55062/PCT#4"</f>
        <v>CUST ID:2-57060-55062/PCT#4</v>
      </c>
      <c r="G1415" s="2">
        <v>4972.5</v>
      </c>
      <c r="H1415" t="str">
        <f>"CUST ID:2-57060-55062/PCT#4"</f>
        <v>CUST ID:2-57060-55062/PCT#4</v>
      </c>
    </row>
    <row r="1416" spans="1:8" x14ac:dyDescent="0.25">
      <c r="E1416" t="str">
        <f>"0039701-2162-4"</f>
        <v>0039701-2162-4</v>
      </c>
      <c r="F1416" t="str">
        <f>"CUST ID:16-27603-83003/ANIMAL"</f>
        <v>CUST ID:16-27603-83003/ANIMAL</v>
      </c>
      <c r="G1416" s="2">
        <v>232.87</v>
      </c>
      <c r="H1416" t="str">
        <f>"CUST ID:16-27603-83003/ANIMAL"</f>
        <v>CUST ID:16-27603-83003/ANIMAL</v>
      </c>
    </row>
    <row r="1417" spans="1:8" x14ac:dyDescent="0.25">
      <c r="A1417" t="s">
        <v>543</v>
      </c>
      <c r="B1417">
        <v>130311</v>
      </c>
      <c r="C1417" s="2">
        <v>457</v>
      </c>
      <c r="D1417" s="1">
        <v>43822</v>
      </c>
      <c r="E1417" t="str">
        <f>"ACCINV0023007"</f>
        <v>ACCINV0023007</v>
      </c>
      <c r="F1417" t="str">
        <f>"INV ACCINV0023007"</f>
        <v>INV ACCINV0023007</v>
      </c>
      <c r="G1417" s="2">
        <v>392</v>
      </c>
      <c r="H1417" t="str">
        <f>"INV ACCINV0023007"</f>
        <v>INV ACCINV0023007</v>
      </c>
    </row>
    <row r="1418" spans="1:8" x14ac:dyDescent="0.25">
      <c r="E1418" t="str">
        <f>"ACCINV0023012"</f>
        <v>ACCINV0023012</v>
      </c>
      <c r="F1418" t="str">
        <f>"INV ACCINV00230012"</f>
        <v>INV ACCINV00230012</v>
      </c>
      <c r="G1418" s="2">
        <v>65</v>
      </c>
      <c r="H1418" t="str">
        <f>"INV ACCINV00230012"</f>
        <v>INV ACCINV00230012</v>
      </c>
    </row>
    <row r="1419" spans="1:8" x14ac:dyDescent="0.25">
      <c r="A1419" t="s">
        <v>544</v>
      </c>
      <c r="B1419">
        <v>1851</v>
      </c>
      <c r="C1419" s="2">
        <v>608.78</v>
      </c>
      <c r="D1419" s="1">
        <v>43809</v>
      </c>
      <c r="E1419" t="str">
        <f>"4553"</f>
        <v>4553</v>
      </c>
      <c r="F1419" t="str">
        <f>"INV 4553"</f>
        <v>INV 4553</v>
      </c>
      <c r="G1419" s="2">
        <v>332</v>
      </c>
      <c r="H1419" t="str">
        <f>"INV 4553"</f>
        <v>INV 4553</v>
      </c>
    </row>
    <row r="1420" spans="1:8" x14ac:dyDescent="0.25">
      <c r="E1420" t="str">
        <f>"4554"</f>
        <v>4554</v>
      </c>
      <c r="F1420" t="str">
        <f>"INV 4554"</f>
        <v>INV 4554</v>
      </c>
      <c r="G1420" s="2">
        <v>276.77999999999997</v>
      </c>
      <c r="H1420" t="str">
        <f>"INV 4554"</f>
        <v>INV 4554</v>
      </c>
    </row>
    <row r="1421" spans="1:8" x14ac:dyDescent="0.25">
      <c r="A1421" t="s">
        <v>544</v>
      </c>
      <c r="B1421">
        <v>1923</v>
      </c>
      <c r="C1421" s="2">
        <v>514</v>
      </c>
      <c r="D1421" s="1">
        <v>43823</v>
      </c>
      <c r="E1421" t="str">
        <f>"4607"</f>
        <v>4607</v>
      </c>
      <c r="F1421" t="str">
        <f>"INV 4607"</f>
        <v>INV 4607</v>
      </c>
      <c r="G1421" s="2">
        <v>514</v>
      </c>
      <c r="H1421" t="str">
        <f>"INV 4607"</f>
        <v>INV 4607</v>
      </c>
    </row>
    <row r="1422" spans="1:8" x14ac:dyDescent="0.25">
      <c r="A1422" t="s">
        <v>545</v>
      </c>
      <c r="B1422">
        <v>1917</v>
      </c>
      <c r="C1422" s="2">
        <v>12828.3</v>
      </c>
      <c r="D1422" s="1">
        <v>43823</v>
      </c>
      <c r="E1422" t="str">
        <f>"INV23663"</f>
        <v>INV23663</v>
      </c>
      <c r="F1422" t="str">
        <f>"INV 23663"</f>
        <v>INV 23663</v>
      </c>
      <c r="G1422" s="2">
        <v>12828.3</v>
      </c>
      <c r="H1422" t="str">
        <f>"INV 23663"</f>
        <v>INV 23663</v>
      </c>
    </row>
    <row r="1423" spans="1:8" x14ac:dyDescent="0.25">
      <c r="A1423" t="s">
        <v>546</v>
      </c>
      <c r="B1423">
        <v>130068</v>
      </c>
      <c r="C1423" s="2">
        <v>11304.2</v>
      </c>
      <c r="D1423" s="1">
        <v>43808</v>
      </c>
      <c r="E1423" t="str">
        <f>"1452"</f>
        <v>1452</v>
      </c>
      <c r="F1423" t="str">
        <f>"COLOVISTA DITCH &amp; CULVERT/P2"</f>
        <v>COLOVISTA DITCH &amp; CULVERT/P2</v>
      </c>
      <c r="G1423" s="2">
        <v>8304.2000000000007</v>
      </c>
      <c r="H1423" t="str">
        <f>"COLOVISTA DITCH &amp; CULVERT/P2"</f>
        <v>COLOVISTA DITCH &amp; CULVERT/P2</v>
      </c>
    </row>
    <row r="1424" spans="1:8" x14ac:dyDescent="0.25">
      <c r="E1424" t="str">
        <f>"1452-P2"</f>
        <v>1452-P2</v>
      </c>
      <c r="F1424" t="str">
        <f>"COLOVISTA DITCH &amp; CULVERT/P2"</f>
        <v>COLOVISTA DITCH &amp; CULVERT/P2</v>
      </c>
      <c r="G1424" s="2">
        <v>3000</v>
      </c>
      <c r="H1424" t="str">
        <f>"COLOVISTA DITCH &amp; CULVERT/P2"</f>
        <v>COLOVISTA DITCH &amp; CULVERT/P2</v>
      </c>
    </row>
    <row r="1425" spans="1:9" x14ac:dyDescent="0.25">
      <c r="A1425" t="s">
        <v>547</v>
      </c>
      <c r="B1425">
        <v>1844</v>
      </c>
      <c r="C1425" s="2">
        <v>890</v>
      </c>
      <c r="D1425" s="1">
        <v>43809</v>
      </c>
      <c r="E1425" t="str">
        <f>"201912033734"</f>
        <v>201912033734</v>
      </c>
      <c r="F1425" t="str">
        <f>"WOOLERY CUSTOM FENCE CO"</f>
        <v>WOOLERY CUSTOM FENCE CO</v>
      </c>
      <c r="G1425" s="2">
        <v>890</v>
      </c>
      <c r="H1425" t="str">
        <f>"10 Ft Roll Gate"</f>
        <v>10 Ft Roll Gate</v>
      </c>
    </row>
    <row r="1426" spans="1:9" x14ac:dyDescent="0.25">
      <c r="A1426" t="s">
        <v>548</v>
      </c>
      <c r="B1426">
        <v>130069</v>
      </c>
      <c r="C1426" s="2">
        <v>1250.68</v>
      </c>
      <c r="D1426" s="1">
        <v>43808</v>
      </c>
      <c r="E1426" t="str">
        <f>"9009377563"</f>
        <v>9009377563</v>
      </c>
      <c r="F1426" t="str">
        <f>"CUST#2000053103/ANIMAL SHELTER"</f>
        <v>CUST#2000053103/ANIMAL SHELTER</v>
      </c>
      <c r="G1426" s="2">
        <v>642.88</v>
      </c>
      <c r="H1426" t="str">
        <f>"CUST#2000053103/ANIMAL SHELTER"</f>
        <v>CUST#2000053103/ANIMAL SHELTER</v>
      </c>
    </row>
    <row r="1427" spans="1:9" x14ac:dyDescent="0.25">
      <c r="E1427" t="str">
        <f>"9009388827"</f>
        <v>9009388827</v>
      </c>
      <c r="F1427" t="str">
        <f>"CUST#1000113183/ORD#1007914708"</f>
        <v>CUST#1000113183/ORD#1007914708</v>
      </c>
      <c r="G1427" s="2">
        <v>607.79999999999995</v>
      </c>
      <c r="H1427" t="str">
        <f>"CUST#1000113183/ORD#1007914708"</f>
        <v>CUST#1000113183/ORD#1007914708</v>
      </c>
    </row>
    <row r="1428" spans="1:9" x14ac:dyDescent="0.25">
      <c r="A1428" t="s">
        <v>549</v>
      </c>
      <c r="B1428">
        <v>130312</v>
      </c>
      <c r="C1428" s="2">
        <v>50</v>
      </c>
      <c r="D1428" s="1">
        <v>43822</v>
      </c>
      <c r="E1428" t="s">
        <v>550</v>
      </c>
      <c r="F1428" t="s">
        <v>551</v>
      </c>
      <c r="G1428" s="2" t="str">
        <f>"RESTITUTION-E.F. RAMON"</f>
        <v>RESTITUTION-E.F. RAMON</v>
      </c>
      <c r="H1428" t="str">
        <f>"210-0000"</f>
        <v>210-0000</v>
      </c>
      <c r="I1428" t="str">
        <f>""</f>
        <v/>
      </c>
    </row>
    <row r="1429" spans="1:9" x14ac:dyDescent="0.25">
      <c r="A1429" t="s">
        <v>88</v>
      </c>
      <c r="B1429">
        <v>130078</v>
      </c>
      <c r="C1429" s="2">
        <v>379.11</v>
      </c>
      <c r="D1429" s="1">
        <v>43810</v>
      </c>
      <c r="E1429" t="str">
        <f>"201912113893"</f>
        <v>201912113893</v>
      </c>
      <c r="F1429" t="str">
        <f>"ACCT#5000057374 / 12022019"</f>
        <v>ACCT#5000057374 / 12022019</v>
      </c>
      <c r="G1429" s="2">
        <v>379.11</v>
      </c>
      <c r="H1429" t="str">
        <f>"ACCT#5000057374 / 12022019"</f>
        <v>ACCT#5000057374 / 12022019</v>
      </c>
    </row>
    <row r="1430" spans="1:9" x14ac:dyDescent="0.25">
      <c r="A1430" t="s">
        <v>102</v>
      </c>
      <c r="B1430">
        <v>319</v>
      </c>
      <c r="C1430" s="2">
        <v>131.80000000000001</v>
      </c>
      <c r="D1430" s="1">
        <v>43822</v>
      </c>
      <c r="E1430" t="str">
        <f>"201912184288"</f>
        <v>201912184288</v>
      </c>
      <c r="F1430" t="str">
        <f>"acct# 0058"</f>
        <v>acct# 0058</v>
      </c>
      <c r="G1430" s="2">
        <v>131.80000000000001</v>
      </c>
      <c r="H1430" t="str">
        <f>"WALMART"</f>
        <v>WALMART</v>
      </c>
    </row>
    <row r="1431" spans="1:9" x14ac:dyDescent="0.25">
      <c r="A1431" t="s">
        <v>552</v>
      </c>
      <c r="B1431">
        <v>130079</v>
      </c>
      <c r="C1431" s="2">
        <v>39447</v>
      </c>
      <c r="D1431" s="1">
        <v>43811</v>
      </c>
      <c r="E1431" t="str">
        <f>"19073-001A"</f>
        <v>19073-001A</v>
      </c>
      <c r="F1431" t="str">
        <f>"PERFORMANCE BOND PAYMENT"</f>
        <v>PERFORMANCE BOND PAYMENT</v>
      </c>
      <c r="G1431" s="2">
        <v>39447</v>
      </c>
      <c r="H1431" t="str">
        <f>"PERFORMANCE BOND PAYMENT"</f>
        <v>PERFORMANCE BOND PAYMENT</v>
      </c>
    </row>
    <row r="1432" spans="1:9" x14ac:dyDescent="0.25">
      <c r="A1432" t="s">
        <v>553</v>
      </c>
      <c r="B1432">
        <v>130313</v>
      </c>
      <c r="C1432" s="2">
        <v>1428.18</v>
      </c>
      <c r="D1432" s="1">
        <v>43822</v>
      </c>
      <c r="E1432" t="str">
        <f>"INV384237"</f>
        <v>INV384237</v>
      </c>
      <c r="F1432" t="str">
        <f>"Relocation of AV Systems"</f>
        <v>Relocation of AV Systems</v>
      </c>
      <c r="G1432" s="2">
        <v>1428.18</v>
      </c>
      <c r="H1432" t="str">
        <f>"Hardware"</f>
        <v>Hardware</v>
      </c>
    </row>
    <row r="1433" spans="1:9" x14ac:dyDescent="0.25">
      <c r="E1433" t="str">
        <f>""</f>
        <v/>
      </c>
      <c r="F1433" t="str">
        <f>""</f>
        <v/>
      </c>
      <c r="H1433" t="str">
        <f>"Services"</f>
        <v>Services</v>
      </c>
    </row>
    <row r="1434" spans="1:9" x14ac:dyDescent="0.25">
      <c r="A1434" t="s">
        <v>554</v>
      </c>
      <c r="B1434">
        <v>130070</v>
      </c>
      <c r="C1434" s="2">
        <v>9485</v>
      </c>
      <c r="D1434" s="1">
        <v>43808</v>
      </c>
      <c r="E1434" t="str">
        <f>"3825"</f>
        <v>3825</v>
      </c>
      <c r="F1434" t="str">
        <f>"HMGP ADMIN/DRAINAGE IMPROV PRO"</f>
        <v>HMGP ADMIN/DRAINAGE IMPROV PRO</v>
      </c>
      <c r="G1434" s="2">
        <v>6100</v>
      </c>
      <c r="H1434" t="str">
        <f>"HMGP ADMIN/DRAINAGE IMPROV PRO"</f>
        <v>HMGP ADMIN/DRAINAGE IMPROV PRO</v>
      </c>
    </row>
    <row r="1435" spans="1:9" x14ac:dyDescent="0.25">
      <c r="E1435" t="str">
        <f>"3827"</f>
        <v>3827</v>
      </c>
      <c r="F1435" t="str">
        <f>"HMGP ADMIN/DRAINAGE IMPROV PRO"</f>
        <v>HMGP ADMIN/DRAINAGE IMPROV PRO</v>
      </c>
      <c r="G1435" s="2">
        <v>3385</v>
      </c>
      <c r="H1435" t="str">
        <f>"HMGP ADMIN/DRAINAGE IMPROV PRO"</f>
        <v>HMGP ADMIN/DRAINAGE IMPROV PRO</v>
      </c>
    </row>
    <row r="1436" spans="1:9" x14ac:dyDescent="0.25">
      <c r="A1436" t="s">
        <v>394</v>
      </c>
      <c r="B1436">
        <v>130071</v>
      </c>
      <c r="C1436" s="2">
        <v>958800</v>
      </c>
      <c r="D1436" s="1">
        <v>43808</v>
      </c>
      <c r="E1436" t="str">
        <f>"41272041"</f>
        <v>41272041</v>
      </c>
      <c r="F1436" t="str">
        <f>"Radio Lifecycle agreement"</f>
        <v>Radio Lifecycle agreement</v>
      </c>
      <c r="G1436" s="2">
        <v>958800</v>
      </c>
      <c r="H1436" t="str">
        <f>"inv# 41272041"</f>
        <v>inv# 41272041</v>
      </c>
    </row>
    <row r="1437" spans="1:9" x14ac:dyDescent="0.25">
      <c r="A1437" t="s">
        <v>394</v>
      </c>
      <c r="B1437">
        <v>130314</v>
      </c>
      <c r="C1437" s="2">
        <v>206425.4</v>
      </c>
      <c r="D1437" s="1">
        <v>43822</v>
      </c>
      <c r="E1437" t="str">
        <f>"41277728"</f>
        <v>41277728</v>
      </c>
      <c r="F1437" t="str">
        <f>"911 department Move Equip"</f>
        <v>911 department Move Equip</v>
      </c>
      <c r="G1437" s="2">
        <v>103212.7</v>
      </c>
      <c r="H1437" t="str">
        <f>"10% payment"</f>
        <v>10% payment</v>
      </c>
    </row>
    <row r="1438" spans="1:9" x14ac:dyDescent="0.25">
      <c r="E1438" t="str">
        <f>"41277744"</f>
        <v>41277744</v>
      </c>
      <c r="F1438" t="str">
        <f>"911 department Move Equip"</f>
        <v>911 department Move Equip</v>
      </c>
      <c r="G1438" s="2">
        <v>103212.7</v>
      </c>
      <c r="H1438" t="str">
        <f>"10% payment"</f>
        <v>10% payment</v>
      </c>
    </row>
    <row r="1439" spans="1:9" x14ac:dyDescent="0.25">
      <c r="A1439" t="s">
        <v>409</v>
      </c>
      <c r="B1439">
        <v>1971</v>
      </c>
      <c r="C1439" s="2">
        <v>1118.5</v>
      </c>
      <c r="D1439" s="1">
        <v>43823</v>
      </c>
      <c r="E1439" t="str">
        <f>"2008402"</f>
        <v>2008402</v>
      </c>
      <c r="F1439" t="str">
        <f>"INSTALL OUTLET/DATA CABLE"</f>
        <v>INSTALL OUTLET/DATA CABLE</v>
      </c>
      <c r="G1439" s="2">
        <v>1118.5</v>
      </c>
      <c r="H1439" t="str">
        <f>"INSTALL OUTLET/DATA CABLE"</f>
        <v>INSTALL OUTLET/DATA CABLE</v>
      </c>
    </row>
    <row r="1440" spans="1:9" x14ac:dyDescent="0.25">
      <c r="A1440" t="s">
        <v>496</v>
      </c>
      <c r="B1440">
        <v>130315</v>
      </c>
      <c r="C1440" s="2">
        <v>1047.4000000000001</v>
      </c>
      <c r="D1440" s="1">
        <v>43822</v>
      </c>
      <c r="E1440" t="str">
        <f>"NRCN-27081-WC1-245"</f>
        <v>NRCN-27081-WC1-245</v>
      </c>
      <c r="F1440" t="str">
        <f>"1ST QTR 2020 WRKRS COMP/#0110"</f>
        <v>1ST QTR 2020 WRKRS COMP/#0110</v>
      </c>
      <c r="G1440" s="2">
        <v>1047.4000000000001</v>
      </c>
      <c r="H1440" t="str">
        <f>"1ST QTR 2020 WRKRS COMP/#0110"</f>
        <v>1ST QTR 2020 WRKRS COMP/#0110</v>
      </c>
    </row>
    <row r="1441" spans="1:8" x14ac:dyDescent="0.25">
      <c r="A1441" t="s">
        <v>537</v>
      </c>
      <c r="B1441">
        <v>130072</v>
      </c>
      <c r="C1441" s="2">
        <v>3185.38</v>
      </c>
      <c r="D1441" s="1">
        <v>43808</v>
      </c>
      <c r="E1441" t="str">
        <f>"869395921948"</f>
        <v>869395921948</v>
      </c>
      <c r="F1441" t="str">
        <f>"INV# 869395921948"</f>
        <v>INV# 869395921948</v>
      </c>
      <c r="G1441" s="2">
        <v>3185.38</v>
      </c>
      <c r="H1441" t="str">
        <f>"FUEL"</f>
        <v>FUEL</v>
      </c>
    </row>
    <row r="1442" spans="1:8" x14ac:dyDescent="0.25">
      <c r="E1442" t="str">
        <f>""</f>
        <v/>
      </c>
      <c r="F1442" t="str">
        <f>""</f>
        <v/>
      </c>
      <c r="H1442" t="str">
        <f>"TAX"</f>
        <v>TAX</v>
      </c>
    </row>
    <row r="1443" spans="1:8" x14ac:dyDescent="0.25">
      <c r="E1443" t="str">
        <f>""</f>
        <v/>
      </c>
      <c r="F1443" t="str">
        <f>""</f>
        <v/>
      </c>
      <c r="H1443" t="str">
        <f>"MAINTENANCE"</f>
        <v>MAINTENANCE</v>
      </c>
    </row>
    <row r="1444" spans="1:8" x14ac:dyDescent="0.25">
      <c r="A1444" t="s">
        <v>555</v>
      </c>
      <c r="B1444">
        <v>332</v>
      </c>
      <c r="C1444" s="2">
        <v>5236.76</v>
      </c>
      <c r="D1444" s="1">
        <v>43826</v>
      </c>
      <c r="E1444" t="str">
        <f>"201912274298"</f>
        <v>201912274298</v>
      </c>
      <c r="F1444" t="str">
        <f>"ALLSTATE-AMERICAN HERITAGE LIF"</f>
        <v>ALLSTATE-AMERICAN HERITAGE LIF</v>
      </c>
      <c r="G1444" s="2">
        <v>0.02</v>
      </c>
      <c r="H1444" t="str">
        <f>"ALLSTATE-AMERICAN HERITAGE LIF"</f>
        <v>ALLSTATE-AMERICAN HERITAGE LIF</v>
      </c>
    </row>
    <row r="1445" spans="1:8" x14ac:dyDescent="0.25">
      <c r="E1445" t="str">
        <f>"AS 201912113947"</f>
        <v>AS 201912113947</v>
      </c>
      <c r="F1445" t="str">
        <f t="shared" ref="F1445:F1458" si="21">"ALLSTATE"</f>
        <v>ALLSTATE</v>
      </c>
      <c r="G1445" s="2">
        <v>524.49</v>
      </c>
      <c r="H1445" t="str">
        <f t="shared" ref="H1445:H1458" si="22">"ALLSTATE"</f>
        <v>ALLSTATE</v>
      </c>
    </row>
    <row r="1446" spans="1:8" x14ac:dyDescent="0.25">
      <c r="E1446" t="str">
        <f>"AS 201912113948"</f>
        <v>AS 201912113948</v>
      </c>
      <c r="F1446" t="str">
        <f t="shared" si="21"/>
        <v>ALLSTATE</v>
      </c>
      <c r="G1446" s="2">
        <v>27.14</v>
      </c>
      <c r="H1446" t="str">
        <f t="shared" si="22"/>
        <v>ALLSTATE</v>
      </c>
    </row>
    <row r="1447" spans="1:8" x14ac:dyDescent="0.25">
      <c r="E1447" t="str">
        <f>"AS 201912244290"</f>
        <v>AS 201912244290</v>
      </c>
      <c r="F1447" t="str">
        <f t="shared" si="21"/>
        <v>ALLSTATE</v>
      </c>
      <c r="G1447" s="2">
        <v>497.35</v>
      </c>
      <c r="H1447" t="str">
        <f t="shared" si="22"/>
        <v>ALLSTATE</v>
      </c>
    </row>
    <row r="1448" spans="1:8" x14ac:dyDescent="0.25">
      <c r="E1448" t="str">
        <f>"AS 201912244291"</f>
        <v>AS 201912244291</v>
      </c>
      <c r="F1448" t="str">
        <f t="shared" si="21"/>
        <v>ALLSTATE</v>
      </c>
      <c r="G1448" s="2">
        <v>27.14</v>
      </c>
      <c r="H1448" t="str">
        <f t="shared" si="22"/>
        <v>ALLSTATE</v>
      </c>
    </row>
    <row r="1449" spans="1:8" x14ac:dyDescent="0.25">
      <c r="E1449" t="str">
        <f>"ASD201912113947"</f>
        <v>ASD201912113947</v>
      </c>
      <c r="F1449" t="str">
        <f t="shared" si="21"/>
        <v>ALLSTATE</v>
      </c>
      <c r="G1449" s="2">
        <v>170.21</v>
      </c>
      <c r="H1449" t="str">
        <f t="shared" si="22"/>
        <v>ALLSTATE</v>
      </c>
    </row>
    <row r="1450" spans="1:8" x14ac:dyDescent="0.25">
      <c r="E1450" t="str">
        <f>"ASD201912244290"</f>
        <v>ASD201912244290</v>
      </c>
      <c r="F1450" t="str">
        <f t="shared" si="21"/>
        <v>ALLSTATE</v>
      </c>
      <c r="G1450" s="2">
        <v>170.21</v>
      </c>
      <c r="H1450" t="str">
        <f t="shared" si="22"/>
        <v>ALLSTATE</v>
      </c>
    </row>
    <row r="1451" spans="1:8" x14ac:dyDescent="0.25">
      <c r="E1451" t="str">
        <f>"ASI201912113947"</f>
        <v>ASI201912113947</v>
      </c>
      <c r="F1451" t="str">
        <f t="shared" si="21"/>
        <v>ALLSTATE</v>
      </c>
      <c r="G1451" s="2">
        <v>621.97</v>
      </c>
      <c r="H1451" t="str">
        <f t="shared" si="22"/>
        <v>ALLSTATE</v>
      </c>
    </row>
    <row r="1452" spans="1:8" x14ac:dyDescent="0.25">
      <c r="E1452" t="str">
        <f>"ASI201912113948"</f>
        <v>ASI201912113948</v>
      </c>
      <c r="F1452" t="str">
        <f t="shared" si="21"/>
        <v>ALLSTATE</v>
      </c>
      <c r="G1452" s="2">
        <v>67.150000000000006</v>
      </c>
      <c r="H1452" t="str">
        <f t="shared" si="22"/>
        <v>ALLSTATE</v>
      </c>
    </row>
    <row r="1453" spans="1:8" x14ac:dyDescent="0.25">
      <c r="E1453" t="str">
        <f>"ASI201912244290"</f>
        <v>ASI201912244290</v>
      </c>
      <c r="F1453" t="str">
        <f t="shared" si="21"/>
        <v>ALLSTATE</v>
      </c>
      <c r="G1453" s="2">
        <v>621.97</v>
      </c>
      <c r="H1453" t="str">
        <f t="shared" si="22"/>
        <v>ALLSTATE</v>
      </c>
    </row>
    <row r="1454" spans="1:8" x14ac:dyDescent="0.25">
      <c r="E1454" t="str">
        <f>"ASI201912244291"</f>
        <v>ASI201912244291</v>
      </c>
      <c r="F1454" t="str">
        <f t="shared" si="21"/>
        <v>ALLSTATE</v>
      </c>
      <c r="G1454" s="2">
        <v>67.150000000000006</v>
      </c>
      <c r="H1454" t="str">
        <f t="shared" si="22"/>
        <v>ALLSTATE</v>
      </c>
    </row>
    <row r="1455" spans="1:8" x14ac:dyDescent="0.25">
      <c r="E1455" t="str">
        <f>"AST201912113947"</f>
        <v>AST201912113947</v>
      </c>
      <c r="F1455" t="str">
        <f t="shared" si="21"/>
        <v>ALLSTATE</v>
      </c>
      <c r="G1455" s="2">
        <v>1189.7</v>
      </c>
      <c r="H1455" t="str">
        <f t="shared" si="22"/>
        <v>ALLSTATE</v>
      </c>
    </row>
    <row r="1456" spans="1:8" x14ac:dyDescent="0.25">
      <c r="E1456" t="str">
        <f>"AST201912113948"</f>
        <v>AST201912113948</v>
      </c>
      <c r="F1456" t="str">
        <f t="shared" si="21"/>
        <v>ALLSTATE</v>
      </c>
      <c r="G1456" s="2">
        <v>42.61</v>
      </c>
      <c r="H1456" t="str">
        <f t="shared" si="22"/>
        <v>ALLSTATE</v>
      </c>
    </row>
    <row r="1457" spans="1:8" x14ac:dyDescent="0.25">
      <c r="E1457" t="str">
        <f>"AST201912244290"</f>
        <v>AST201912244290</v>
      </c>
      <c r="F1457" t="str">
        <f t="shared" si="21"/>
        <v>ALLSTATE</v>
      </c>
      <c r="G1457" s="2">
        <v>1167.04</v>
      </c>
      <c r="H1457" t="str">
        <f t="shared" si="22"/>
        <v>ALLSTATE</v>
      </c>
    </row>
    <row r="1458" spans="1:8" x14ac:dyDescent="0.25">
      <c r="E1458" t="str">
        <f>"AST201912244291"</f>
        <v>AST201912244291</v>
      </c>
      <c r="F1458" t="str">
        <f t="shared" si="21"/>
        <v>ALLSTATE</v>
      </c>
      <c r="G1458" s="2">
        <v>42.61</v>
      </c>
      <c r="H1458" t="str">
        <f t="shared" si="22"/>
        <v>ALLSTATE</v>
      </c>
    </row>
    <row r="1459" spans="1:8" x14ac:dyDescent="0.25">
      <c r="A1459" t="s">
        <v>556</v>
      </c>
      <c r="B1459">
        <v>328</v>
      </c>
      <c r="C1459" s="2">
        <v>26279.22</v>
      </c>
      <c r="D1459" s="1">
        <v>43826</v>
      </c>
      <c r="E1459" t="str">
        <f>"201912274295"</f>
        <v>201912274295</v>
      </c>
      <c r="F1459" t="str">
        <f>"AmWINS Group Benefits  Inc."</f>
        <v>AmWINS Group Benefits  Inc.</v>
      </c>
      <c r="G1459" s="2">
        <v>26279.22</v>
      </c>
      <c r="H1459" t="str">
        <f>"AmWINS Group Benefits  Inc."</f>
        <v>AmWINS Group Benefits  Inc.</v>
      </c>
    </row>
    <row r="1460" spans="1:8" x14ac:dyDescent="0.25">
      <c r="A1460" t="s">
        <v>557</v>
      </c>
      <c r="B1460">
        <v>294</v>
      </c>
      <c r="C1460" s="2">
        <v>2887.78</v>
      </c>
      <c r="D1460" s="1">
        <v>43812</v>
      </c>
      <c r="E1460" t="str">
        <f>"DHM201912113949"</f>
        <v>DHM201912113949</v>
      </c>
      <c r="F1460" t="str">
        <f>"AP - DENTAL HMO"</f>
        <v>AP - DENTAL HMO</v>
      </c>
      <c r="G1460" s="2">
        <v>61.39</v>
      </c>
      <c r="H1460" t="str">
        <f>"AP - DENTAL HMO"</f>
        <v>AP - DENTAL HMO</v>
      </c>
    </row>
    <row r="1461" spans="1:8" x14ac:dyDescent="0.25">
      <c r="E1461" t="str">
        <f>"DTX201912113949"</f>
        <v>DTX201912113949</v>
      </c>
      <c r="F1461" t="str">
        <f>"AP - TEXAS DENTAL"</f>
        <v>AP - TEXAS DENTAL</v>
      </c>
      <c r="G1461" s="2">
        <v>405.38</v>
      </c>
      <c r="H1461" t="str">
        <f>"AP - TEXAS DENTAL"</f>
        <v>AP - TEXAS DENTAL</v>
      </c>
    </row>
    <row r="1462" spans="1:8" x14ac:dyDescent="0.25">
      <c r="E1462" t="str">
        <f>"FD 201912113949"</f>
        <v>FD 201912113949</v>
      </c>
      <c r="F1462" t="str">
        <f>"AP - FT DEARBORN PRE-TAX"</f>
        <v>AP - FT DEARBORN PRE-TAX</v>
      </c>
      <c r="G1462" s="2">
        <v>184.53</v>
      </c>
      <c r="H1462" t="str">
        <f>"AP - FT DEARBORN PRE-TAX"</f>
        <v>AP - FT DEARBORN PRE-TAX</v>
      </c>
    </row>
    <row r="1463" spans="1:8" x14ac:dyDescent="0.25">
      <c r="E1463" t="str">
        <f>"FDT201912113949"</f>
        <v>FDT201912113949</v>
      </c>
      <c r="F1463" t="str">
        <f>"AP - FT DEARBORN AFTER TAX"</f>
        <v>AP - FT DEARBORN AFTER TAX</v>
      </c>
      <c r="G1463" s="2">
        <v>69.819999999999993</v>
      </c>
      <c r="H1463" t="str">
        <f>"AP - FT DEARBORN AFTER TAX"</f>
        <v>AP - FT DEARBORN AFTER TAX</v>
      </c>
    </row>
    <row r="1464" spans="1:8" x14ac:dyDescent="0.25">
      <c r="E1464" t="str">
        <f>"FLX201912113949"</f>
        <v>FLX201912113949</v>
      </c>
      <c r="F1464" t="str">
        <f>"AP - TEX FLEX"</f>
        <v>AP - TEX FLEX</v>
      </c>
      <c r="G1464" s="2">
        <v>193</v>
      </c>
      <c r="H1464" t="str">
        <f>"AP - TEX FLEX"</f>
        <v>AP - TEX FLEX</v>
      </c>
    </row>
    <row r="1465" spans="1:8" x14ac:dyDescent="0.25">
      <c r="E1465" t="str">
        <f>"MHS201912113949"</f>
        <v>MHS201912113949</v>
      </c>
      <c r="F1465" t="str">
        <f>"AP - HEALTH SELECT MEDICAL"</f>
        <v>AP - HEALTH SELECT MEDICAL</v>
      </c>
      <c r="G1465" s="2">
        <v>1377.5</v>
      </c>
      <c r="H1465" t="str">
        <f>"AP - HEALTH SELECT MEDICAL"</f>
        <v>AP - HEALTH SELECT MEDICAL</v>
      </c>
    </row>
    <row r="1466" spans="1:8" x14ac:dyDescent="0.25">
      <c r="E1466" t="str">
        <f>"MSW201912113949"</f>
        <v>MSW201912113949</v>
      </c>
      <c r="F1466" t="str">
        <f>"AP - SCOTT &amp; WHITE MEDICAL"</f>
        <v>AP - SCOTT &amp; WHITE MEDICAL</v>
      </c>
      <c r="G1466" s="2">
        <v>551.08000000000004</v>
      </c>
      <c r="H1466" t="str">
        <f>"AP - SCOTT &amp; WHITE MEDICAL"</f>
        <v>AP - SCOTT &amp; WHITE MEDICAL</v>
      </c>
    </row>
    <row r="1467" spans="1:8" x14ac:dyDescent="0.25">
      <c r="E1467" t="str">
        <f>"SPE201912113949"</f>
        <v>SPE201912113949</v>
      </c>
      <c r="F1467" t="str">
        <f>"AP - STATE VISION"</f>
        <v>AP - STATE VISION</v>
      </c>
      <c r="G1467" s="2">
        <v>45.08</v>
      </c>
      <c r="H1467" t="str">
        <f>"AP - STATE VISION"</f>
        <v>AP - STATE VISION</v>
      </c>
    </row>
    <row r="1468" spans="1:8" x14ac:dyDescent="0.25">
      <c r="A1468" t="s">
        <v>557</v>
      </c>
      <c r="B1468">
        <v>323</v>
      </c>
      <c r="C1468" s="2">
        <v>2887.78</v>
      </c>
      <c r="D1468" s="1">
        <v>43826</v>
      </c>
      <c r="E1468" t="str">
        <f>"DHM201912244292"</f>
        <v>DHM201912244292</v>
      </c>
      <c r="F1468" t="str">
        <f>"AP - DENTAL HMO"</f>
        <v>AP - DENTAL HMO</v>
      </c>
      <c r="G1468" s="2">
        <v>61.39</v>
      </c>
      <c r="H1468" t="str">
        <f>"AP - DENTAL HMO"</f>
        <v>AP - DENTAL HMO</v>
      </c>
    </row>
    <row r="1469" spans="1:8" x14ac:dyDescent="0.25">
      <c r="E1469" t="str">
        <f>"DTX201912244292"</f>
        <v>DTX201912244292</v>
      </c>
      <c r="F1469" t="str">
        <f>"AP - TEXAS DENTAL"</f>
        <v>AP - TEXAS DENTAL</v>
      </c>
      <c r="G1469" s="2">
        <v>405.38</v>
      </c>
      <c r="H1469" t="str">
        <f>"AP - TEXAS DENTAL"</f>
        <v>AP - TEXAS DENTAL</v>
      </c>
    </row>
    <row r="1470" spans="1:8" x14ac:dyDescent="0.25">
      <c r="E1470" t="str">
        <f>"FD 201912244292"</f>
        <v>FD 201912244292</v>
      </c>
      <c r="F1470" t="str">
        <f>"AP - FT DEARBORN PRE-TAX"</f>
        <v>AP - FT DEARBORN PRE-TAX</v>
      </c>
      <c r="G1470" s="2">
        <v>184.53</v>
      </c>
      <c r="H1470" t="str">
        <f>"AP - FT DEARBORN PRE-TAX"</f>
        <v>AP - FT DEARBORN PRE-TAX</v>
      </c>
    </row>
    <row r="1471" spans="1:8" x14ac:dyDescent="0.25">
      <c r="E1471" t="str">
        <f>"FDT201912244292"</f>
        <v>FDT201912244292</v>
      </c>
      <c r="F1471" t="str">
        <f>"AP - FT DEARBORN AFTER TAX"</f>
        <v>AP - FT DEARBORN AFTER TAX</v>
      </c>
      <c r="G1471" s="2">
        <v>69.819999999999993</v>
      </c>
      <c r="H1471" t="str">
        <f>"AP - FT DEARBORN AFTER TAX"</f>
        <v>AP - FT DEARBORN AFTER TAX</v>
      </c>
    </row>
    <row r="1472" spans="1:8" x14ac:dyDescent="0.25">
      <c r="E1472" t="str">
        <f>"FLX201912244292"</f>
        <v>FLX201912244292</v>
      </c>
      <c r="F1472" t="str">
        <f>"AP - TEX FLEX"</f>
        <v>AP - TEX FLEX</v>
      </c>
      <c r="G1472" s="2">
        <v>193</v>
      </c>
      <c r="H1472" t="str">
        <f>"AP - TEX FLEX"</f>
        <v>AP - TEX FLEX</v>
      </c>
    </row>
    <row r="1473" spans="1:8" x14ac:dyDescent="0.25">
      <c r="E1473" t="str">
        <f>"MHS201912244292"</f>
        <v>MHS201912244292</v>
      </c>
      <c r="F1473" t="str">
        <f>"AP - HEALTH SELECT MEDICAL"</f>
        <v>AP - HEALTH SELECT MEDICAL</v>
      </c>
      <c r="G1473" s="2">
        <v>1377.5</v>
      </c>
      <c r="H1473" t="str">
        <f>"AP - HEALTH SELECT MEDICAL"</f>
        <v>AP - HEALTH SELECT MEDICAL</v>
      </c>
    </row>
    <row r="1474" spans="1:8" x14ac:dyDescent="0.25">
      <c r="E1474" t="str">
        <f>"MSW201912244292"</f>
        <v>MSW201912244292</v>
      </c>
      <c r="F1474" t="str">
        <f>"AP - SCOTT &amp; WHITE MEDICAL"</f>
        <v>AP - SCOTT &amp; WHITE MEDICAL</v>
      </c>
      <c r="G1474" s="2">
        <v>551.08000000000004</v>
      </c>
      <c r="H1474" t="str">
        <f>"AP - SCOTT &amp; WHITE MEDICAL"</f>
        <v>AP - SCOTT &amp; WHITE MEDICAL</v>
      </c>
    </row>
    <row r="1475" spans="1:8" x14ac:dyDescent="0.25">
      <c r="E1475" t="str">
        <f>"SPE201912244292"</f>
        <v>SPE201912244292</v>
      </c>
      <c r="F1475" t="str">
        <f>"AP - STATE VISION"</f>
        <v>AP - STATE VISION</v>
      </c>
      <c r="G1475" s="2">
        <v>45.08</v>
      </c>
      <c r="H1475" t="str">
        <f>"AP - STATE VISION"</f>
        <v>AP - STATE VISION</v>
      </c>
    </row>
    <row r="1476" spans="1:8" x14ac:dyDescent="0.25">
      <c r="A1476" t="s">
        <v>558</v>
      </c>
      <c r="B1476">
        <v>333</v>
      </c>
      <c r="C1476" s="2">
        <v>4960.72</v>
      </c>
      <c r="D1476" s="1">
        <v>43826</v>
      </c>
      <c r="E1476" t="str">
        <f>"201912274299"</f>
        <v>201912274299</v>
      </c>
      <c r="F1476" t="str">
        <f>"COLONIAL LIFE &amp; ACCIDENT INS."</f>
        <v>COLONIAL LIFE &amp; ACCIDENT INS.</v>
      </c>
      <c r="G1476" s="2">
        <v>0.46</v>
      </c>
      <c r="H1476" t="str">
        <f>"COLONIAL LIFE &amp; ACCIDENT INS."</f>
        <v>COLONIAL LIFE &amp; ACCIDENT INS.</v>
      </c>
    </row>
    <row r="1477" spans="1:8" x14ac:dyDescent="0.25">
      <c r="E1477" t="str">
        <f>"CL 201912113947"</f>
        <v>CL 201912113947</v>
      </c>
      <c r="F1477" t="str">
        <f t="shared" ref="F1477:F1496" si="23">"COLONIAL"</f>
        <v>COLONIAL</v>
      </c>
      <c r="G1477" s="2">
        <v>625.13</v>
      </c>
      <c r="H1477" t="str">
        <f t="shared" ref="H1477:H1496" si="24">"COLONIAL"</f>
        <v>COLONIAL</v>
      </c>
    </row>
    <row r="1478" spans="1:8" x14ac:dyDescent="0.25">
      <c r="E1478" t="str">
        <f>"CL 201912113948"</f>
        <v>CL 201912113948</v>
      </c>
      <c r="F1478" t="str">
        <f t="shared" si="23"/>
        <v>COLONIAL</v>
      </c>
      <c r="G1478" s="2">
        <v>14.49</v>
      </c>
      <c r="H1478" t="str">
        <f t="shared" si="24"/>
        <v>COLONIAL</v>
      </c>
    </row>
    <row r="1479" spans="1:8" x14ac:dyDescent="0.25">
      <c r="E1479" t="str">
        <f>"CL 201912244290"</f>
        <v>CL 201912244290</v>
      </c>
      <c r="F1479" t="str">
        <f t="shared" si="23"/>
        <v>COLONIAL</v>
      </c>
      <c r="G1479" s="2">
        <v>625.13</v>
      </c>
      <c r="H1479" t="str">
        <f t="shared" si="24"/>
        <v>COLONIAL</v>
      </c>
    </row>
    <row r="1480" spans="1:8" x14ac:dyDescent="0.25">
      <c r="E1480" t="str">
        <f>"CL 201912244291"</f>
        <v>CL 201912244291</v>
      </c>
      <c r="F1480" t="str">
        <f t="shared" si="23"/>
        <v>COLONIAL</v>
      </c>
      <c r="G1480" s="2">
        <v>14.49</v>
      </c>
      <c r="H1480" t="str">
        <f t="shared" si="24"/>
        <v>COLONIAL</v>
      </c>
    </row>
    <row r="1481" spans="1:8" x14ac:dyDescent="0.25">
      <c r="E1481" t="str">
        <f>"CLC201912113947"</f>
        <v>CLC201912113947</v>
      </c>
      <c r="F1481" t="str">
        <f t="shared" si="23"/>
        <v>COLONIAL</v>
      </c>
      <c r="G1481" s="2">
        <v>33.99</v>
      </c>
      <c r="H1481" t="str">
        <f t="shared" si="24"/>
        <v>COLONIAL</v>
      </c>
    </row>
    <row r="1482" spans="1:8" x14ac:dyDescent="0.25">
      <c r="E1482" t="str">
        <f>"CLC201912244290"</f>
        <v>CLC201912244290</v>
      </c>
      <c r="F1482" t="str">
        <f t="shared" si="23"/>
        <v>COLONIAL</v>
      </c>
      <c r="G1482" s="2">
        <v>33.99</v>
      </c>
      <c r="H1482" t="str">
        <f t="shared" si="24"/>
        <v>COLONIAL</v>
      </c>
    </row>
    <row r="1483" spans="1:8" x14ac:dyDescent="0.25">
      <c r="E1483" t="str">
        <f>"CLI201912113947"</f>
        <v>CLI201912113947</v>
      </c>
      <c r="F1483" t="str">
        <f t="shared" si="23"/>
        <v>COLONIAL</v>
      </c>
      <c r="G1483" s="2">
        <v>604.38</v>
      </c>
      <c r="H1483" t="str">
        <f t="shared" si="24"/>
        <v>COLONIAL</v>
      </c>
    </row>
    <row r="1484" spans="1:8" x14ac:dyDescent="0.25">
      <c r="E1484" t="str">
        <f>"CLI201912244290"</f>
        <v>CLI201912244290</v>
      </c>
      <c r="F1484" t="str">
        <f t="shared" si="23"/>
        <v>COLONIAL</v>
      </c>
      <c r="G1484" s="2">
        <v>604.38</v>
      </c>
      <c r="H1484" t="str">
        <f t="shared" si="24"/>
        <v>COLONIAL</v>
      </c>
    </row>
    <row r="1485" spans="1:8" x14ac:dyDescent="0.25">
      <c r="E1485" t="str">
        <f>"CLK201912113947"</f>
        <v>CLK201912113947</v>
      </c>
      <c r="F1485" t="str">
        <f t="shared" si="23"/>
        <v>COLONIAL</v>
      </c>
      <c r="G1485" s="2">
        <v>27.09</v>
      </c>
      <c r="H1485" t="str">
        <f t="shared" si="24"/>
        <v>COLONIAL</v>
      </c>
    </row>
    <row r="1486" spans="1:8" x14ac:dyDescent="0.25">
      <c r="E1486" t="str">
        <f>"CLK201912244290"</f>
        <v>CLK201912244290</v>
      </c>
      <c r="F1486" t="str">
        <f t="shared" si="23"/>
        <v>COLONIAL</v>
      </c>
      <c r="G1486" s="2">
        <v>27.09</v>
      </c>
      <c r="H1486" t="str">
        <f t="shared" si="24"/>
        <v>COLONIAL</v>
      </c>
    </row>
    <row r="1487" spans="1:8" x14ac:dyDescent="0.25">
      <c r="E1487" t="str">
        <f>"CLS201912113947"</f>
        <v>CLS201912113947</v>
      </c>
      <c r="F1487" t="str">
        <f t="shared" si="23"/>
        <v>COLONIAL</v>
      </c>
      <c r="G1487" s="2">
        <v>373.88</v>
      </c>
      <c r="H1487" t="str">
        <f t="shared" si="24"/>
        <v>COLONIAL</v>
      </c>
    </row>
    <row r="1488" spans="1:8" x14ac:dyDescent="0.25">
      <c r="E1488" t="str">
        <f>"CLS201912113948"</f>
        <v>CLS201912113948</v>
      </c>
      <c r="F1488" t="str">
        <f t="shared" si="23"/>
        <v>COLONIAL</v>
      </c>
      <c r="G1488" s="2">
        <v>15.73</v>
      </c>
      <c r="H1488" t="str">
        <f t="shared" si="24"/>
        <v>COLONIAL</v>
      </c>
    </row>
    <row r="1489" spans="1:8" x14ac:dyDescent="0.25">
      <c r="E1489" t="str">
        <f>"CLS201912244290"</f>
        <v>CLS201912244290</v>
      </c>
      <c r="F1489" t="str">
        <f t="shared" si="23"/>
        <v>COLONIAL</v>
      </c>
      <c r="G1489" s="2">
        <v>373.88</v>
      </c>
      <c r="H1489" t="str">
        <f t="shared" si="24"/>
        <v>COLONIAL</v>
      </c>
    </row>
    <row r="1490" spans="1:8" x14ac:dyDescent="0.25">
      <c r="E1490" t="str">
        <f>"CLS201912244291"</f>
        <v>CLS201912244291</v>
      </c>
      <c r="F1490" t="str">
        <f t="shared" si="23"/>
        <v>COLONIAL</v>
      </c>
      <c r="G1490" s="2">
        <v>15.73</v>
      </c>
      <c r="H1490" t="str">
        <f t="shared" si="24"/>
        <v>COLONIAL</v>
      </c>
    </row>
    <row r="1491" spans="1:8" x14ac:dyDescent="0.25">
      <c r="E1491" t="str">
        <f>"CLT201912113947"</f>
        <v>CLT201912113947</v>
      </c>
      <c r="F1491" t="str">
        <f t="shared" si="23"/>
        <v>COLONIAL</v>
      </c>
      <c r="G1491" s="2">
        <v>365.09</v>
      </c>
      <c r="H1491" t="str">
        <f t="shared" si="24"/>
        <v>COLONIAL</v>
      </c>
    </row>
    <row r="1492" spans="1:8" x14ac:dyDescent="0.25">
      <c r="E1492" t="str">
        <f>"CLT201912244290"</f>
        <v>CLT201912244290</v>
      </c>
      <c r="F1492" t="str">
        <f t="shared" si="23"/>
        <v>COLONIAL</v>
      </c>
      <c r="G1492" s="2">
        <v>365.09</v>
      </c>
      <c r="H1492" t="str">
        <f t="shared" si="24"/>
        <v>COLONIAL</v>
      </c>
    </row>
    <row r="1493" spans="1:8" x14ac:dyDescent="0.25">
      <c r="E1493" t="str">
        <f>"CLU201912113947"</f>
        <v>CLU201912113947</v>
      </c>
      <c r="F1493" t="str">
        <f t="shared" si="23"/>
        <v>COLONIAL</v>
      </c>
      <c r="G1493" s="2">
        <v>111.55</v>
      </c>
      <c r="H1493" t="str">
        <f t="shared" si="24"/>
        <v>COLONIAL</v>
      </c>
    </row>
    <row r="1494" spans="1:8" x14ac:dyDescent="0.25">
      <c r="E1494" t="str">
        <f>"CLU201912244290"</f>
        <v>CLU201912244290</v>
      </c>
      <c r="F1494" t="str">
        <f t="shared" si="23"/>
        <v>COLONIAL</v>
      </c>
      <c r="G1494" s="2">
        <v>111.55</v>
      </c>
      <c r="H1494" t="str">
        <f t="shared" si="24"/>
        <v>COLONIAL</v>
      </c>
    </row>
    <row r="1495" spans="1:8" x14ac:dyDescent="0.25">
      <c r="E1495" t="str">
        <f>"CLW201912113947"</f>
        <v>CLW201912113947</v>
      </c>
      <c r="F1495" t="str">
        <f t="shared" si="23"/>
        <v>COLONIAL</v>
      </c>
      <c r="G1495" s="2">
        <v>308.8</v>
      </c>
      <c r="H1495" t="str">
        <f t="shared" si="24"/>
        <v>COLONIAL</v>
      </c>
    </row>
    <row r="1496" spans="1:8" x14ac:dyDescent="0.25">
      <c r="E1496" t="str">
        <f>"CLW201912244290"</f>
        <v>CLW201912244290</v>
      </c>
      <c r="F1496" t="str">
        <f t="shared" si="23"/>
        <v>COLONIAL</v>
      </c>
      <c r="G1496" s="2">
        <v>308.8</v>
      </c>
      <c r="H1496" t="str">
        <f t="shared" si="24"/>
        <v>COLONIAL</v>
      </c>
    </row>
    <row r="1497" spans="1:8" x14ac:dyDescent="0.25">
      <c r="A1497" t="s">
        <v>559</v>
      </c>
      <c r="B1497">
        <v>295</v>
      </c>
      <c r="C1497" s="2">
        <v>9291.2800000000007</v>
      </c>
      <c r="D1497" s="1">
        <v>43812</v>
      </c>
      <c r="E1497" t="str">
        <f>"CPI201912113947"</f>
        <v>CPI201912113947</v>
      </c>
      <c r="F1497" t="str">
        <f>"DEFERRED COMP 457B PAYABLE"</f>
        <v>DEFERRED COMP 457B PAYABLE</v>
      </c>
      <c r="G1497" s="2">
        <v>9183.7800000000007</v>
      </c>
      <c r="H1497" t="str">
        <f>"DEFERRED COMP 457B PAYABLE"</f>
        <v>DEFERRED COMP 457B PAYABLE</v>
      </c>
    </row>
    <row r="1498" spans="1:8" x14ac:dyDescent="0.25">
      <c r="E1498" t="str">
        <f>"CPI201912113948"</f>
        <v>CPI201912113948</v>
      </c>
      <c r="F1498" t="str">
        <f>"DEFERRED COMP 457B PAYABLE"</f>
        <v>DEFERRED COMP 457B PAYABLE</v>
      </c>
      <c r="G1498" s="2">
        <v>107.5</v>
      </c>
      <c r="H1498" t="str">
        <f>"DEFERRED COMP 457B PAYABLE"</f>
        <v>DEFERRED COMP 457B PAYABLE</v>
      </c>
    </row>
    <row r="1499" spans="1:8" x14ac:dyDescent="0.25">
      <c r="A1499" t="s">
        <v>559</v>
      </c>
      <c r="B1499">
        <v>324</v>
      </c>
      <c r="C1499" s="2">
        <v>9291.2800000000007</v>
      </c>
      <c r="D1499" s="1">
        <v>43826</v>
      </c>
      <c r="E1499" t="str">
        <f>"CPI201912244290"</f>
        <v>CPI201912244290</v>
      </c>
      <c r="F1499" t="str">
        <f>"DEFERRED COMP 457B PAYABLE"</f>
        <v>DEFERRED COMP 457B PAYABLE</v>
      </c>
      <c r="G1499" s="2">
        <v>9183.7800000000007</v>
      </c>
      <c r="H1499" t="str">
        <f>"DEFERRED COMP 457B PAYABLE"</f>
        <v>DEFERRED COMP 457B PAYABLE</v>
      </c>
    </row>
    <row r="1500" spans="1:8" x14ac:dyDescent="0.25">
      <c r="E1500" t="str">
        <f>"CPI201912244291"</f>
        <v>CPI201912244291</v>
      </c>
      <c r="F1500" t="str">
        <f>"DEFERRED COMP 457B PAYABLE"</f>
        <v>DEFERRED COMP 457B PAYABLE</v>
      </c>
      <c r="G1500" s="2">
        <v>107.5</v>
      </c>
      <c r="H1500" t="str">
        <f>"DEFERRED COMP 457B PAYABLE"</f>
        <v>DEFERRED COMP 457B PAYABLE</v>
      </c>
    </row>
    <row r="1501" spans="1:8" x14ac:dyDescent="0.25">
      <c r="A1501" t="s">
        <v>560</v>
      </c>
      <c r="B1501">
        <v>47733</v>
      </c>
      <c r="C1501" s="2">
        <v>853.85</v>
      </c>
      <c r="D1501" s="1">
        <v>43812</v>
      </c>
      <c r="E1501" t="str">
        <f>"B13201912113947"</f>
        <v>B13201912113947</v>
      </c>
      <c r="F1501" t="str">
        <f>"Rosa Warren 15-10357-TMD"</f>
        <v>Rosa Warren 15-10357-TMD</v>
      </c>
      <c r="G1501" s="2">
        <v>853.85</v>
      </c>
      <c r="H1501" t="str">
        <f>"Rosa Warren 15-10357-TMD"</f>
        <v>Rosa Warren 15-10357-TMD</v>
      </c>
    </row>
    <row r="1502" spans="1:8" x14ac:dyDescent="0.25">
      <c r="A1502" t="s">
        <v>560</v>
      </c>
      <c r="B1502">
        <v>47749</v>
      </c>
      <c r="C1502" s="2">
        <v>853.85</v>
      </c>
      <c r="D1502" s="1">
        <v>43826</v>
      </c>
      <c r="E1502" t="str">
        <f>"B13201912244290"</f>
        <v>B13201912244290</v>
      </c>
      <c r="F1502" t="str">
        <f>"Rosa Warren 15-10357-TMD"</f>
        <v>Rosa Warren 15-10357-TMD</v>
      </c>
      <c r="G1502" s="2">
        <v>853.85</v>
      </c>
      <c r="H1502" t="str">
        <f>"Rosa Warren 15-10357-TMD"</f>
        <v>Rosa Warren 15-10357-TMD</v>
      </c>
    </row>
    <row r="1503" spans="1:8" x14ac:dyDescent="0.25">
      <c r="A1503" t="s">
        <v>561</v>
      </c>
      <c r="B1503">
        <v>329</v>
      </c>
      <c r="C1503" s="2">
        <v>42288.47</v>
      </c>
      <c r="D1503" s="1">
        <v>43826</v>
      </c>
      <c r="E1503" t="str">
        <f>"201912274294"</f>
        <v>201912274294</v>
      </c>
      <c r="F1503" t="str">
        <f>"GUARDIAN Adjustmnets from Nov"</f>
        <v>GUARDIAN Adjustmnets from Nov</v>
      </c>
      <c r="G1503" s="2">
        <v>-211.87</v>
      </c>
      <c r="H1503" t="str">
        <f>"GUARDIAN Adjustmnets from Nov"</f>
        <v>GUARDIAN Adjustmnets from Nov</v>
      </c>
    </row>
    <row r="1504" spans="1:8" x14ac:dyDescent="0.25">
      <c r="E1504" t="str">
        <f>"201912274293"</f>
        <v>201912274293</v>
      </c>
      <c r="F1504" t="str">
        <f>"DEC RETIREE"</f>
        <v>DEC RETIREE</v>
      </c>
      <c r="G1504" s="2">
        <v>3527.57</v>
      </c>
      <c r="H1504" t="str">
        <f>"DEC RETIREE"</f>
        <v>DEC RETIREE</v>
      </c>
    </row>
    <row r="1505" spans="5:8" x14ac:dyDescent="0.25">
      <c r="E1505" t="str">
        <f>"ADC201912113947"</f>
        <v>ADC201912113947</v>
      </c>
      <c r="F1505" t="str">
        <f t="shared" ref="F1505:F1517" si="25">"GUARDIAN"</f>
        <v>GUARDIAN</v>
      </c>
      <c r="G1505" s="2">
        <v>5.58</v>
      </c>
      <c r="H1505" t="str">
        <f t="shared" ref="H1505:H1568" si="26">"GUARDIAN"</f>
        <v>GUARDIAN</v>
      </c>
    </row>
    <row r="1506" spans="5:8" x14ac:dyDescent="0.25">
      <c r="E1506" t="str">
        <f>"ADC201912113948"</f>
        <v>ADC201912113948</v>
      </c>
      <c r="F1506" t="str">
        <f t="shared" si="25"/>
        <v>GUARDIAN</v>
      </c>
      <c r="G1506" s="2">
        <v>0.16</v>
      </c>
      <c r="H1506" t="str">
        <f t="shared" si="26"/>
        <v>GUARDIAN</v>
      </c>
    </row>
    <row r="1507" spans="5:8" x14ac:dyDescent="0.25">
      <c r="E1507" t="str">
        <f>"ADC201912244290"</f>
        <v>ADC201912244290</v>
      </c>
      <c r="F1507" t="str">
        <f t="shared" si="25"/>
        <v>GUARDIAN</v>
      </c>
      <c r="G1507" s="2">
        <v>4.9800000000000004</v>
      </c>
      <c r="H1507" t="str">
        <f t="shared" si="26"/>
        <v>GUARDIAN</v>
      </c>
    </row>
    <row r="1508" spans="5:8" x14ac:dyDescent="0.25">
      <c r="E1508" t="str">
        <f>"ADC201912244291"</f>
        <v>ADC201912244291</v>
      </c>
      <c r="F1508" t="str">
        <f t="shared" si="25"/>
        <v>GUARDIAN</v>
      </c>
      <c r="G1508" s="2">
        <v>0.16</v>
      </c>
      <c r="H1508" t="str">
        <f t="shared" si="26"/>
        <v>GUARDIAN</v>
      </c>
    </row>
    <row r="1509" spans="5:8" x14ac:dyDescent="0.25">
      <c r="E1509" t="str">
        <f>"ADE201912113947"</f>
        <v>ADE201912113947</v>
      </c>
      <c r="F1509" t="str">
        <f t="shared" si="25"/>
        <v>GUARDIAN</v>
      </c>
      <c r="G1509" s="2">
        <v>261.26</v>
      </c>
      <c r="H1509" t="str">
        <f t="shared" si="26"/>
        <v>GUARDIAN</v>
      </c>
    </row>
    <row r="1510" spans="5:8" x14ac:dyDescent="0.25">
      <c r="E1510" t="str">
        <f>"ADE201912113948"</f>
        <v>ADE201912113948</v>
      </c>
      <c r="F1510" t="str">
        <f t="shared" si="25"/>
        <v>GUARDIAN</v>
      </c>
      <c r="G1510" s="2">
        <v>6.3</v>
      </c>
      <c r="H1510" t="str">
        <f t="shared" si="26"/>
        <v>GUARDIAN</v>
      </c>
    </row>
    <row r="1511" spans="5:8" x14ac:dyDescent="0.25">
      <c r="E1511" t="str">
        <f>"ADE201912244290"</f>
        <v>ADE201912244290</v>
      </c>
      <c r="F1511" t="str">
        <f t="shared" si="25"/>
        <v>GUARDIAN</v>
      </c>
      <c r="G1511" s="2">
        <v>241.16</v>
      </c>
      <c r="H1511" t="str">
        <f t="shared" si="26"/>
        <v>GUARDIAN</v>
      </c>
    </row>
    <row r="1512" spans="5:8" x14ac:dyDescent="0.25">
      <c r="E1512" t="str">
        <f>"ADE201912244291"</f>
        <v>ADE201912244291</v>
      </c>
      <c r="F1512" t="str">
        <f t="shared" si="25"/>
        <v>GUARDIAN</v>
      </c>
      <c r="G1512" s="2">
        <v>6.3</v>
      </c>
      <c r="H1512" t="str">
        <f t="shared" si="26"/>
        <v>GUARDIAN</v>
      </c>
    </row>
    <row r="1513" spans="5:8" x14ac:dyDescent="0.25">
      <c r="E1513" t="str">
        <f>"ADS201912113947"</f>
        <v>ADS201912113947</v>
      </c>
      <c r="F1513" t="str">
        <f t="shared" si="25"/>
        <v>GUARDIAN</v>
      </c>
      <c r="G1513" s="2">
        <v>51.72</v>
      </c>
      <c r="H1513" t="str">
        <f t="shared" si="26"/>
        <v>GUARDIAN</v>
      </c>
    </row>
    <row r="1514" spans="5:8" x14ac:dyDescent="0.25">
      <c r="E1514" t="str">
        <f>"ADS201912113948"</f>
        <v>ADS201912113948</v>
      </c>
      <c r="F1514" t="str">
        <f t="shared" si="25"/>
        <v>GUARDIAN</v>
      </c>
      <c r="G1514" s="2">
        <v>0.53</v>
      </c>
      <c r="H1514" t="str">
        <f t="shared" si="26"/>
        <v>GUARDIAN</v>
      </c>
    </row>
    <row r="1515" spans="5:8" x14ac:dyDescent="0.25">
      <c r="E1515" t="str">
        <f>"ADS201912244290"</f>
        <v>ADS201912244290</v>
      </c>
      <c r="F1515" t="str">
        <f t="shared" si="25"/>
        <v>GUARDIAN</v>
      </c>
      <c r="G1515" s="2">
        <v>44.22</v>
      </c>
      <c r="H1515" t="str">
        <f t="shared" si="26"/>
        <v>GUARDIAN</v>
      </c>
    </row>
    <row r="1516" spans="5:8" x14ac:dyDescent="0.25">
      <c r="E1516" t="str">
        <f>"ADS201912244291"</f>
        <v>ADS201912244291</v>
      </c>
      <c r="F1516" t="str">
        <f t="shared" si="25"/>
        <v>GUARDIAN</v>
      </c>
      <c r="G1516" s="2">
        <v>0.53</v>
      </c>
      <c r="H1516" t="str">
        <f t="shared" si="26"/>
        <v>GUARDIAN</v>
      </c>
    </row>
    <row r="1517" spans="5:8" x14ac:dyDescent="0.25">
      <c r="E1517" t="str">
        <f>"GDC201912113947"</f>
        <v>GDC201912113947</v>
      </c>
      <c r="F1517" t="str">
        <f t="shared" si="25"/>
        <v>GUARDIAN</v>
      </c>
      <c r="G1517" s="2">
        <v>2818.68</v>
      </c>
      <c r="H1517" t="str">
        <f t="shared" si="26"/>
        <v>GUARDIAN</v>
      </c>
    </row>
    <row r="1518" spans="5:8" x14ac:dyDescent="0.25">
      <c r="E1518" t="str">
        <f>""</f>
        <v/>
      </c>
      <c r="F1518" t="str">
        <f>""</f>
        <v/>
      </c>
      <c r="H1518" t="str">
        <f t="shared" si="26"/>
        <v>GUARDIAN</v>
      </c>
    </row>
    <row r="1519" spans="5:8" x14ac:dyDescent="0.25">
      <c r="E1519" t="str">
        <f>""</f>
        <v/>
      </c>
      <c r="F1519" t="str">
        <f>""</f>
        <v/>
      </c>
      <c r="H1519" t="str">
        <f t="shared" si="26"/>
        <v>GUARDIAN</v>
      </c>
    </row>
    <row r="1520" spans="5:8" x14ac:dyDescent="0.25">
      <c r="E1520" t="str">
        <f>""</f>
        <v/>
      </c>
      <c r="F1520" t="str">
        <f>""</f>
        <v/>
      </c>
      <c r="H1520" t="str">
        <f t="shared" si="26"/>
        <v>GUARDIAN</v>
      </c>
    </row>
    <row r="1521" spans="5:8" x14ac:dyDescent="0.25">
      <c r="E1521" t="str">
        <f>""</f>
        <v/>
      </c>
      <c r="F1521" t="str">
        <f>""</f>
        <v/>
      </c>
      <c r="H1521" t="str">
        <f t="shared" si="26"/>
        <v>GUARDIAN</v>
      </c>
    </row>
    <row r="1522" spans="5:8" x14ac:dyDescent="0.25">
      <c r="E1522" t="str">
        <f>""</f>
        <v/>
      </c>
      <c r="F1522" t="str">
        <f>""</f>
        <v/>
      </c>
      <c r="H1522" t="str">
        <f t="shared" si="26"/>
        <v>GUARDIAN</v>
      </c>
    </row>
    <row r="1523" spans="5:8" x14ac:dyDescent="0.25">
      <c r="E1523" t="str">
        <f>""</f>
        <v/>
      </c>
      <c r="F1523" t="str">
        <f>""</f>
        <v/>
      </c>
      <c r="H1523" t="str">
        <f t="shared" si="26"/>
        <v>GUARDIAN</v>
      </c>
    </row>
    <row r="1524" spans="5:8" x14ac:dyDescent="0.25">
      <c r="E1524" t="str">
        <f>""</f>
        <v/>
      </c>
      <c r="F1524" t="str">
        <f>""</f>
        <v/>
      </c>
      <c r="H1524" t="str">
        <f t="shared" si="26"/>
        <v>GUARDIAN</v>
      </c>
    </row>
    <row r="1525" spans="5:8" x14ac:dyDescent="0.25">
      <c r="E1525" t="str">
        <f>""</f>
        <v/>
      </c>
      <c r="F1525" t="str">
        <f>""</f>
        <v/>
      </c>
      <c r="H1525" t="str">
        <f t="shared" si="26"/>
        <v>GUARDIAN</v>
      </c>
    </row>
    <row r="1526" spans="5:8" x14ac:dyDescent="0.25">
      <c r="E1526" t="str">
        <f>""</f>
        <v/>
      </c>
      <c r="F1526" t="str">
        <f>""</f>
        <v/>
      </c>
      <c r="H1526" t="str">
        <f t="shared" si="26"/>
        <v>GUARDIAN</v>
      </c>
    </row>
    <row r="1527" spans="5:8" x14ac:dyDescent="0.25">
      <c r="E1527" t="str">
        <f>""</f>
        <v/>
      </c>
      <c r="F1527" t="str">
        <f>""</f>
        <v/>
      </c>
      <c r="H1527" t="str">
        <f t="shared" si="26"/>
        <v>GUARDIAN</v>
      </c>
    </row>
    <row r="1528" spans="5:8" x14ac:dyDescent="0.25">
      <c r="E1528" t="str">
        <f>""</f>
        <v/>
      </c>
      <c r="F1528" t="str">
        <f>""</f>
        <v/>
      </c>
      <c r="H1528" t="str">
        <f t="shared" si="26"/>
        <v>GUARDIAN</v>
      </c>
    </row>
    <row r="1529" spans="5:8" x14ac:dyDescent="0.25">
      <c r="E1529" t="str">
        <f>""</f>
        <v/>
      </c>
      <c r="F1529" t="str">
        <f>""</f>
        <v/>
      </c>
      <c r="H1529" t="str">
        <f t="shared" si="26"/>
        <v>GUARDIAN</v>
      </c>
    </row>
    <row r="1530" spans="5:8" x14ac:dyDescent="0.25">
      <c r="E1530" t="str">
        <f>""</f>
        <v/>
      </c>
      <c r="F1530" t="str">
        <f>""</f>
        <v/>
      </c>
      <c r="H1530" t="str">
        <f t="shared" si="26"/>
        <v>GUARDIAN</v>
      </c>
    </row>
    <row r="1531" spans="5:8" x14ac:dyDescent="0.25">
      <c r="E1531" t="str">
        <f>""</f>
        <v/>
      </c>
      <c r="F1531" t="str">
        <f>""</f>
        <v/>
      </c>
      <c r="H1531" t="str">
        <f t="shared" si="26"/>
        <v>GUARDIAN</v>
      </c>
    </row>
    <row r="1532" spans="5:8" x14ac:dyDescent="0.25">
      <c r="E1532" t="str">
        <f>""</f>
        <v/>
      </c>
      <c r="F1532" t="str">
        <f>""</f>
        <v/>
      </c>
      <c r="H1532" t="str">
        <f t="shared" si="26"/>
        <v>GUARDIAN</v>
      </c>
    </row>
    <row r="1533" spans="5:8" x14ac:dyDescent="0.25">
      <c r="E1533" t="str">
        <f>""</f>
        <v/>
      </c>
      <c r="F1533" t="str">
        <f>""</f>
        <v/>
      </c>
      <c r="H1533" t="str">
        <f t="shared" si="26"/>
        <v>GUARDIAN</v>
      </c>
    </row>
    <row r="1534" spans="5:8" x14ac:dyDescent="0.25">
      <c r="E1534" t="str">
        <f>""</f>
        <v/>
      </c>
      <c r="F1534" t="str">
        <f>""</f>
        <v/>
      </c>
      <c r="H1534" t="str">
        <f t="shared" si="26"/>
        <v>GUARDIAN</v>
      </c>
    </row>
    <row r="1535" spans="5:8" x14ac:dyDescent="0.25">
      <c r="E1535" t="str">
        <f>""</f>
        <v/>
      </c>
      <c r="F1535" t="str">
        <f>""</f>
        <v/>
      </c>
      <c r="H1535" t="str">
        <f t="shared" si="26"/>
        <v>GUARDIAN</v>
      </c>
    </row>
    <row r="1536" spans="5:8" x14ac:dyDescent="0.25">
      <c r="E1536" t="str">
        <f>""</f>
        <v/>
      </c>
      <c r="F1536" t="str">
        <f>""</f>
        <v/>
      </c>
      <c r="H1536" t="str">
        <f t="shared" si="26"/>
        <v>GUARDIAN</v>
      </c>
    </row>
    <row r="1537" spans="5:8" x14ac:dyDescent="0.25">
      <c r="E1537" t="str">
        <f>""</f>
        <v/>
      </c>
      <c r="F1537" t="str">
        <f>""</f>
        <v/>
      </c>
      <c r="H1537" t="str">
        <f t="shared" si="26"/>
        <v>GUARDIAN</v>
      </c>
    </row>
    <row r="1538" spans="5:8" x14ac:dyDescent="0.25">
      <c r="E1538" t="str">
        <f>""</f>
        <v/>
      </c>
      <c r="F1538" t="str">
        <f>""</f>
        <v/>
      </c>
      <c r="H1538" t="str">
        <f t="shared" si="26"/>
        <v>GUARDIAN</v>
      </c>
    </row>
    <row r="1539" spans="5:8" x14ac:dyDescent="0.25">
      <c r="E1539" t="str">
        <f>""</f>
        <v/>
      </c>
      <c r="F1539" t="str">
        <f>""</f>
        <v/>
      </c>
      <c r="H1539" t="str">
        <f t="shared" si="26"/>
        <v>GUARDIAN</v>
      </c>
    </row>
    <row r="1540" spans="5:8" x14ac:dyDescent="0.25">
      <c r="E1540" t="str">
        <f>""</f>
        <v/>
      </c>
      <c r="F1540" t="str">
        <f>""</f>
        <v/>
      </c>
      <c r="H1540" t="str">
        <f t="shared" si="26"/>
        <v>GUARDIAN</v>
      </c>
    </row>
    <row r="1541" spans="5:8" x14ac:dyDescent="0.25">
      <c r="E1541" t="str">
        <f>""</f>
        <v/>
      </c>
      <c r="F1541" t="str">
        <f>""</f>
        <v/>
      </c>
      <c r="H1541" t="str">
        <f t="shared" si="26"/>
        <v>GUARDIAN</v>
      </c>
    </row>
    <row r="1542" spans="5:8" x14ac:dyDescent="0.25">
      <c r="E1542" t="str">
        <f>""</f>
        <v/>
      </c>
      <c r="F1542" t="str">
        <f>""</f>
        <v/>
      </c>
      <c r="H1542" t="str">
        <f t="shared" si="26"/>
        <v>GUARDIAN</v>
      </c>
    </row>
    <row r="1543" spans="5:8" x14ac:dyDescent="0.25">
      <c r="E1543" t="str">
        <f>""</f>
        <v/>
      </c>
      <c r="F1543" t="str">
        <f>""</f>
        <v/>
      </c>
      <c r="H1543" t="str">
        <f t="shared" si="26"/>
        <v>GUARDIAN</v>
      </c>
    </row>
    <row r="1544" spans="5:8" x14ac:dyDescent="0.25">
      <c r="E1544" t="str">
        <f>""</f>
        <v/>
      </c>
      <c r="F1544" t="str">
        <f>""</f>
        <v/>
      </c>
      <c r="H1544" t="str">
        <f t="shared" si="26"/>
        <v>GUARDIAN</v>
      </c>
    </row>
    <row r="1545" spans="5:8" x14ac:dyDescent="0.25">
      <c r="E1545" t="str">
        <f>""</f>
        <v/>
      </c>
      <c r="F1545" t="str">
        <f>""</f>
        <v/>
      </c>
      <c r="H1545" t="str">
        <f t="shared" si="26"/>
        <v>GUARDIAN</v>
      </c>
    </row>
    <row r="1546" spans="5:8" x14ac:dyDescent="0.25">
      <c r="E1546" t="str">
        <f>""</f>
        <v/>
      </c>
      <c r="F1546" t="str">
        <f>""</f>
        <v/>
      </c>
      <c r="H1546" t="str">
        <f t="shared" si="26"/>
        <v>GUARDIAN</v>
      </c>
    </row>
    <row r="1547" spans="5:8" x14ac:dyDescent="0.25">
      <c r="E1547" t="str">
        <f>""</f>
        <v/>
      </c>
      <c r="F1547" t="str">
        <f>""</f>
        <v/>
      </c>
      <c r="H1547" t="str">
        <f t="shared" si="26"/>
        <v>GUARDIAN</v>
      </c>
    </row>
    <row r="1548" spans="5:8" x14ac:dyDescent="0.25">
      <c r="E1548" t="str">
        <f>"GDC201912113948"</f>
        <v>GDC201912113948</v>
      </c>
      <c r="F1548" t="str">
        <f>"GUARDIAN"</f>
        <v>GUARDIAN</v>
      </c>
      <c r="G1548" s="2">
        <v>135.84</v>
      </c>
      <c r="H1548" t="str">
        <f t="shared" si="26"/>
        <v>GUARDIAN</v>
      </c>
    </row>
    <row r="1549" spans="5:8" x14ac:dyDescent="0.25">
      <c r="E1549" t="str">
        <f>""</f>
        <v/>
      </c>
      <c r="F1549" t="str">
        <f>""</f>
        <v/>
      </c>
      <c r="H1549" t="str">
        <f t="shared" si="26"/>
        <v>GUARDIAN</v>
      </c>
    </row>
    <row r="1550" spans="5:8" x14ac:dyDescent="0.25">
      <c r="E1550" t="str">
        <f>"GDC201912244290"</f>
        <v>GDC201912244290</v>
      </c>
      <c r="F1550" t="str">
        <f>"GUARDIAN"</f>
        <v>GUARDIAN</v>
      </c>
      <c r="G1550" s="2">
        <v>2818.68</v>
      </c>
      <c r="H1550" t="str">
        <f t="shared" si="26"/>
        <v>GUARDIAN</v>
      </c>
    </row>
    <row r="1551" spans="5:8" x14ac:dyDescent="0.25">
      <c r="E1551" t="str">
        <f>""</f>
        <v/>
      </c>
      <c r="F1551" t="str">
        <f>""</f>
        <v/>
      </c>
      <c r="H1551" t="str">
        <f t="shared" si="26"/>
        <v>GUARDIAN</v>
      </c>
    </row>
    <row r="1552" spans="5:8" x14ac:dyDescent="0.25">
      <c r="E1552" t="str">
        <f>""</f>
        <v/>
      </c>
      <c r="F1552" t="str">
        <f>""</f>
        <v/>
      </c>
      <c r="H1552" t="str">
        <f t="shared" si="26"/>
        <v>GUARDIAN</v>
      </c>
    </row>
    <row r="1553" spans="5:8" x14ac:dyDescent="0.25">
      <c r="E1553" t="str">
        <f>""</f>
        <v/>
      </c>
      <c r="F1553" t="str">
        <f>""</f>
        <v/>
      </c>
      <c r="H1553" t="str">
        <f t="shared" si="26"/>
        <v>GUARDIAN</v>
      </c>
    </row>
    <row r="1554" spans="5:8" x14ac:dyDescent="0.25">
      <c r="E1554" t="str">
        <f>""</f>
        <v/>
      </c>
      <c r="F1554" t="str">
        <f>""</f>
        <v/>
      </c>
      <c r="H1554" t="str">
        <f t="shared" si="26"/>
        <v>GUARDIAN</v>
      </c>
    </row>
    <row r="1555" spans="5:8" x14ac:dyDescent="0.25">
      <c r="E1555" t="str">
        <f>""</f>
        <v/>
      </c>
      <c r="F1555" t="str">
        <f>""</f>
        <v/>
      </c>
      <c r="H1555" t="str">
        <f t="shared" si="26"/>
        <v>GUARDIAN</v>
      </c>
    </row>
    <row r="1556" spans="5:8" x14ac:dyDescent="0.25">
      <c r="E1556" t="str">
        <f>""</f>
        <v/>
      </c>
      <c r="F1556" t="str">
        <f>""</f>
        <v/>
      </c>
      <c r="H1556" t="str">
        <f t="shared" si="26"/>
        <v>GUARDIAN</v>
      </c>
    </row>
    <row r="1557" spans="5:8" x14ac:dyDescent="0.25">
      <c r="E1557" t="str">
        <f>""</f>
        <v/>
      </c>
      <c r="F1557" t="str">
        <f>""</f>
        <v/>
      </c>
      <c r="H1557" t="str">
        <f t="shared" si="26"/>
        <v>GUARDIAN</v>
      </c>
    </row>
    <row r="1558" spans="5:8" x14ac:dyDescent="0.25">
      <c r="E1558" t="str">
        <f>""</f>
        <v/>
      </c>
      <c r="F1558" t="str">
        <f>""</f>
        <v/>
      </c>
      <c r="H1558" t="str">
        <f t="shared" si="26"/>
        <v>GUARDIAN</v>
      </c>
    </row>
    <row r="1559" spans="5:8" x14ac:dyDescent="0.25">
      <c r="E1559" t="str">
        <f>""</f>
        <v/>
      </c>
      <c r="F1559" t="str">
        <f>""</f>
        <v/>
      </c>
      <c r="H1559" t="str">
        <f t="shared" si="26"/>
        <v>GUARDIAN</v>
      </c>
    </row>
    <row r="1560" spans="5:8" x14ac:dyDescent="0.25">
      <c r="E1560" t="str">
        <f>""</f>
        <v/>
      </c>
      <c r="F1560" t="str">
        <f>""</f>
        <v/>
      </c>
      <c r="H1560" t="str">
        <f t="shared" si="26"/>
        <v>GUARDIAN</v>
      </c>
    </row>
    <row r="1561" spans="5:8" x14ac:dyDescent="0.25">
      <c r="E1561" t="str">
        <f>""</f>
        <v/>
      </c>
      <c r="F1561" t="str">
        <f>""</f>
        <v/>
      </c>
      <c r="H1561" t="str">
        <f t="shared" si="26"/>
        <v>GUARDIAN</v>
      </c>
    </row>
    <row r="1562" spans="5:8" x14ac:dyDescent="0.25">
      <c r="E1562" t="str">
        <f>""</f>
        <v/>
      </c>
      <c r="F1562" t="str">
        <f>""</f>
        <v/>
      </c>
      <c r="H1562" t="str">
        <f t="shared" si="26"/>
        <v>GUARDIAN</v>
      </c>
    </row>
    <row r="1563" spans="5:8" x14ac:dyDescent="0.25">
      <c r="E1563" t="str">
        <f>""</f>
        <v/>
      </c>
      <c r="F1563" t="str">
        <f>""</f>
        <v/>
      </c>
      <c r="H1563" t="str">
        <f t="shared" si="26"/>
        <v>GUARDIAN</v>
      </c>
    </row>
    <row r="1564" spans="5:8" x14ac:dyDescent="0.25">
      <c r="E1564" t="str">
        <f>""</f>
        <v/>
      </c>
      <c r="F1564" t="str">
        <f>""</f>
        <v/>
      </c>
      <c r="H1564" t="str">
        <f t="shared" si="26"/>
        <v>GUARDIAN</v>
      </c>
    </row>
    <row r="1565" spans="5:8" x14ac:dyDescent="0.25">
      <c r="E1565" t="str">
        <f>""</f>
        <v/>
      </c>
      <c r="F1565" t="str">
        <f>""</f>
        <v/>
      </c>
      <c r="H1565" t="str">
        <f t="shared" si="26"/>
        <v>GUARDIAN</v>
      </c>
    </row>
    <row r="1566" spans="5:8" x14ac:dyDescent="0.25">
      <c r="E1566" t="str">
        <f>""</f>
        <v/>
      </c>
      <c r="F1566" t="str">
        <f>""</f>
        <v/>
      </c>
      <c r="H1566" t="str">
        <f t="shared" si="26"/>
        <v>GUARDIAN</v>
      </c>
    </row>
    <row r="1567" spans="5:8" x14ac:dyDescent="0.25">
      <c r="E1567" t="str">
        <f>""</f>
        <v/>
      </c>
      <c r="F1567" t="str">
        <f>""</f>
        <v/>
      </c>
      <c r="H1567" t="str">
        <f t="shared" si="26"/>
        <v>GUARDIAN</v>
      </c>
    </row>
    <row r="1568" spans="5:8" x14ac:dyDescent="0.25">
      <c r="E1568" t="str">
        <f>""</f>
        <v/>
      </c>
      <c r="F1568" t="str">
        <f>""</f>
        <v/>
      </c>
      <c r="H1568" t="str">
        <f t="shared" si="26"/>
        <v>GUARDIAN</v>
      </c>
    </row>
    <row r="1569" spans="5:8" x14ac:dyDescent="0.25">
      <c r="E1569" t="str">
        <f>""</f>
        <v/>
      </c>
      <c r="F1569" t="str">
        <f>""</f>
        <v/>
      </c>
      <c r="H1569" t="str">
        <f t="shared" ref="H1569:H1632" si="27">"GUARDIAN"</f>
        <v>GUARDIAN</v>
      </c>
    </row>
    <row r="1570" spans="5:8" x14ac:dyDescent="0.25">
      <c r="E1570" t="str">
        <f>""</f>
        <v/>
      </c>
      <c r="F1570" t="str">
        <f>""</f>
        <v/>
      </c>
      <c r="H1570" t="str">
        <f t="shared" si="27"/>
        <v>GUARDIAN</v>
      </c>
    </row>
    <row r="1571" spans="5:8" x14ac:dyDescent="0.25">
      <c r="E1571" t="str">
        <f>""</f>
        <v/>
      </c>
      <c r="F1571" t="str">
        <f>""</f>
        <v/>
      </c>
      <c r="H1571" t="str">
        <f t="shared" si="27"/>
        <v>GUARDIAN</v>
      </c>
    </row>
    <row r="1572" spans="5:8" x14ac:dyDescent="0.25">
      <c r="E1572" t="str">
        <f>""</f>
        <v/>
      </c>
      <c r="F1572" t="str">
        <f>""</f>
        <v/>
      </c>
      <c r="H1572" t="str">
        <f t="shared" si="27"/>
        <v>GUARDIAN</v>
      </c>
    </row>
    <row r="1573" spans="5:8" x14ac:dyDescent="0.25">
      <c r="E1573" t="str">
        <f>""</f>
        <v/>
      </c>
      <c r="F1573" t="str">
        <f>""</f>
        <v/>
      </c>
      <c r="H1573" t="str">
        <f t="shared" si="27"/>
        <v>GUARDIAN</v>
      </c>
    </row>
    <row r="1574" spans="5:8" x14ac:dyDescent="0.25">
      <c r="E1574" t="str">
        <f>""</f>
        <v/>
      </c>
      <c r="F1574" t="str">
        <f>""</f>
        <v/>
      </c>
      <c r="H1574" t="str">
        <f t="shared" si="27"/>
        <v>GUARDIAN</v>
      </c>
    </row>
    <row r="1575" spans="5:8" x14ac:dyDescent="0.25">
      <c r="E1575" t="str">
        <f>""</f>
        <v/>
      </c>
      <c r="F1575" t="str">
        <f>""</f>
        <v/>
      </c>
      <c r="H1575" t="str">
        <f t="shared" si="27"/>
        <v>GUARDIAN</v>
      </c>
    </row>
    <row r="1576" spans="5:8" x14ac:dyDescent="0.25">
      <c r="E1576" t="str">
        <f>""</f>
        <v/>
      </c>
      <c r="F1576" t="str">
        <f>""</f>
        <v/>
      </c>
      <c r="H1576" t="str">
        <f t="shared" si="27"/>
        <v>GUARDIAN</v>
      </c>
    </row>
    <row r="1577" spans="5:8" x14ac:dyDescent="0.25">
      <c r="E1577" t="str">
        <f>""</f>
        <v/>
      </c>
      <c r="F1577" t="str">
        <f>""</f>
        <v/>
      </c>
      <c r="H1577" t="str">
        <f t="shared" si="27"/>
        <v>GUARDIAN</v>
      </c>
    </row>
    <row r="1578" spans="5:8" x14ac:dyDescent="0.25">
      <c r="E1578" t="str">
        <f>""</f>
        <v/>
      </c>
      <c r="F1578" t="str">
        <f>""</f>
        <v/>
      </c>
      <c r="H1578" t="str">
        <f t="shared" si="27"/>
        <v>GUARDIAN</v>
      </c>
    </row>
    <row r="1579" spans="5:8" x14ac:dyDescent="0.25">
      <c r="E1579" t="str">
        <f>""</f>
        <v/>
      </c>
      <c r="F1579" t="str">
        <f>""</f>
        <v/>
      </c>
      <c r="H1579" t="str">
        <f t="shared" si="27"/>
        <v>GUARDIAN</v>
      </c>
    </row>
    <row r="1580" spans="5:8" x14ac:dyDescent="0.25">
      <c r="E1580" t="str">
        <f>""</f>
        <v/>
      </c>
      <c r="F1580" t="str">
        <f>""</f>
        <v/>
      </c>
      <c r="H1580" t="str">
        <f t="shared" si="27"/>
        <v>GUARDIAN</v>
      </c>
    </row>
    <row r="1581" spans="5:8" x14ac:dyDescent="0.25">
      <c r="E1581" t="str">
        <f>"GDC201912244291"</f>
        <v>GDC201912244291</v>
      </c>
      <c r="F1581" t="str">
        <f>"GUARDIAN"</f>
        <v>GUARDIAN</v>
      </c>
      <c r="G1581" s="2">
        <v>135.84</v>
      </c>
      <c r="H1581" t="str">
        <f t="shared" si="27"/>
        <v>GUARDIAN</v>
      </c>
    </row>
    <row r="1582" spans="5:8" x14ac:dyDescent="0.25">
      <c r="E1582" t="str">
        <f>""</f>
        <v/>
      </c>
      <c r="F1582" t="str">
        <f>""</f>
        <v/>
      </c>
      <c r="H1582" t="str">
        <f t="shared" si="27"/>
        <v>GUARDIAN</v>
      </c>
    </row>
    <row r="1583" spans="5:8" x14ac:dyDescent="0.25">
      <c r="E1583" t="str">
        <f>"GDE201912113947"</f>
        <v>GDE201912113947</v>
      </c>
      <c r="F1583" t="str">
        <f>"GUARDIAN"</f>
        <v>GUARDIAN</v>
      </c>
      <c r="G1583" s="2">
        <v>4370.76</v>
      </c>
      <c r="H1583" t="str">
        <f t="shared" si="27"/>
        <v>GUARDIAN</v>
      </c>
    </row>
    <row r="1584" spans="5:8" x14ac:dyDescent="0.25">
      <c r="E1584" t="str">
        <f>""</f>
        <v/>
      </c>
      <c r="F1584" t="str">
        <f>""</f>
        <v/>
      </c>
      <c r="H1584" t="str">
        <f t="shared" si="27"/>
        <v>GUARDIAN</v>
      </c>
    </row>
    <row r="1585" spans="5:8" x14ac:dyDescent="0.25">
      <c r="E1585" t="str">
        <f>""</f>
        <v/>
      </c>
      <c r="F1585" t="str">
        <f>""</f>
        <v/>
      </c>
      <c r="H1585" t="str">
        <f t="shared" si="27"/>
        <v>GUARDIAN</v>
      </c>
    </row>
    <row r="1586" spans="5:8" x14ac:dyDescent="0.25">
      <c r="E1586" t="str">
        <f>""</f>
        <v/>
      </c>
      <c r="F1586" t="str">
        <f>""</f>
        <v/>
      </c>
      <c r="H1586" t="str">
        <f t="shared" si="27"/>
        <v>GUARDIAN</v>
      </c>
    </row>
    <row r="1587" spans="5:8" x14ac:dyDescent="0.25">
      <c r="E1587" t="str">
        <f>""</f>
        <v/>
      </c>
      <c r="F1587" t="str">
        <f>""</f>
        <v/>
      </c>
      <c r="H1587" t="str">
        <f t="shared" si="27"/>
        <v>GUARDIAN</v>
      </c>
    </row>
    <row r="1588" spans="5:8" x14ac:dyDescent="0.25">
      <c r="E1588" t="str">
        <f>""</f>
        <v/>
      </c>
      <c r="F1588" t="str">
        <f>""</f>
        <v/>
      </c>
      <c r="H1588" t="str">
        <f t="shared" si="27"/>
        <v>GUARDIAN</v>
      </c>
    </row>
    <row r="1589" spans="5:8" x14ac:dyDescent="0.25">
      <c r="E1589" t="str">
        <f>""</f>
        <v/>
      </c>
      <c r="F1589" t="str">
        <f>""</f>
        <v/>
      </c>
      <c r="H1589" t="str">
        <f t="shared" si="27"/>
        <v>GUARDIAN</v>
      </c>
    </row>
    <row r="1590" spans="5:8" x14ac:dyDescent="0.25">
      <c r="E1590" t="str">
        <f>""</f>
        <v/>
      </c>
      <c r="F1590" t="str">
        <f>""</f>
        <v/>
      </c>
      <c r="H1590" t="str">
        <f t="shared" si="27"/>
        <v>GUARDIAN</v>
      </c>
    </row>
    <row r="1591" spans="5:8" x14ac:dyDescent="0.25">
      <c r="E1591" t="str">
        <f>""</f>
        <v/>
      </c>
      <c r="F1591" t="str">
        <f>""</f>
        <v/>
      </c>
      <c r="H1591" t="str">
        <f t="shared" si="27"/>
        <v>GUARDIAN</v>
      </c>
    </row>
    <row r="1592" spans="5:8" x14ac:dyDescent="0.25">
      <c r="E1592" t="str">
        <f>""</f>
        <v/>
      </c>
      <c r="F1592" t="str">
        <f>""</f>
        <v/>
      </c>
      <c r="H1592" t="str">
        <f t="shared" si="27"/>
        <v>GUARDIAN</v>
      </c>
    </row>
    <row r="1593" spans="5:8" x14ac:dyDescent="0.25">
      <c r="E1593" t="str">
        <f>""</f>
        <v/>
      </c>
      <c r="F1593" t="str">
        <f>""</f>
        <v/>
      </c>
      <c r="H1593" t="str">
        <f t="shared" si="27"/>
        <v>GUARDIAN</v>
      </c>
    </row>
    <row r="1594" spans="5:8" x14ac:dyDescent="0.25">
      <c r="E1594" t="str">
        <f>""</f>
        <v/>
      </c>
      <c r="F1594" t="str">
        <f>""</f>
        <v/>
      </c>
      <c r="H1594" t="str">
        <f t="shared" si="27"/>
        <v>GUARDIAN</v>
      </c>
    </row>
    <row r="1595" spans="5:8" x14ac:dyDescent="0.25">
      <c r="E1595" t="str">
        <f>""</f>
        <v/>
      </c>
      <c r="F1595" t="str">
        <f>""</f>
        <v/>
      </c>
      <c r="H1595" t="str">
        <f t="shared" si="27"/>
        <v>GUARDIAN</v>
      </c>
    </row>
    <row r="1596" spans="5:8" x14ac:dyDescent="0.25">
      <c r="E1596" t="str">
        <f>""</f>
        <v/>
      </c>
      <c r="F1596" t="str">
        <f>""</f>
        <v/>
      </c>
      <c r="H1596" t="str">
        <f t="shared" si="27"/>
        <v>GUARDIAN</v>
      </c>
    </row>
    <row r="1597" spans="5:8" x14ac:dyDescent="0.25">
      <c r="E1597" t="str">
        <f>""</f>
        <v/>
      </c>
      <c r="F1597" t="str">
        <f>""</f>
        <v/>
      </c>
      <c r="H1597" t="str">
        <f t="shared" si="27"/>
        <v>GUARDIAN</v>
      </c>
    </row>
    <row r="1598" spans="5:8" x14ac:dyDescent="0.25">
      <c r="E1598" t="str">
        <f>""</f>
        <v/>
      </c>
      <c r="F1598" t="str">
        <f>""</f>
        <v/>
      </c>
      <c r="H1598" t="str">
        <f t="shared" si="27"/>
        <v>GUARDIAN</v>
      </c>
    </row>
    <row r="1599" spans="5:8" x14ac:dyDescent="0.25">
      <c r="E1599" t="str">
        <f>""</f>
        <v/>
      </c>
      <c r="F1599" t="str">
        <f>""</f>
        <v/>
      </c>
      <c r="H1599" t="str">
        <f t="shared" si="27"/>
        <v>GUARDIAN</v>
      </c>
    </row>
    <row r="1600" spans="5:8" x14ac:dyDescent="0.25">
      <c r="E1600" t="str">
        <f>""</f>
        <v/>
      </c>
      <c r="F1600" t="str">
        <f>""</f>
        <v/>
      </c>
      <c r="H1600" t="str">
        <f t="shared" si="27"/>
        <v>GUARDIAN</v>
      </c>
    </row>
    <row r="1601" spans="5:8" x14ac:dyDescent="0.25">
      <c r="E1601" t="str">
        <f>""</f>
        <v/>
      </c>
      <c r="F1601" t="str">
        <f>""</f>
        <v/>
      </c>
      <c r="H1601" t="str">
        <f t="shared" si="27"/>
        <v>GUARDIAN</v>
      </c>
    </row>
    <row r="1602" spans="5:8" x14ac:dyDescent="0.25">
      <c r="E1602" t="str">
        <f>""</f>
        <v/>
      </c>
      <c r="F1602" t="str">
        <f>""</f>
        <v/>
      </c>
      <c r="H1602" t="str">
        <f t="shared" si="27"/>
        <v>GUARDIAN</v>
      </c>
    </row>
    <row r="1603" spans="5:8" x14ac:dyDescent="0.25">
      <c r="E1603" t="str">
        <f>""</f>
        <v/>
      </c>
      <c r="F1603" t="str">
        <f>""</f>
        <v/>
      </c>
      <c r="H1603" t="str">
        <f t="shared" si="27"/>
        <v>GUARDIAN</v>
      </c>
    </row>
    <row r="1604" spans="5:8" x14ac:dyDescent="0.25">
      <c r="E1604" t="str">
        <f>""</f>
        <v/>
      </c>
      <c r="F1604" t="str">
        <f>""</f>
        <v/>
      </c>
      <c r="H1604" t="str">
        <f t="shared" si="27"/>
        <v>GUARDIAN</v>
      </c>
    </row>
    <row r="1605" spans="5:8" x14ac:dyDescent="0.25">
      <c r="E1605" t="str">
        <f>""</f>
        <v/>
      </c>
      <c r="F1605" t="str">
        <f>""</f>
        <v/>
      </c>
      <c r="H1605" t="str">
        <f t="shared" si="27"/>
        <v>GUARDIAN</v>
      </c>
    </row>
    <row r="1606" spans="5:8" x14ac:dyDescent="0.25">
      <c r="E1606" t="str">
        <f>""</f>
        <v/>
      </c>
      <c r="F1606" t="str">
        <f>""</f>
        <v/>
      </c>
      <c r="H1606" t="str">
        <f t="shared" si="27"/>
        <v>GUARDIAN</v>
      </c>
    </row>
    <row r="1607" spans="5:8" x14ac:dyDescent="0.25">
      <c r="E1607" t="str">
        <f>""</f>
        <v/>
      </c>
      <c r="F1607" t="str">
        <f>""</f>
        <v/>
      </c>
      <c r="H1607" t="str">
        <f t="shared" si="27"/>
        <v>GUARDIAN</v>
      </c>
    </row>
    <row r="1608" spans="5:8" x14ac:dyDescent="0.25">
      <c r="E1608" t="str">
        <f>""</f>
        <v/>
      </c>
      <c r="F1608" t="str">
        <f>""</f>
        <v/>
      </c>
      <c r="H1608" t="str">
        <f t="shared" si="27"/>
        <v>GUARDIAN</v>
      </c>
    </row>
    <row r="1609" spans="5:8" x14ac:dyDescent="0.25">
      <c r="E1609" t="str">
        <f>""</f>
        <v/>
      </c>
      <c r="F1609" t="str">
        <f>""</f>
        <v/>
      </c>
      <c r="H1609" t="str">
        <f t="shared" si="27"/>
        <v>GUARDIAN</v>
      </c>
    </row>
    <row r="1610" spans="5:8" x14ac:dyDescent="0.25">
      <c r="E1610" t="str">
        <f>""</f>
        <v/>
      </c>
      <c r="F1610" t="str">
        <f>""</f>
        <v/>
      </c>
      <c r="H1610" t="str">
        <f t="shared" si="27"/>
        <v>GUARDIAN</v>
      </c>
    </row>
    <row r="1611" spans="5:8" x14ac:dyDescent="0.25">
      <c r="E1611" t="str">
        <f>""</f>
        <v/>
      </c>
      <c r="F1611" t="str">
        <f>""</f>
        <v/>
      </c>
      <c r="H1611" t="str">
        <f t="shared" si="27"/>
        <v>GUARDIAN</v>
      </c>
    </row>
    <row r="1612" spans="5:8" x14ac:dyDescent="0.25">
      <c r="E1612" t="str">
        <f>""</f>
        <v/>
      </c>
      <c r="F1612" t="str">
        <f>""</f>
        <v/>
      </c>
      <c r="H1612" t="str">
        <f t="shared" si="27"/>
        <v>GUARDIAN</v>
      </c>
    </row>
    <row r="1613" spans="5:8" x14ac:dyDescent="0.25">
      <c r="E1613" t="str">
        <f>""</f>
        <v/>
      </c>
      <c r="F1613" t="str">
        <f>""</f>
        <v/>
      </c>
      <c r="H1613" t="str">
        <f t="shared" si="27"/>
        <v>GUARDIAN</v>
      </c>
    </row>
    <row r="1614" spans="5:8" x14ac:dyDescent="0.25">
      <c r="E1614" t="str">
        <f>""</f>
        <v/>
      </c>
      <c r="F1614" t="str">
        <f>""</f>
        <v/>
      </c>
      <c r="H1614" t="str">
        <f t="shared" si="27"/>
        <v>GUARDIAN</v>
      </c>
    </row>
    <row r="1615" spans="5:8" x14ac:dyDescent="0.25">
      <c r="E1615" t="str">
        <f>""</f>
        <v/>
      </c>
      <c r="F1615" t="str">
        <f>""</f>
        <v/>
      </c>
      <c r="H1615" t="str">
        <f t="shared" si="27"/>
        <v>GUARDIAN</v>
      </c>
    </row>
    <row r="1616" spans="5:8" x14ac:dyDescent="0.25">
      <c r="E1616" t="str">
        <f>""</f>
        <v/>
      </c>
      <c r="F1616" t="str">
        <f>""</f>
        <v/>
      </c>
      <c r="H1616" t="str">
        <f t="shared" si="27"/>
        <v>GUARDIAN</v>
      </c>
    </row>
    <row r="1617" spans="5:8" x14ac:dyDescent="0.25">
      <c r="E1617" t="str">
        <f>""</f>
        <v/>
      </c>
      <c r="F1617" t="str">
        <f>""</f>
        <v/>
      </c>
      <c r="H1617" t="str">
        <f t="shared" si="27"/>
        <v>GUARDIAN</v>
      </c>
    </row>
    <row r="1618" spans="5:8" x14ac:dyDescent="0.25">
      <c r="E1618" t="str">
        <f>""</f>
        <v/>
      </c>
      <c r="F1618" t="str">
        <f>""</f>
        <v/>
      </c>
      <c r="H1618" t="str">
        <f t="shared" si="27"/>
        <v>GUARDIAN</v>
      </c>
    </row>
    <row r="1619" spans="5:8" x14ac:dyDescent="0.25">
      <c r="E1619" t="str">
        <f>""</f>
        <v/>
      </c>
      <c r="F1619" t="str">
        <f>""</f>
        <v/>
      </c>
      <c r="H1619" t="str">
        <f t="shared" si="27"/>
        <v>GUARDIAN</v>
      </c>
    </row>
    <row r="1620" spans="5:8" x14ac:dyDescent="0.25">
      <c r="E1620" t="str">
        <f>""</f>
        <v/>
      </c>
      <c r="F1620" t="str">
        <f>""</f>
        <v/>
      </c>
      <c r="H1620" t="str">
        <f t="shared" si="27"/>
        <v>GUARDIAN</v>
      </c>
    </row>
    <row r="1621" spans="5:8" x14ac:dyDescent="0.25">
      <c r="E1621" t="str">
        <f>""</f>
        <v/>
      </c>
      <c r="F1621" t="str">
        <f>""</f>
        <v/>
      </c>
      <c r="H1621" t="str">
        <f t="shared" si="27"/>
        <v>GUARDIAN</v>
      </c>
    </row>
    <row r="1622" spans="5:8" x14ac:dyDescent="0.25">
      <c r="E1622" t="str">
        <f>""</f>
        <v/>
      </c>
      <c r="F1622" t="str">
        <f>""</f>
        <v/>
      </c>
      <c r="H1622" t="str">
        <f t="shared" si="27"/>
        <v>GUARDIAN</v>
      </c>
    </row>
    <row r="1623" spans="5:8" x14ac:dyDescent="0.25">
      <c r="E1623" t="str">
        <f>""</f>
        <v/>
      </c>
      <c r="F1623" t="str">
        <f>""</f>
        <v/>
      </c>
      <c r="H1623" t="str">
        <f t="shared" si="27"/>
        <v>GUARDIAN</v>
      </c>
    </row>
    <row r="1624" spans="5:8" x14ac:dyDescent="0.25">
      <c r="E1624" t="str">
        <f>""</f>
        <v/>
      </c>
      <c r="F1624" t="str">
        <f>""</f>
        <v/>
      </c>
      <c r="H1624" t="str">
        <f t="shared" si="27"/>
        <v>GUARDIAN</v>
      </c>
    </row>
    <row r="1625" spans="5:8" x14ac:dyDescent="0.25">
      <c r="E1625" t="str">
        <f>""</f>
        <v/>
      </c>
      <c r="F1625" t="str">
        <f>""</f>
        <v/>
      </c>
      <c r="H1625" t="str">
        <f t="shared" si="27"/>
        <v>GUARDIAN</v>
      </c>
    </row>
    <row r="1626" spans="5:8" x14ac:dyDescent="0.25">
      <c r="E1626" t="str">
        <f>""</f>
        <v/>
      </c>
      <c r="F1626" t="str">
        <f>""</f>
        <v/>
      </c>
      <c r="H1626" t="str">
        <f t="shared" si="27"/>
        <v>GUARDIAN</v>
      </c>
    </row>
    <row r="1627" spans="5:8" x14ac:dyDescent="0.25">
      <c r="E1627" t="str">
        <f>""</f>
        <v/>
      </c>
      <c r="F1627" t="str">
        <f>""</f>
        <v/>
      </c>
      <c r="H1627" t="str">
        <f t="shared" si="27"/>
        <v>GUARDIAN</v>
      </c>
    </row>
    <row r="1628" spans="5:8" x14ac:dyDescent="0.25">
      <c r="E1628" t="str">
        <f>"GDE201912113948"</f>
        <v>GDE201912113948</v>
      </c>
      <c r="F1628" t="str">
        <f>"GUARDIAN"</f>
        <v>GUARDIAN</v>
      </c>
      <c r="G1628" s="2">
        <v>184.68</v>
      </c>
      <c r="H1628" t="str">
        <f t="shared" si="27"/>
        <v>GUARDIAN</v>
      </c>
    </row>
    <row r="1629" spans="5:8" x14ac:dyDescent="0.25">
      <c r="E1629" t="str">
        <f>"GDE201912244290"</f>
        <v>GDE201912244290</v>
      </c>
      <c r="F1629" t="str">
        <f>"GUARDIAN"</f>
        <v>GUARDIAN</v>
      </c>
      <c r="G1629" s="2">
        <v>4309.2</v>
      </c>
      <c r="H1629" t="str">
        <f t="shared" si="27"/>
        <v>GUARDIAN</v>
      </c>
    </row>
    <row r="1630" spans="5:8" x14ac:dyDescent="0.25">
      <c r="E1630" t="str">
        <f>""</f>
        <v/>
      </c>
      <c r="F1630" t="str">
        <f>""</f>
        <v/>
      </c>
      <c r="H1630" t="str">
        <f t="shared" si="27"/>
        <v>GUARDIAN</v>
      </c>
    </row>
    <row r="1631" spans="5:8" x14ac:dyDescent="0.25">
      <c r="E1631" t="str">
        <f>""</f>
        <v/>
      </c>
      <c r="F1631" t="str">
        <f>""</f>
        <v/>
      </c>
      <c r="H1631" t="str">
        <f t="shared" si="27"/>
        <v>GUARDIAN</v>
      </c>
    </row>
    <row r="1632" spans="5:8" x14ac:dyDescent="0.25">
      <c r="E1632" t="str">
        <f>""</f>
        <v/>
      </c>
      <c r="F1632" t="str">
        <f>""</f>
        <v/>
      </c>
      <c r="H1632" t="str">
        <f t="shared" si="27"/>
        <v>GUARDIAN</v>
      </c>
    </row>
    <row r="1633" spans="5:8" x14ac:dyDescent="0.25">
      <c r="E1633" t="str">
        <f>""</f>
        <v/>
      </c>
      <c r="F1633" t="str">
        <f>""</f>
        <v/>
      </c>
      <c r="H1633" t="str">
        <f t="shared" ref="H1633:H1696" si="28">"GUARDIAN"</f>
        <v>GUARDIAN</v>
      </c>
    </row>
    <row r="1634" spans="5:8" x14ac:dyDescent="0.25">
      <c r="E1634" t="str">
        <f>""</f>
        <v/>
      </c>
      <c r="F1634" t="str">
        <f>""</f>
        <v/>
      </c>
      <c r="H1634" t="str">
        <f t="shared" si="28"/>
        <v>GUARDIAN</v>
      </c>
    </row>
    <row r="1635" spans="5:8" x14ac:dyDescent="0.25">
      <c r="E1635" t="str">
        <f>""</f>
        <v/>
      </c>
      <c r="F1635" t="str">
        <f>""</f>
        <v/>
      </c>
      <c r="H1635" t="str">
        <f t="shared" si="28"/>
        <v>GUARDIAN</v>
      </c>
    </row>
    <row r="1636" spans="5:8" x14ac:dyDescent="0.25">
      <c r="E1636" t="str">
        <f>""</f>
        <v/>
      </c>
      <c r="F1636" t="str">
        <f>""</f>
        <v/>
      </c>
      <c r="H1636" t="str">
        <f t="shared" si="28"/>
        <v>GUARDIAN</v>
      </c>
    </row>
    <row r="1637" spans="5:8" x14ac:dyDescent="0.25">
      <c r="E1637" t="str">
        <f>""</f>
        <v/>
      </c>
      <c r="F1637" t="str">
        <f>""</f>
        <v/>
      </c>
      <c r="H1637" t="str">
        <f t="shared" si="28"/>
        <v>GUARDIAN</v>
      </c>
    </row>
    <row r="1638" spans="5:8" x14ac:dyDescent="0.25">
      <c r="E1638" t="str">
        <f>""</f>
        <v/>
      </c>
      <c r="F1638" t="str">
        <f>""</f>
        <v/>
      </c>
      <c r="H1638" t="str">
        <f t="shared" si="28"/>
        <v>GUARDIAN</v>
      </c>
    </row>
    <row r="1639" spans="5:8" x14ac:dyDescent="0.25">
      <c r="E1639" t="str">
        <f>""</f>
        <v/>
      </c>
      <c r="F1639" t="str">
        <f>""</f>
        <v/>
      </c>
      <c r="H1639" t="str">
        <f t="shared" si="28"/>
        <v>GUARDIAN</v>
      </c>
    </row>
    <row r="1640" spans="5:8" x14ac:dyDescent="0.25">
      <c r="E1640" t="str">
        <f>""</f>
        <v/>
      </c>
      <c r="F1640" t="str">
        <f>""</f>
        <v/>
      </c>
      <c r="H1640" t="str">
        <f t="shared" si="28"/>
        <v>GUARDIAN</v>
      </c>
    </row>
    <row r="1641" spans="5:8" x14ac:dyDescent="0.25">
      <c r="E1641" t="str">
        <f>""</f>
        <v/>
      </c>
      <c r="F1641" t="str">
        <f>""</f>
        <v/>
      </c>
      <c r="H1641" t="str">
        <f t="shared" si="28"/>
        <v>GUARDIAN</v>
      </c>
    </row>
    <row r="1642" spans="5:8" x14ac:dyDescent="0.25">
      <c r="E1642" t="str">
        <f>""</f>
        <v/>
      </c>
      <c r="F1642" t="str">
        <f>""</f>
        <v/>
      </c>
      <c r="H1642" t="str">
        <f t="shared" si="28"/>
        <v>GUARDIAN</v>
      </c>
    </row>
    <row r="1643" spans="5:8" x14ac:dyDescent="0.25">
      <c r="E1643" t="str">
        <f>""</f>
        <v/>
      </c>
      <c r="F1643" t="str">
        <f>""</f>
        <v/>
      </c>
      <c r="H1643" t="str">
        <f t="shared" si="28"/>
        <v>GUARDIAN</v>
      </c>
    </row>
    <row r="1644" spans="5:8" x14ac:dyDescent="0.25">
      <c r="E1644" t="str">
        <f>""</f>
        <v/>
      </c>
      <c r="F1644" t="str">
        <f>""</f>
        <v/>
      </c>
      <c r="H1644" t="str">
        <f t="shared" si="28"/>
        <v>GUARDIAN</v>
      </c>
    </row>
    <row r="1645" spans="5:8" x14ac:dyDescent="0.25">
      <c r="E1645" t="str">
        <f>""</f>
        <v/>
      </c>
      <c r="F1645" t="str">
        <f>""</f>
        <v/>
      </c>
      <c r="H1645" t="str">
        <f t="shared" si="28"/>
        <v>GUARDIAN</v>
      </c>
    </row>
    <row r="1646" spans="5:8" x14ac:dyDescent="0.25">
      <c r="E1646" t="str">
        <f>""</f>
        <v/>
      </c>
      <c r="F1646" t="str">
        <f>""</f>
        <v/>
      </c>
      <c r="H1646" t="str">
        <f t="shared" si="28"/>
        <v>GUARDIAN</v>
      </c>
    </row>
    <row r="1647" spans="5:8" x14ac:dyDescent="0.25">
      <c r="E1647" t="str">
        <f>""</f>
        <v/>
      </c>
      <c r="F1647" t="str">
        <f>""</f>
        <v/>
      </c>
      <c r="H1647" t="str">
        <f t="shared" si="28"/>
        <v>GUARDIAN</v>
      </c>
    </row>
    <row r="1648" spans="5:8" x14ac:dyDescent="0.25">
      <c r="E1648" t="str">
        <f>""</f>
        <v/>
      </c>
      <c r="F1648" t="str">
        <f>""</f>
        <v/>
      </c>
      <c r="H1648" t="str">
        <f t="shared" si="28"/>
        <v>GUARDIAN</v>
      </c>
    </row>
    <row r="1649" spans="5:8" x14ac:dyDescent="0.25">
      <c r="E1649" t="str">
        <f>""</f>
        <v/>
      </c>
      <c r="F1649" t="str">
        <f>""</f>
        <v/>
      </c>
      <c r="H1649" t="str">
        <f t="shared" si="28"/>
        <v>GUARDIAN</v>
      </c>
    </row>
    <row r="1650" spans="5:8" x14ac:dyDescent="0.25">
      <c r="E1650" t="str">
        <f>""</f>
        <v/>
      </c>
      <c r="F1650" t="str">
        <f>""</f>
        <v/>
      </c>
      <c r="H1650" t="str">
        <f t="shared" si="28"/>
        <v>GUARDIAN</v>
      </c>
    </row>
    <row r="1651" spans="5:8" x14ac:dyDescent="0.25">
      <c r="E1651" t="str">
        <f>""</f>
        <v/>
      </c>
      <c r="F1651" t="str">
        <f>""</f>
        <v/>
      </c>
      <c r="H1651" t="str">
        <f t="shared" si="28"/>
        <v>GUARDIAN</v>
      </c>
    </row>
    <row r="1652" spans="5:8" x14ac:dyDescent="0.25">
      <c r="E1652" t="str">
        <f>""</f>
        <v/>
      </c>
      <c r="F1652" t="str">
        <f>""</f>
        <v/>
      </c>
      <c r="H1652" t="str">
        <f t="shared" si="28"/>
        <v>GUARDIAN</v>
      </c>
    </row>
    <row r="1653" spans="5:8" x14ac:dyDescent="0.25">
      <c r="E1653" t="str">
        <f>""</f>
        <v/>
      </c>
      <c r="F1653" t="str">
        <f>""</f>
        <v/>
      </c>
      <c r="H1653" t="str">
        <f t="shared" si="28"/>
        <v>GUARDIAN</v>
      </c>
    </row>
    <row r="1654" spans="5:8" x14ac:dyDescent="0.25">
      <c r="E1654" t="str">
        <f>""</f>
        <v/>
      </c>
      <c r="F1654" t="str">
        <f>""</f>
        <v/>
      </c>
      <c r="H1654" t="str">
        <f t="shared" si="28"/>
        <v>GUARDIAN</v>
      </c>
    </row>
    <row r="1655" spans="5:8" x14ac:dyDescent="0.25">
      <c r="E1655" t="str">
        <f>""</f>
        <v/>
      </c>
      <c r="F1655" t="str">
        <f>""</f>
        <v/>
      </c>
      <c r="H1655" t="str">
        <f t="shared" si="28"/>
        <v>GUARDIAN</v>
      </c>
    </row>
    <row r="1656" spans="5:8" x14ac:dyDescent="0.25">
      <c r="E1656" t="str">
        <f>""</f>
        <v/>
      </c>
      <c r="F1656" t="str">
        <f>""</f>
        <v/>
      </c>
      <c r="H1656" t="str">
        <f t="shared" si="28"/>
        <v>GUARDIAN</v>
      </c>
    </row>
    <row r="1657" spans="5:8" x14ac:dyDescent="0.25">
      <c r="E1657" t="str">
        <f>""</f>
        <v/>
      </c>
      <c r="F1657" t="str">
        <f>""</f>
        <v/>
      </c>
      <c r="H1657" t="str">
        <f t="shared" si="28"/>
        <v>GUARDIAN</v>
      </c>
    </row>
    <row r="1658" spans="5:8" x14ac:dyDescent="0.25">
      <c r="E1658" t="str">
        <f>""</f>
        <v/>
      </c>
      <c r="F1658" t="str">
        <f>""</f>
        <v/>
      </c>
      <c r="H1658" t="str">
        <f t="shared" si="28"/>
        <v>GUARDIAN</v>
      </c>
    </row>
    <row r="1659" spans="5:8" x14ac:dyDescent="0.25">
      <c r="E1659" t="str">
        <f>""</f>
        <v/>
      </c>
      <c r="F1659" t="str">
        <f>""</f>
        <v/>
      </c>
      <c r="H1659" t="str">
        <f t="shared" si="28"/>
        <v>GUARDIAN</v>
      </c>
    </row>
    <row r="1660" spans="5:8" x14ac:dyDescent="0.25">
      <c r="E1660" t="str">
        <f>""</f>
        <v/>
      </c>
      <c r="F1660" t="str">
        <f>""</f>
        <v/>
      </c>
      <c r="H1660" t="str">
        <f t="shared" si="28"/>
        <v>GUARDIAN</v>
      </c>
    </row>
    <row r="1661" spans="5:8" x14ac:dyDescent="0.25">
      <c r="E1661" t="str">
        <f>""</f>
        <v/>
      </c>
      <c r="F1661" t="str">
        <f>""</f>
        <v/>
      </c>
      <c r="H1661" t="str">
        <f t="shared" si="28"/>
        <v>GUARDIAN</v>
      </c>
    </row>
    <row r="1662" spans="5:8" x14ac:dyDescent="0.25">
      <c r="E1662" t="str">
        <f>""</f>
        <v/>
      </c>
      <c r="F1662" t="str">
        <f>""</f>
        <v/>
      </c>
      <c r="H1662" t="str">
        <f t="shared" si="28"/>
        <v>GUARDIAN</v>
      </c>
    </row>
    <row r="1663" spans="5:8" x14ac:dyDescent="0.25">
      <c r="E1663" t="str">
        <f>""</f>
        <v/>
      </c>
      <c r="F1663" t="str">
        <f>""</f>
        <v/>
      </c>
      <c r="H1663" t="str">
        <f t="shared" si="28"/>
        <v>GUARDIAN</v>
      </c>
    </row>
    <row r="1664" spans="5:8" x14ac:dyDescent="0.25">
      <c r="E1664" t="str">
        <f>""</f>
        <v/>
      </c>
      <c r="F1664" t="str">
        <f>""</f>
        <v/>
      </c>
      <c r="H1664" t="str">
        <f t="shared" si="28"/>
        <v>GUARDIAN</v>
      </c>
    </row>
    <row r="1665" spans="5:8" x14ac:dyDescent="0.25">
      <c r="E1665" t="str">
        <f>""</f>
        <v/>
      </c>
      <c r="F1665" t="str">
        <f>""</f>
        <v/>
      </c>
      <c r="H1665" t="str">
        <f t="shared" si="28"/>
        <v>GUARDIAN</v>
      </c>
    </row>
    <row r="1666" spans="5:8" x14ac:dyDescent="0.25">
      <c r="E1666" t="str">
        <f>""</f>
        <v/>
      </c>
      <c r="F1666" t="str">
        <f>""</f>
        <v/>
      </c>
      <c r="H1666" t="str">
        <f t="shared" si="28"/>
        <v>GUARDIAN</v>
      </c>
    </row>
    <row r="1667" spans="5:8" x14ac:dyDescent="0.25">
      <c r="E1667" t="str">
        <f>""</f>
        <v/>
      </c>
      <c r="F1667" t="str">
        <f>""</f>
        <v/>
      </c>
      <c r="H1667" t="str">
        <f t="shared" si="28"/>
        <v>GUARDIAN</v>
      </c>
    </row>
    <row r="1668" spans="5:8" x14ac:dyDescent="0.25">
      <c r="E1668" t="str">
        <f>""</f>
        <v/>
      </c>
      <c r="F1668" t="str">
        <f>""</f>
        <v/>
      </c>
      <c r="H1668" t="str">
        <f t="shared" si="28"/>
        <v>GUARDIAN</v>
      </c>
    </row>
    <row r="1669" spans="5:8" x14ac:dyDescent="0.25">
      <c r="E1669" t="str">
        <f>""</f>
        <v/>
      </c>
      <c r="F1669" t="str">
        <f>""</f>
        <v/>
      </c>
      <c r="H1669" t="str">
        <f t="shared" si="28"/>
        <v>GUARDIAN</v>
      </c>
    </row>
    <row r="1670" spans="5:8" x14ac:dyDescent="0.25">
      <c r="E1670" t="str">
        <f>""</f>
        <v/>
      </c>
      <c r="F1670" t="str">
        <f>""</f>
        <v/>
      </c>
      <c r="H1670" t="str">
        <f t="shared" si="28"/>
        <v>GUARDIAN</v>
      </c>
    </row>
    <row r="1671" spans="5:8" x14ac:dyDescent="0.25">
      <c r="E1671" t="str">
        <f>""</f>
        <v/>
      </c>
      <c r="F1671" t="str">
        <f>""</f>
        <v/>
      </c>
      <c r="H1671" t="str">
        <f t="shared" si="28"/>
        <v>GUARDIAN</v>
      </c>
    </row>
    <row r="1672" spans="5:8" x14ac:dyDescent="0.25">
      <c r="E1672" t="str">
        <f>""</f>
        <v/>
      </c>
      <c r="F1672" t="str">
        <f>""</f>
        <v/>
      </c>
      <c r="H1672" t="str">
        <f t="shared" si="28"/>
        <v>GUARDIAN</v>
      </c>
    </row>
    <row r="1673" spans="5:8" x14ac:dyDescent="0.25">
      <c r="E1673" t="str">
        <f>""</f>
        <v/>
      </c>
      <c r="F1673" t="str">
        <f>""</f>
        <v/>
      </c>
      <c r="H1673" t="str">
        <f t="shared" si="28"/>
        <v>GUARDIAN</v>
      </c>
    </row>
    <row r="1674" spans="5:8" x14ac:dyDescent="0.25">
      <c r="E1674" t="str">
        <f>"GDE201912244291"</f>
        <v>GDE201912244291</v>
      </c>
      <c r="F1674" t="str">
        <f>"GUARDIAN"</f>
        <v>GUARDIAN</v>
      </c>
      <c r="G1674" s="2">
        <v>184.68</v>
      </c>
      <c r="H1674" t="str">
        <f t="shared" si="28"/>
        <v>GUARDIAN</v>
      </c>
    </row>
    <row r="1675" spans="5:8" x14ac:dyDescent="0.25">
      <c r="E1675" t="str">
        <f>"GDF201912113947"</f>
        <v>GDF201912113947</v>
      </c>
      <c r="F1675" t="str">
        <f>"GUARDIAN"</f>
        <v>GUARDIAN</v>
      </c>
      <c r="G1675" s="2">
        <v>2309.66</v>
      </c>
      <c r="H1675" t="str">
        <f t="shared" si="28"/>
        <v>GUARDIAN</v>
      </c>
    </row>
    <row r="1676" spans="5:8" x14ac:dyDescent="0.25">
      <c r="E1676" t="str">
        <f>""</f>
        <v/>
      </c>
      <c r="F1676" t="str">
        <f>""</f>
        <v/>
      </c>
      <c r="H1676" t="str">
        <f t="shared" si="28"/>
        <v>GUARDIAN</v>
      </c>
    </row>
    <row r="1677" spans="5:8" x14ac:dyDescent="0.25">
      <c r="E1677" t="str">
        <f>""</f>
        <v/>
      </c>
      <c r="F1677" t="str">
        <f>""</f>
        <v/>
      </c>
      <c r="H1677" t="str">
        <f t="shared" si="28"/>
        <v>GUARDIAN</v>
      </c>
    </row>
    <row r="1678" spans="5:8" x14ac:dyDescent="0.25">
      <c r="E1678" t="str">
        <f>""</f>
        <v/>
      </c>
      <c r="F1678" t="str">
        <f>""</f>
        <v/>
      </c>
      <c r="H1678" t="str">
        <f t="shared" si="28"/>
        <v>GUARDIAN</v>
      </c>
    </row>
    <row r="1679" spans="5:8" x14ac:dyDescent="0.25">
      <c r="E1679" t="str">
        <f>""</f>
        <v/>
      </c>
      <c r="F1679" t="str">
        <f>""</f>
        <v/>
      </c>
      <c r="H1679" t="str">
        <f t="shared" si="28"/>
        <v>GUARDIAN</v>
      </c>
    </row>
    <row r="1680" spans="5:8" x14ac:dyDescent="0.25">
      <c r="E1680" t="str">
        <f>""</f>
        <v/>
      </c>
      <c r="F1680" t="str">
        <f>""</f>
        <v/>
      </c>
      <c r="H1680" t="str">
        <f t="shared" si="28"/>
        <v>GUARDIAN</v>
      </c>
    </row>
    <row r="1681" spans="5:8" x14ac:dyDescent="0.25">
      <c r="E1681" t="str">
        <f>""</f>
        <v/>
      </c>
      <c r="F1681" t="str">
        <f>""</f>
        <v/>
      </c>
      <c r="H1681" t="str">
        <f t="shared" si="28"/>
        <v>GUARDIAN</v>
      </c>
    </row>
    <row r="1682" spans="5:8" x14ac:dyDescent="0.25">
      <c r="E1682" t="str">
        <f>""</f>
        <v/>
      </c>
      <c r="F1682" t="str">
        <f>""</f>
        <v/>
      </c>
      <c r="H1682" t="str">
        <f t="shared" si="28"/>
        <v>GUARDIAN</v>
      </c>
    </row>
    <row r="1683" spans="5:8" x14ac:dyDescent="0.25">
      <c r="E1683" t="str">
        <f>""</f>
        <v/>
      </c>
      <c r="F1683" t="str">
        <f>""</f>
        <v/>
      </c>
      <c r="H1683" t="str">
        <f t="shared" si="28"/>
        <v>GUARDIAN</v>
      </c>
    </row>
    <row r="1684" spans="5:8" x14ac:dyDescent="0.25">
      <c r="E1684" t="str">
        <f>""</f>
        <v/>
      </c>
      <c r="F1684" t="str">
        <f>""</f>
        <v/>
      </c>
      <c r="H1684" t="str">
        <f t="shared" si="28"/>
        <v>GUARDIAN</v>
      </c>
    </row>
    <row r="1685" spans="5:8" x14ac:dyDescent="0.25">
      <c r="E1685" t="str">
        <f>""</f>
        <v/>
      </c>
      <c r="F1685" t="str">
        <f>""</f>
        <v/>
      </c>
      <c r="H1685" t="str">
        <f t="shared" si="28"/>
        <v>GUARDIAN</v>
      </c>
    </row>
    <row r="1686" spans="5:8" x14ac:dyDescent="0.25">
      <c r="E1686" t="str">
        <f>""</f>
        <v/>
      </c>
      <c r="F1686" t="str">
        <f>""</f>
        <v/>
      </c>
      <c r="H1686" t="str">
        <f t="shared" si="28"/>
        <v>GUARDIAN</v>
      </c>
    </row>
    <row r="1687" spans="5:8" x14ac:dyDescent="0.25">
      <c r="E1687" t="str">
        <f>""</f>
        <v/>
      </c>
      <c r="F1687" t="str">
        <f>""</f>
        <v/>
      </c>
      <c r="H1687" t="str">
        <f t="shared" si="28"/>
        <v>GUARDIAN</v>
      </c>
    </row>
    <row r="1688" spans="5:8" x14ac:dyDescent="0.25">
      <c r="E1688" t="str">
        <f>""</f>
        <v/>
      </c>
      <c r="F1688" t="str">
        <f>""</f>
        <v/>
      </c>
      <c r="H1688" t="str">
        <f t="shared" si="28"/>
        <v>GUARDIAN</v>
      </c>
    </row>
    <row r="1689" spans="5:8" x14ac:dyDescent="0.25">
      <c r="E1689" t="str">
        <f>""</f>
        <v/>
      </c>
      <c r="F1689" t="str">
        <f>""</f>
        <v/>
      </c>
      <c r="H1689" t="str">
        <f t="shared" si="28"/>
        <v>GUARDIAN</v>
      </c>
    </row>
    <row r="1690" spans="5:8" x14ac:dyDescent="0.25">
      <c r="E1690" t="str">
        <f>""</f>
        <v/>
      </c>
      <c r="F1690" t="str">
        <f>""</f>
        <v/>
      </c>
      <c r="H1690" t="str">
        <f t="shared" si="28"/>
        <v>GUARDIAN</v>
      </c>
    </row>
    <row r="1691" spans="5:8" x14ac:dyDescent="0.25">
      <c r="E1691" t="str">
        <f>""</f>
        <v/>
      </c>
      <c r="F1691" t="str">
        <f>""</f>
        <v/>
      </c>
      <c r="H1691" t="str">
        <f t="shared" si="28"/>
        <v>GUARDIAN</v>
      </c>
    </row>
    <row r="1692" spans="5:8" x14ac:dyDescent="0.25">
      <c r="E1692" t="str">
        <f>""</f>
        <v/>
      </c>
      <c r="F1692" t="str">
        <f>""</f>
        <v/>
      </c>
      <c r="H1692" t="str">
        <f t="shared" si="28"/>
        <v>GUARDIAN</v>
      </c>
    </row>
    <row r="1693" spans="5:8" x14ac:dyDescent="0.25">
      <c r="E1693" t="str">
        <f>""</f>
        <v/>
      </c>
      <c r="F1693" t="str">
        <f>""</f>
        <v/>
      </c>
      <c r="H1693" t="str">
        <f t="shared" si="28"/>
        <v>GUARDIAN</v>
      </c>
    </row>
    <row r="1694" spans="5:8" x14ac:dyDescent="0.25">
      <c r="E1694" t="str">
        <f>""</f>
        <v/>
      </c>
      <c r="F1694" t="str">
        <f>""</f>
        <v/>
      </c>
      <c r="H1694" t="str">
        <f t="shared" si="28"/>
        <v>GUARDIAN</v>
      </c>
    </row>
    <row r="1695" spans="5:8" x14ac:dyDescent="0.25">
      <c r="E1695" t="str">
        <f>""</f>
        <v/>
      </c>
      <c r="F1695" t="str">
        <f>""</f>
        <v/>
      </c>
      <c r="H1695" t="str">
        <f t="shared" si="28"/>
        <v>GUARDIAN</v>
      </c>
    </row>
    <row r="1696" spans="5:8" x14ac:dyDescent="0.25">
      <c r="E1696" t="str">
        <f>"GDF201912113948"</f>
        <v>GDF201912113948</v>
      </c>
      <c r="F1696" t="str">
        <f>"GUARDIAN"</f>
        <v>GUARDIAN</v>
      </c>
      <c r="G1696" s="2">
        <v>100.42</v>
      </c>
      <c r="H1696" t="str">
        <f t="shared" si="28"/>
        <v>GUARDIAN</v>
      </c>
    </row>
    <row r="1697" spans="5:8" x14ac:dyDescent="0.25">
      <c r="E1697" t="str">
        <f>""</f>
        <v/>
      </c>
      <c r="F1697" t="str">
        <f>""</f>
        <v/>
      </c>
      <c r="H1697" t="str">
        <f t="shared" ref="H1697:H1760" si="29">"GUARDIAN"</f>
        <v>GUARDIAN</v>
      </c>
    </row>
    <row r="1698" spans="5:8" x14ac:dyDescent="0.25">
      <c r="E1698" t="str">
        <f>"GDF201912244290"</f>
        <v>GDF201912244290</v>
      </c>
      <c r="F1698" t="str">
        <f>"GUARDIAN"</f>
        <v>GUARDIAN</v>
      </c>
      <c r="G1698" s="2">
        <v>2209.2399999999998</v>
      </c>
      <c r="H1698" t="str">
        <f t="shared" si="29"/>
        <v>GUARDIAN</v>
      </c>
    </row>
    <row r="1699" spans="5:8" x14ac:dyDescent="0.25">
      <c r="E1699" t="str">
        <f>""</f>
        <v/>
      </c>
      <c r="F1699" t="str">
        <f>""</f>
        <v/>
      </c>
      <c r="H1699" t="str">
        <f t="shared" si="29"/>
        <v>GUARDIAN</v>
      </c>
    </row>
    <row r="1700" spans="5:8" x14ac:dyDescent="0.25">
      <c r="E1700" t="str">
        <f>""</f>
        <v/>
      </c>
      <c r="F1700" t="str">
        <f>""</f>
        <v/>
      </c>
      <c r="H1700" t="str">
        <f t="shared" si="29"/>
        <v>GUARDIAN</v>
      </c>
    </row>
    <row r="1701" spans="5:8" x14ac:dyDescent="0.25">
      <c r="E1701" t="str">
        <f>""</f>
        <v/>
      </c>
      <c r="F1701" t="str">
        <f>""</f>
        <v/>
      </c>
      <c r="H1701" t="str">
        <f t="shared" si="29"/>
        <v>GUARDIAN</v>
      </c>
    </row>
    <row r="1702" spans="5:8" x14ac:dyDescent="0.25">
      <c r="E1702" t="str">
        <f>""</f>
        <v/>
      </c>
      <c r="F1702" t="str">
        <f>""</f>
        <v/>
      </c>
      <c r="H1702" t="str">
        <f t="shared" si="29"/>
        <v>GUARDIAN</v>
      </c>
    </row>
    <row r="1703" spans="5:8" x14ac:dyDescent="0.25">
      <c r="E1703" t="str">
        <f>""</f>
        <v/>
      </c>
      <c r="F1703" t="str">
        <f>""</f>
        <v/>
      </c>
      <c r="H1703" t="str">
        <f t="shared" si="29"/>
        <v>GUARDIAN</v>
      </c>
    </row>
    <row r="1704" spans="5:8" x14ac:dyDescent="0.25">
      <c r="E1704" t="str">
        <f>""</f>
        <v/>
      </c>
      <c r="F1704" t="str">
        <f>""</f>
        <v/>
      </c>
      <c r="H1704" t="str">
        <f t="shared" si="29"/>
        <v>GUARDIAN</v>
      </c>
    </row>
    <row r="1705" spans="5:8" x14ac:dyDescent="0.25">
      <c r="E1705" t="str">
        <f>""</f>
        <v/>
      </c>
      <c r="F1705" t="str">
        <f>""</f>
        <v/>
      </c>
      <c r="H1705" t="str">
        <f t="shared" si="29"/>
        <v>GUARDIAN</v>
      </c>
    </row>
    <row r="1706" spans="5:8" x14ac:dyDescent="0.25">
      <c r="E1706" t="str">
        <f>""</f>
        <v/>
      </c>
      <c r="F1706" t="str">
        <f>""</f>
        <v/>
      </c>
      <c r="H1706" t="str">
        <f t="shared" si="29"/>
        <v>GUARDIAN</v>
      </c>
    </row>
    <row r="1707" spans="5:8" x14ac:dyDescent="0.25">
      <c r="E1707" t="str">
        <f>""</f>
        <v/>
      </c>
      <c r="F1707" t="str">
        <f>""</f>
        <v/>
      </c>
      <c r="H1707" t="str">
        <f t="shared" si="29"/>
        <v>GUARDIAN</v>
      </c>
    </row>
    <row r="1708" spans="5:8" x14ac:dyDescent="0.25">
      <c r="E1708" t="str">
        <f>""</f>
        <v/>
      </c>
      <c r="F1708" t="str">
        <f>""</f>
        <v/>
      </c>
      <c r="H1708" t="str">
        <f t="shared" si="29"/>
        <v>GUARDIAN</v>
      </c>
    </row>
    <row r="1709" spans="5:8" x14ac:dyDescent="0.25">
      <c r="E1709" t="str">
        <f>""</f>
        <v/>
      </c>
      <c r="F1709" t="str">
        <f>""</f>
        <v/>
      </c>
      <c r="H1709" t="str">
        <f t="shared" si="29"/>
        <v>GUARDIAN</v>
      </c>
    </row>
    <row r="1710" spans="5:8" x14ac:dyDescent="0.25">
      <c r="E1710" t="str">
        <f>""</f>
        <v/>
      </c>
      <c r="F1710" t="str">
        <f>""</f>
        <v/>
      </c>
      <c r="H1710" t="str">
        <f t="shared" si="29"/>
        <v>GUARDIAN</v>
      </c>
    </row>
    <row r="1711" spans="5:8" x14ac:dyDescent="0.25">
      <c r="E1711" t="str">
        <f>""</f>
        <v/>
      </c>
      <c r="F1711" t="str">
        <f>""</f>
        <v/>
      </c>
      <c r="H1711" t="str">
        <f t="shared" si="29"/>
        <v>GUARDIAN</v>
      </c>
    </row>
    <row r="1712" spans="5:8" x14ac:dyDescent="0.25">
      <c r="E1712" t="str">
        <f>""</f>
        <v/>
      </c>
      <c r="F1712" t="str">
        <f>""</f>
        <v/>
      </c>
      <c r="H1712" t="str">
        <f t="shared" si="29"/>
        <v>GUARDIAN</v>
      </c>
    </row>
    <row r="1713" spans="5:8" x14ac:dyDescent="0.25">
      <c r="E1713" t="str">
        <f>""</f>
        <v/>
      </c>
      <c r="F1713" t="str">
        <f>""</f>
        <v/>
      </c>
      <c r="H1713" t="str">
        <f t="shared" si="29"/>
        <v>GUARDIAN</v>
      </c>
    </row>
    <row r="1714" spans="5:8" x14ac:dyDescent="0.25">
      <c r="E1714" t="str">
        <f>""</f>
        <v/>
      </c>
      <c r="F1714" t="str">
        <f>""</f>
        <v/>
      </c>
      <c r="H1714" t="str">
        <f t="shared" si="29"/>
        <v>GUARDIAN</v>
      </c>
    </row>
    <row r="1715" spans="5:8" x14ac:dyDescent="0.25">
      <c r="E1715" t="str">
        <f>""</f>
        <v/>
      </c>
      <c r="F1715" t="str">
        <f>""</f>
        <v/>
      </c>
      <c r="H1715" t="str">
        <f t="shared" si="29"/>
        <v>GUARDIAN</v>
      </c>
    </row>
    <row r="1716" spans="5:8" x14ac:dyDescent="0.25">
      <c r="E1716" t="str">
        <f>""</f>
        <v/>
      </c>
      <c r="F1716" t="str">
        <f>""</f>
        <v/>
      </c>
      <c r="H1716" t="str">
        <f t="shared" si="29"/>
        <v>GUARDIAN</v>
      </c>
    </row>
    <row r="1717" spans="5:8" x14ac:dyDescent="0.25">
      <c r="E1717" t="str">
        <f>""</f>
        <v/>
      </c>
      <c r="F1717" t="str">
        <f>""</f>
        <v/>
      </c>
      <c r="H1717" t="str">
        <f t="shared" si="29"/>
        <v>GUARDIAN</v>
      </c>
    </row>
    <row r="1718" spans="5:8" x14ac:dyDescent="0.25">
      <c r="E1718" t="str">
        <f>""</f>
        <v/>
      </c>
      <c r="F1718" t="str">
        <f>""</f>
        <v/>
      </c>
      <c r="H1718" t="str">
        <f t="shared" si="29"/>
        <v>GUARDIAN</v>
      </c>
    </row>
    <row r="1719" spans="5:8" x14ac:dyDescent="0.25">
      <c r="E1719" t="str">
        <f>"GDF201912244291"</f>
        <v>GDF201912244291</v>
      </c>
      <c r="F1719" t="str">
        <f>"GUARDIAN"</f>
        <v>GUARDIAN</v>
      </c>
      <c r="G1719" s="2">
        <v>100.42</v>
      </c>
      <c r="H1719" t="str">
        <f t="shared" si="29"/>
        <v>GUARDIAN</v>
      </c>
    </row>
    <row r="1720" spans="5:8" x14ac:dyDescent="0.25">
      <c r="E1720" t="str">
        <f>""</f>
        <v/>
      </c>
      <c r="F1720" t="str">
        <f>""</f>
        <v/>
      </c>
      <c r="H1720" t="str">
        <f t="shared" si="29"/>
        <v>GUARDIAN</v>
      </c>
    </row>
    <row r="1721" spans="5:8" x14ac:dyDescent="0.25">
      <c r="E1721" t="str">
        <f>"GDS201912113947"</f>
        <v>GDS201912113947</v>
      </c>
      <c r="F1721" t="str">
        <f>"GUARDIAN"</f>
        <v>GUARDIAN</v>
      </c>
      <c r="G1721" s="2">
        <v>1923.24</v>
      </c>
      <c r="H1721" t="str">
        <f t="shared" si="29"/>
        <v>GUARDIAN</v>
      </c>
    </row>
    <row r="1722" spans="5:8" x14ac:dyDescent="0.25">
      <c r="E1722" t="str">
        <f>""</f>
        <v/>
      </c>
      <c r="F1722" t="str">
        <f>""</f>
        <v/>
      </c>
      <c r="H1722" t="str">
        <f t="shared" si="29"/>
        <v>GUARDIAN</v>
      </c>
    </row>
    <row r="1723" spans="5:8" x14ac:dyDescent="0.25">
      <c r="E1723" t="str">
        <f>""</f>
        <v/>
      </c>
      <c r="F1723" t="str">
        <f>""</f>
        <v/>
      </c>
      <c r="H1723" t="str">
        <f t="shared" si="29"/>
        <v>GUARDIAN</v>
      </c>
    </row>
    <row r="1724" spans="5:8" x14ac:dyDescent="0.25">
      <c r="E1724" t="str">
        <f>""</f>
        <v/>
      </c>
      <c r="F1724" t="str">
        <f>""</f>
        <v/>
      </c>
      <c r="H1724" t="str">
        <f t="shared" si="29"/>
        <v>GUARDIAN</v>
      </c>
    </row>
    <row r="1725" spans="5:8" x14ac:dyDescent="0.25">
      <c r="E1725" t="str">
        <f>""</f>
        <v/>
      </c>
      <c r="F1725" t="str">
        <f>""</f>
        <v/>
      </c>
      <c r="H1725" t="str">
        <f t="shared" si="29"/>
        <v>GUARDIAN</v>
      </c>
    </row>
    <row r="1726" spans="5:8" x14ac:dyDescent="0.25">
      <c r="E1726" t="str">
        <f>""</f>
        <v/>
      </c>
      <c r="F1726" t="str">
        <f>""</f>
        <v/>
      </c>
      <c r="H1726" t="str">
        <f t="shared" si="29"/>
        <v>GUARDIAN</v>
      </c>
    </row>
    <row r="1727" spans="5:8" x14ac:dyDescent="0.25">
      <c r="E1727" t="str">
        <f>""</f>
        <v/>
      </c>
      <c r="F1727" t="str">
        <f>""</f>
        <v/>
      </c>
      <c r="H1727" t="str">
        <f t="shared" si="29"/>
        <v>GUARDIAN</v>
      </c>
    </row>
    <row r="1728" spans="5:8" x14ac:dyDescent="0.25">
      <c r="E1728" t="str">
        <f>""</f>
        <v/>
      </c>
      <c r="F1728" t="str">
        <f>""</f>
        <v/>
      </c>
      <c r="H1728" t="str">
        <f t="shared" si="29"/>
        <v>GUARDIAN</v>
      </c>
    </row>
    <row r="1729" spans="5:8" x14ac:dyDescent="0.25">
      <c r="E1729" t="str">
        <f>""</f>
        <v/>
      </c>
      <c r="F1729" t="str">
        <f>""</f>
        <v/>
      </c>
      <c r="H1729" t="str">
        <f t="shared" si="29"/>
        <v>GUARDIAN</v>
      </c>
    </row>
    <row r="1730" spans="5:8" x14ac:dyDescent="0.25">
      <c r="E1730" t="str">
        <f>""</f>
        <v/>
      </c>
      <c r="F1730" t="str">
        <f>""</f>
        <v/>
      </c>
      <c r="H1730" t="str">
        <f t="shared" si="29"/>
        <v>GUARDIAN</v>
      </c>
    </row>
    <row r="1731" spans="5:8" x14ac:dyDescent="0.25">
      <c r="E1731" t="str">
        <f>""</f>
        <v/>
      </c>
      <c r="F1731" t="str">
        <f>""</f>
        <v/>
      </c>
      <c r="H1731" t="str">
        <f t="shared" si="29"/>
        <v>GUARDIAN</v>
      </c>
    </row>
    <row r="1732" spans="5:8" x14ac:dyDescent="0.25">
      <c r="E1732" t="str">
        <f>""</f>
        <v/>
      </c>
      <c r="F1732" t="str">
        <f>""</f>
        <v/>
      </c>
      <c r="H1732" t="str">
        <f t="shared" si="29"/>
        <v>GUARDIAN</v>
      </c>
    </row>
    <row r="1733" spans="5:8" x14ac:dyDescent="0.25">
      <c r="E1733" t="str">
        <f>""</f>
        <v/>
      </c>
      <c r="F1733" t="str">
        <f>""</f>
        <v/>
      </c>
      <c r="H1733" t="str">
        <f t="shared" si="29"/>
        <v>GUARDIAN</v>
      </c>
    </row>
    <row r="1734" spans="5:8" x14ac:dyDescent="0.25">
      <c r="E1734" t="str">
        <f>""</f>
        <v/>
      </c>
      <c r="F1734" t="str">
        <f>""</f>
        <v/>
      </c>
      <c r="H1734" t="str">
        <f t="shared" si="29"/>
        <v>GUARDIAN</v>
      </c>
    </row>
    <row r="1735" spans="5:8" x14ac:dyDescent="0.25">
      <c r="E1735" t="str">
        <f>""</f>
        <v/>
      </c>
      <c r="F1735" t="str">
        <f>""</f>
        <v/>
      </c>
      <c r="H1735" t="str">
        <f t="shared" si="29"/>
        <v>GUARDIAN</v>
      </c>
    </row>
    <row r="1736" spans="5:8" x14ac:dyDescent="0.25">
      <c r="E1736" t="str">
        <f>""</f>
        <v/>
      </c>
      <c r="F1736" t="str">
        <f>""</f>
        <v/>
      </c>
      <c r="H1736" t="str">
        <f t="shared" si="29"/>
        <v>GUARDIAN</v>
      </c>
    </row>
    <row r="1737" spans="5:8" x14ac:dyDescent="0.25">
      <c r="E1737" t="str">
        <f>""</f>
        <v/>
      </c>
      <c r="F1737" t="str">
        <f>""</f>
        <v/>
      </c>
      <c r="H1737" t="str">
        <f t="shared" si="29"/>
        <v>GUARDIAN</v>
      </c>
    </row>
    <row r="1738" spans="5:8" x14ac:dyDescent="0.25">
      <c r="E1738" t="str">
        <f>""</f>
        <v/>
      </c>
      <c r="F1738" t="str">
        <f>""</f>
        <v/>
      </c>
      <c r="H1738" t="str">
        <f t="shared" si="29"/>
        <v>GUARDIAN</v>
      </c>
    </row>
    <row r="1739" spans="5:8" x14ac:dyDescent="0.25">
      <c r="E1739" t="str">
        <f>""</f>
        <v/>
      </c>
      <c r="F1739" t="str">
        <f>""</f>
        <v/>
      </c>
      <c r="H1739" t="str">
        <f t="shared" si="29"/>
        <v>GUARDIAN</v>
      </c>
    </row>
    <row r="1740" spans="5:8" x14ac:dyDescent="0.25">
      <c r="E1740" t="str">
        <f>""</f>
        <v/>
      </c>
      <c r="F1740" t="str">
        <f>""</f>
        <v/>
      </c>
      <c r="H1740" t="str">
        <f t="shared" si="29"/>
        <v>GUARDIAN</v>
      </c>
    </row>
    <row r="1741" spans="5:8" x14ac:dyDescent="0.25">
      <c r="E1741" t="str">
        <f>""</f>
        <v/>
      </c>
      <c r="F1741" t="str">
        <f>""</f>
        <v/>
      </c>
      <c r="H1741" t="str">
        <f t="shared" si="29"/>
        <v>GUARDIAN</v>
      </c>
    </row>
    <row r="1742" spans="5:8" x14ac:dyDescent="0.25">
      <c r="E1742" t="str">
        <f>""</f>
        <v/>
      </c>
      <c r="F1742" t="str">
        <f>""</f>
        <v/>
      </c>
      <c r="H1742" t="str">
        <f t="shared" si="29"/>
        <v>GUARDIAN</v>
      </c>
    </row>
    <row r="1743" spans="5:8" x14ac:dyDescent="0.25">
      <c r="E1743" t="str">
        <f>""</f>
        <v/>
      </c>
      <c r="F1743" t="str">
        <f>""</f>
        <v/>
      </c>
      <c r="H1743" t="str">
        <f t="shared" si="29"/>
        <v>GUARDIAN</v>
      </c>
    </row>
    <row r="1744" spans="5:8" x14ac:dyDescent="0.25">
      <c r="E1744" t="str">
        <f>""</f>
        <v/>
      </c>
      <c r="F1744" t="str">
        <f>""</f>
        <v/>
      </c>
      <c r="H1744" t="str">
        <f t="shared" si="29"/>
        <v>GUARDIAN</v>
      </c>
    </row>
    <row r="1745" spans="5:8" x14ac:dyDescent="0.25">
      <c r="E1745" t="str">
        <f>""</f>
        <v/>
      </c>
      <c r="F1745" t="str">
        <f>""</f>
        <v/>
      </c>
      <c r="H1745" t="str">
        <f t="shared" si="29"/>
        <v>GUARDIAN</v>
      </c>
    </row>
    <row r="1746" spans="5:8" x14ac:dyDescent="0.25">
      <c r="E1746" t="str">
        <f>"GDS201912244290"</f>
        <v>GDS201912244290</v>
      </c>
      <c r="F1746" t="str">
        <f>"GUARDIAN"</f>
        <v>GUARDIAN</v>
      </c>
      <c r="G1746" s="2">
        <v>1923.24</v>
      </c>
      <c r="H1746" t="str">
        <f t="shared" si="29"/>
        <v>GUARDIAN</v>
      </c>
    </row>
    <row r="1747" spans="5:8" x14ac:dyDescent="0.25">
      <c r="E1747" t="str">
        <f>""</f>
        <v/>
      </c>
      <c r="F1747" t="str">
        <f>""</f>
        <v/>
      </c>
      <c r="H1747" t="str">
        <f t="shared" si="29"/>
        <v>GUARDIAN</v>
      </c>
    </row>
    <row r="1748" spans="5:8" x14ac:dyDescent="0.25">
      <c r="E1748" t="str">
        <f>""</f>
        <v/>
      </c>
      <c r="F1748" t="str">
        <f>""</f>
        <v/>
      </c>
      <c r="H1748" t="str">
        <f t="shared" si="29"/>
        <v>GUARDIAN</v>
      </c>
    </row>
    <row r="1749" spans="5:8" x14ac:dyDescent="0.25">
      <c r="E1749" t="str">
        <f>""</f>
        <v/>
      </c>
      <c r="F1749" t="str">
        <f>""</f>
        <v/>
      </c>
      <c r="H1749" t="str">
        <f t="shared" si="29"/>
        <v>GUARDIAN</v>
      </c>
    </row>
    <row r="1750" spans="5:8" x14ac:dyDescent="0.25">
      <c r="E1750" t="str">
        <f>""</f>
        <v/>
      </c>
      <c r="F1750" t="str">
        <f>""</f>
        <v/>
      </c>
      <c r="H1750" t="str">
        <f t="shared" si="29"/>
        <v>GUARDIAN</v>
      </c>
    </row>
    <row r="1751" spans="5:8" x14ac:dyDescent="0.25">
      <c r="E1751" t="str">
        <f>""</f>
        <v/>
      </c>
      <c r="F1751" t="str">
        <f>""</f>
        <v/>
      </c>
      <c r="H1751" t="str">
        <f t="shared" si="29"/>
        <v>GUARDIAN</v>
      </c>
    </row>
    <row r="1752" spans="5:8" x14ac:dyDescent="0.25">
      <c r="E1752" t="str">
        <f>""</f>
        <v/>
      </c>
      <c r="F1752" t="str">
        <f>""</f>
        <v/>
      </c>
      <c r="H1752" t="str">
        <f t="shared" si="29"/>
        <v>GUARDIAN</v>
      </c>
    </row>
    <row r="1753" spans="5:8" x14ac:dyDescent="0.25">
      <c r="E1753" t="str">
        <f>""</f>
        <v/>
      </c>
      <c r="F1753" t="str">
        <f>""</f>
        <v/>
      </c>
      <c r="H1753" t="str">
        <f t="shared" si="29"/>
        <v>GUARDIAN</v>
      </c>
    </row>
    <row r="1754" spans="5:8" x14ac:dyDescent="0.25">
      <c r="E1754" t="str">
        <f>""</f>
        <v/>
      </c>
      <c r="F1754" t="str">
        <f>""</f>
        <v/>
      </c>
      <c r="H1754" t="str">
        <f t="shared" si="29"/>
        <v>GUARDIAN</v>
      </c>
    </row>
    <row r="1755" spans="5:8" x14ac:dyDescent="0.25">
      <c r="E1755" t="str">
        <f>""</f>
        <v/>
      </c>
      <c r="F1755" t="str">
        <f>""</f>
        <v/>
      </c>
      <c r="H1755" t="str">
        <f t="shared" si="29"/>
        <v>GUARDIAN</v>
      </c>
    </row>
    <row r="1756" spans="5:8" x14ac:dyDescent="0.25">
      <c r="E1756" t="str">
        <f>""</f>
        <v/>
      </c>
      <c r="F1756" t="str">
        <f>""</f>
        <v/>
      </c>
      <c r="H1756" t="str">
        <f t="shared" si="29"/>
        <v>GUARDIAN</v>
      </c>
    </row>
    <row r="1757" spans="5:8" x14ac:dyDescent="0.25">
      <c r="E1757" t="str">
        <f>""</f>
        <v/>
      </c>
      <c r="F1757" t="str">
        <f>""</f>
        <v/>
      </c>
      <c r="H1757" t="str">
        <f t="shared" si="29"/>
        <v>GUARDIAN</v>
      </c>
    </row>
    <row r="1758" spans="5:8" x14ac:dyDescent="0.25">
      <c r="E1758" t="str">
        <f>""</f>
        <v/>
      </c>
      <c r="F1758" t="str">
        <f>""</f>
        <v/>
      </c>
      <c r="H1758" t="str">
        <f t="shared" si="29"/>
        <v>GUARDIAN</v>
      </c>
    </row>
    <row r="1759" spans="5:8" x14ac:dyDescent="0.25">
      <c r="E1759" t="str">
        <f>""</f>
        <v/>
      </c>
      <c r="F1759" t="str">
        <f>""</f>
        <v/>
      </c>
      <c r="H1759" t="str">
        <f t="shared" si="29"/>
        <v>GUARDIAN</v>
      </c>
    </row>
    <row r="1760" spans="5:8" x14ac:dyDescent="0.25">
      <c r="E1760" t="str">
        <f>""</f>
        <v/>
      </c>
      <c r="F1760" t="str">
        <f>""</f>
        <v/>
      </c>
      <c r="H1760" t="str">
        <f t="shared" si="29"/>
        <v>GUARDIAN</v>
      </c>
    </row>
    <row r="1761" spans="5:8" x14ac:dyDescent="0.25">
      <c r="E1761" t="str">
        <f>""</f>
        <v/>
      </c>
      <c r="F1761" t="str">
        <f>""</f>
        <v/>
      </c>
      <c r="H1761" t="str">
        <f t="shared" ref="H1761:H1770" si="30">"GUARDIAN"</f>
        <v>GUARDIAN</v>
      </c>
    </row>
    <row r="1762" spans="5:8" x14ac:dyDescent="0.25">
      <c r="E1762" t="str">
        <f>""</f>
        <v/>
      </c>
      <c r="F1762" t="str">
        <f>""</f>
        <v/>
      </c>
      <c r="H1762" t="str">
        <f t="shared" si="30"/>
        <v>GUARDIAN</v>
      </c>
    </row>
    <row r="1763" spans="5:8" x14ac:dyDescent="0.25">
      <c r="E1763" t="str">
        <f>""</f>
        <v/>
      </c>
      <c r="F1763" t="str">
        <f>""</f>
        <v/>
      </c>
      <c r="H1763" t="str">
        <f t="shared" si="30"/>
        <v>GUARDIAN</v>
      </c>
    </row>
    <row r="1764" spans="5:8" x14ac:dyDescent="0.25">
      <c r="E1764" t="str">
        <f>""</f>
        <v/>
      </c>
      <c r="F1764" t="str">
        <f>""</f>
        <v/>
      </c>
      <c r="H1764" t="str">
        <f t="shared" si="30"/>
        <v>GUARDIAN</v>
      </c>
    </row>
    <row r="1765" spans="5:8" x14ac:dyDescent="0.25">
      <c r="E1765" t="str">
        <f>""</f>
        <v/>
      </c>
      <c r="F1765" t="str">
        <f>""</f>
        <v/>
      </c>
      <c r="H1765" t="str">
        <f t="shared" si="30"/>
        <v>GUARDIAN</v>
      </c>
    </row>
    <row r="1766" spans="5:8" x14ac:dyDescent="0.25">
      <c r="E1766" t="str">
        <f>""</f>
        <v/>
      </c>
      <c r="F1766" t="str">
        <f>""</f>
        <v/>
      </c>
      <c r="H1766" t="str">
        <f t="shared" si="30"/>
        <v>GUARDIAN</v>
      </c>
    </row>
    <row r="1767" spans="5:8" x14ac:dyDescent="0.25">
      <c r="E1767" t="str">
        <f>""</f>
        <v/>
      </c>
      <c r="F1767" t="str">
        <f>""</f>
        <v/>
      </c>
      <c r="H1767" t="str">
        <f t="shared" si="30"/>
        <v>GUARDIAN</v>
      </c>
    </row>
    <row r="1768" spans="5:8" x14ac:dyDescent="0.25">
      <c r="E1768" t="str">
        <f>""</f>
        <v/>
      </c>
      <c r="F1768" t="str">
        <f>""</f>
        <v/>
      </c>
      <c r="H1768" t="str">
        <f t="shared" si="30"/>
        <v>GUARDIAN</v>
      </c>
    </row>
    <row r="1769" spans="5:8" x14ac:dyDescent="0.25">
      <c r="E1769" t="str">
        <f>""</f>
        <v/>
      </c>
      <c r="F1769" t="str">
        <f>""</f>
        <v/>
      </c>
      <c r="H1769" t="str">
        <f t="shared" si="30"/>
        <v>GUARDIAN</v>
      </c>
    </row>
    <row r="1770" spans="5:8" x14ac:dyDescent="0.25">
      <c r="E1770" t="str">
        <f>""</f>
        <v/>
      </c>
      <c r="F1770" t="str">
        <f>""</f>
        <v/>
      </c>
      <c r="H1770" t="str">
        <f t="shared" si="30"/>
        <v>GUARDIAN</v>
      </c>
    </row>
    <row r="1771" spans="5:8" x14ac:dyDescent="0.25">
      <c r="E1771" t="str">
        <f>"GV1201912113947"</f>
        <v>GV1201912113947</v>
      </c>
      <c r="F1771" t="str">
        <f>"GUARDIAN VISION"</f>
        <v>GUARDIAN VISION</v>
      </c>
      <c r="G1771" s="2">
        <v>423.82</v>
      </c>
      <c r="H1771" t="str">
        <f>"GUARDIAN VISION"</f>
        <v>GUARDIAN VISION</v>
      </c>
    </row>
    <row r="1772" spans="5:8" x14ac:dyDescent="0.25">
      <c r="E1772" t="str">
        <f>"GV1201912244290"</f>
        <v>GV1201912244290</v>
      </c>
      <c r="F1772" t="str">
        <f>"GUARDIAN VISION"</f>
        <v>GUARDIAN VISION</v>
      </c>
      <c r="G1772" s="2">
        <v>420</v>
      </c>
      <c r="H1772" t="str">
        <f>"GUARDIAN VISION"</f>
        <v>GUARDIAN VISION</v>
      </c>
    </row>
    <row r="1773" spans="5:8" x14ac:dyDescent="0.25">
      <c r="E1773" t="str">
        <f>"GVE201912113947"</f>
        <v>GVE201912113947</v>
      </c>
      <c r="F1773" t="str">
        <f>"GUARDIAN VISION VENDOR"</f>
        <v>GUARDIAN VISION VENDOR</v>
      </c>
      <c r="G1773" s="2">
        <v>634.67999999999995</v>
      </c>
      <c r="H1773" t="str">
        <f>"GUARDIAN VISION VENDOR"</f>
        <v>GUARDIAN VISION VENDOR</v>
      </c>
    </row>
    <row r="1774" spans="5:8" x14ac:dyDescent="0.25">
      <c r="E1774" t="str">
        <f>"GVE201912113948"</f>
        <v>GVE201912113948</v>
      </c>
      <c r="F1774" t="str">
        <f>"GUARDIAN VISION VENDOR"</f>
        <v>GUARDIAN VISION VENDOR</v>
      </c>
      <c r="G1774" s="2">
        <v>33.21</v>
      </c>
      <c r="H1774" t="str">
        <f>"GUARDIAN VISION VENDOR"</f>
        <v>GUARDIAN VISION VENDOR</v>
      </c>
    </row>
    <row r="1775" spans="5:8" x14ac:dyDescent="0.25">
      <c r="E1775" t="str">
        <f>"GVE201912244290"</f>
        <v>GVE201912244290</v>
      </c>
      <c r="F1775" t="str">
        <f>"GUARDIAN VISION VENDOR"</f>
        <v>GUARDIAN VISION VENDOR</v>
      </c>
      <c r="G1775" s="2">
        <v>619.91999999999996</v>
      </c>
      <c r="H1775" t="str">
        <f>"GUARDIAN VISION VENDOR"</f>
        <v>GUARDIAN VISION VENDOR</v>
      </c>
    </row>
    <row r="1776" spans="5:8" x14ac:dyDescent="0.25">
      <c r="E1776" t="str">
        <f>"GVE201912244291"</f>
        <v>GVE201912244291</v>
      </c>
      <c r="F1776" t="str">
        <f>"GUARDIAN VISION VENDOR"</f>
        <v>GUARDIAN VISION VENDOR</v>
      </c>
      <c r="G1776" s="2">
        <v>33.21</v>
      </c>
      <c r="H1776" t="str">
        <f>"GUARDIAN VISION VENDOR"</f>
        <v>GUARDIAN VISION VENDOR</v>
      </c>
    </row>
    <row r="1777" spans="5:8" x14ac:dyDescent="0.25">
      <c r="E1777" t="str">
        <f>"GVF201912113947"</f>
        <v>GVF201912113947</v>
      </c>
      <c r="F1777" t="str">
        <f>"GUARDIAN VISION"</f>
        <v>GUARDIAN VISION</v>
      </c>
      <c r="G1777" s="2">
        <v>600.85</v>
      </c>
      <c r="H1777" t="str">
        <f>"GUARDIAN VISION"</f>
        <v>GUARDIAN VISION</v>
      </c>
    </row>
    <row r="1778" spans="5:8" x14ac:dyDescent="0.25">
      <c r="E1778" t="str">
        <f>"GVF201912113948"</f>
        <v>GVF201912113948</v>
      </c>
      <c r="F1778" t="str">
        <f>"GUARDIAN VISION VENDOR"</f>
        <v>GUARDIAN VISION VENDOR</v>
      </c>
      <c r="G1778" s="2">
        <v>39.4</v>
      </c>
      <c r="H1778" t="str">
        <f>"GUARDIAN VISION VENDOR"</f>
        <v>GUARDIAN VISION VENDOR</v>
      </c>
    </row>
    <row r="1779" spans="5:8" x14ac:dyDescent="0.25">
      <c r="E1779" t="str">
        <f>"GVF201912244290"</f>
        <v>GVF201912244290</v>
      </c>
      <c r="F1779" t="str">
        <f>"GUARDIAN VISION"</f>
        <v>GUARDIAN VISION</v>
      </c>
      <c r="G1779" s="2">
        <v>581.15</v>
      </c>
      <c r="H1779" t="str">
        <f>"GUARDIAN VISION"</f>
        <v>GUARDIAN VISION</v>
      </c>
    </row>
    <row r="1780" spans="5:8" x14ac:dyDescent="0.25">
      <c r="E1780" t="str">
        <f>"GVF201912244291"</f>
        <v>GVF201912244291</v>
      </c>
      <c r="F1780" t="str">
        <f>"GUARDIAN VISION VENDOR"</f>
        <v>GUARDIAN VISION VENDOR</v>
      </c>
      <c r="G1780" s="2">
        <v>39.4</v>
      </c>
      <c r="H1780" t="str">
        <f>"GUARDIAN VISION VENDOR"</f>
        <v>GUARDIAN VISION VENDOR</v>
      </c>
    </row>
    <row r="1781" spans="5:8" x14ac:dyDescent="0.25">
      <c r="E1781" t="str">
        <f>"LIA201912113947"</f>
        <v>LIA201912113947</v>
      </c>
      <c r="F1781" t="str">
        <f>"GUARDIAN"</f>
        <v>GUARDIAN</v>
      </c>
      <c r="G1781" s="2">
        <v>190.94</v>
      </c>
      <c r="H1781" t="str">
        <f t="shared" ref="H1781:H1812" si="31">"GUARDIAN"</f>
        <v>GUARDIAN</v>
      </c>
    </row>
    <row r="1782" spans="5:8" x14ac:dyDescent="0.25">
      <c r="E1782" t="str">
        <f>""</f>
        <v/>
      </c>
      <c r="F1782" t="str">
        <f>""</f>
        <v/>
      </c>
      <c r="H1782" t="str">
        <f t="shared" si="31"/>
        <v>GUARDIAN</v>
      </c>
    </row>
    <row r="1783" spans="5:8" x14ac:dyDescent="0.25">
      <c r="E1783" t="str">
        <f>""</f>
        <v/>
      </c>
      <c r="F1783" t="str">
        <f>""</f>
        <v/>
      </c>
      <c r="H1783" t="str">
        <f t="shared" si="31"/>
        <v>GUARDIAN</v>
      </c>
    </row>
    <row r="1784" spans="5:8" x14ac:dyDescent="0.25">
      <c r="E1784" t="str">
        <f>""</f>
        <v/>
      </c>
      <c r="F1784" t="str">
        <f>""</f>
        <v/>
      </c>
      <c r="H1784" t="str">
        <f t="shared" si="31"/>
        <v>GUARDIAN</v>
      </c>
    </row>
    <row r="1785" spans="5:8" x14ac:dyDescent="0.25">
      <c r="E1785" t="str">
        <f>""</f>
        <v/>
      </c>
      <c r="F1785" t="str">
        <f>""</f>
        <v/>
      </c>
      <c r="H1785" t="str">
        <f t="shared" si="31"/>
        <v>GUARDIAN</v>
      </c>
    </row>
    <row r="1786" spans="5:8" x14ac:dyDescent="0.25">
      <c r="E1786" t="str">
        <f>""</f>
        <v/>
      </c>
      <c r="F1786" t="str">
        <f>""</f>
        <v/>
      </c>
      <c r="H1786" t="str">
        <f t="shared" si="31"/>
        <v>GUARDIAN</v>
      </c>
    </row>
    <row r="1787" spans="5:8" x14ac:dyDescent="0.25">
      <c r="E1787" t="str">
        <f>""</f>
        <v/>
      </c>
      <c r="F1787" t="str">
        <f>""</f>
        <v/>
      </c>
      <c r="H1787" t="str">
        <f t="shared" si="31"/>
        <v>GUARDIAN</v>
      </c>
    </row>
    <row r="1788" spans="5:8" x14ac:dyDescent="0.25">
      <c r="E1788" t="str">
        <f>""</f>
        <v/>
      </c>
      <c r="F1788" t="str">
        <f>""</f>
        <v/>
      </c>
      <c r="H1788" t="str">
        <f t="shared" si="31"/>
        <v>GUARDIAN</v>
      </c>
    </row>
    <row r="1789" spans="5:8" x14ac:dyDescent="0.25">
      <c r="E1789" t="str">
        <f>""</f>
        <v/>
      </c>
      <c r="F1789" t="str">
        <f>""</f>
        <v/>
      </c>
      <c r="H1789" t="str">
        <f t="shared" si="31"/>
        <v>GUARDIAN</v>
      </c>
    </row>
    <row r="1790" spans="5:8" x14ac:dyDescent="0.25">
      <c r="E1790" t="str">
        <f>""</f>
        <v/>
      </c>
      <c r="F1790" t="str">
        <f>""</f>
        <v/>
      </c>
      <c r="H1790" t="str">
        <f t="shared" si="31"/>
        <v>GUARDIAN</v>
      </c>
    </row>
    <row r="1791" spans="5:8" x14ac:dyDescent="0.25">
      <c r="E1791" t="str">
        <f>""</f>
        <v/>
      </c>
      <c r="F1791" t="str">
        <f>""</f>
        <v/>
      </c>
      <c r="H1791" t="str">
        <f t="shared" si="31"/>
        <v>GUARDIAN</v>
      </c>
    </row>
    <row r="1792" spans="5:8" x14ac:dyDescent="0.25">
      <c r="E1792" t="str">
        <f>""</f>
        <v/>
      </c>
      <c r="F1792" t="str">
        <f>""</f>
        <v/>
      </c>
      <c r="H1792" t="str">
        <f t="shared" si="31"/>
        <v>GUARDIAN</v>
      </c>
    </row>
    <row r="1793" spans="5:8" x14ac:dyDescent="0.25">
      <c r="E1793" t="str">
        <f>""</f>
        <v/>
      </c>
      <c r="F1793" t="str">
        <f>""</f>
        <v/>
      </c>
      <c r="H1793" t="str">
        <f t="shared" si="31"/>
        <v>GUARDIAN</v>
      </c>
    </row>
    <row r="1794" spans="5:8" x14ac:dyDescent="0.25">
      <c r="E1794" t="str">
        <f>""</f>
        <v/>
      </c>
      <c r="F1794" t="str">
        <f>""</f>
        <v/>
      </c>
      <c r="H1794" t="str">
        <f t="shared" si="31"/>
        <v>GUARDIAN</v>
      </c>
    </row>
    <row r="1795" spans="5:8" x14ac:dyDescent="0.25">
      <c r="E1795" t="str">
        <f>""</f>
        <v/>
      </c>
      <c r="F1795" t="str">
        <f>""</f>
        <v/>
      </c>
      <c r="H1795" t="str">
        <f t="shared" si="31"/>
        <v>GUARDIAN</v>
      </c>
    </row>
    <row r="1796" spans="5:8" x14ac:dyDescent="0.25">
      <c r="E1796" t="str">
        <f>""</f>
        <v/>
      </c>
      <c r="F1796" t="str">
        <f>""</f>
        <v/>
      </c>
      <c r="H1796" t="str">
        <f t="shared" si="31"/>
        <v>GUARDIAN</v>
      </c>
    </row>
    <row r="1797" spans="5:8" x14ac:dyDescent="0.25">
      <c r="E1797" t="str">
        <f>""</f>
        <v/>
      </c>
      <c r="F1797" t="str">
        <f>""</f>
        <v/>
      </c>
      <c r="H1797" t="str">
        <f t="shared" si="31"/>
        <v>GUARDIAN</v>
      </c>
    </row>
    <row r="1798" spans="5:8" x14ac:dyDescent="0.25">
      <c r="E1798" t="str">
        <f>""</f>
        <v/>
      </c>
      <c r="F1798" t="str">
        <f>""</f>
        <v/>
      </c>
      <c r="H1798" t="str">
        <f t="shared" si="31"/>
        <v>GUARDIAN</v>
      </c>
    </row>
    <row r="1799" spans="5:8" x14ac:dyDescent="0.25">
      <c r="E1799" t="str">
        <f>""</f>
        <v/>
      </c>
      <c r="F1799" t="str">
        <f>""</f>
        <v/>
      </c>
      <c r="H1799" t="str">
        <f t="shared" si="31"/>
        <v>GUARDIAN</v>
      </c>
    </row>
    <row r="1800" spans="5:8" x14ac:dyDescent="0.25">
      <c r="E1800" t="str">
        <f>""</f>
        <v/>
      </c>
      <c r="F1800" t="str">
        <f>""</f>
        <v/>
      </c>
      <c r="H1800" t="str">
        <f t="shared" si="31"/>
        <v>GUARDIAN</v>
      </c>
    </row>
    <row r="1801" spans="5:8" x14ac:dyDescent="0.25">
      <c r="E1801" t="str">
        <f>""</f>
        <v/>
      </c>
      <c r="F1801" t="str">
        <f>""</f>
        <v/>
      </c>
      <c r="H1801" t="str">
        <f t="shared" si="31"/>
        <v>GUARDIAN</v>
      </c>
    </row>
    <row r="1802" spans="5:8" x14ac:dyDescent="0.25">
      <c r="E1802" t="str">
        <f>""</f>
        <v/>
      </c>
      <c r="F1802" t="str">
        <f>""</f>
        <v/>
      </c>
      <c r="H1802" t="str">
        <f t="shared" si="31"/>
        <v>GUARDIAN</v>
      </c>
    </row>
    <row r="1803" spans="5:8" x14ac:dyDescent="0.25">
      <c r="E1803" t="str">
        <f>"LIA201912113948"</f>
        <v>LIA201912113948</v>
      </c>
      <c r="F1803" t="str">
        <f>"GUARDIAN"</f>
        <v>GUARDIAN</v>
      </c>
      <c r="G1803" s="2">
        <v>40.799999999999997</v>
      </c>
      <c r="H1803" t="str">
        <f t="shared" si="31"/>
        <v>GUARDIAN</v>
      </c>
    </row>
    <row r="1804" spans="5:8" x14ac:dyDescent="0.25">
      <c r="E1804" t="str">
        <f>""</f>
        <v/>
      </c>
      <c r="F1804" t="str">
        <f>""</f>
        <v/>
      </c>
      <c r="H1804" t="str">
        <f t="shared" si="31"/>
        <v>GUARDIAN</v>
      </c>
    </row>
    <row r="1805" spans="5:8" x14ac:dyDescent="0.25">
      <c r="E1805" t="str">
        <f>"LIA201912244290"</f>
        <v>LIA201912244290</v>
      </c>
      <c r="F1805" t="str">
        <f>"GUARDIAN"</f>
        <v>GUARDIAN</v>
      </c>
      <c r="G1805" s="2">
        <v>190.81</v>
      </c>
      <c r="H1805" t="str">
        <f t="shared" si="31"/>
        <v>GUARDIAN</v>
      </c>
    </row>
    <row r="1806" spans="5:8" x14ac:dyDescent="0.25">
      <c r="E1806" t="str">
        <f>""</f>
        <v/>
      </c>
      <c r="F1806" t="str">
        <f>""</f>
        <v/>
      </c>
      <c r="H1806" t="str">
        <f t="shared" si="31"/>
        <v>GUARDIAN</v>
      </c>
    </row>
    <row r="1807" spans="5:8" x14ac:dyDescent="0.25">
      <c r="E1807" t="str">
        <f>""</f>
        <v/>
      </c>
      <c r="F1807" t="str">
        <f>""</f>
        <v/>
      </c>
      <c r="H1807" t="str">
        <f t="shared" si="31"/>
        <v>GUARDIAN</v>
      </c>
    </row>
    <row r="1808" spans="5:8" x14ac:dyDescent="0.25">
      <c r="E1808" t="str">
        <f>""</f>
        <v/>
      </c>
      <c r="F1808" t="str">
        <f>""</f>
        <v/>
      </c>
      <c r="H1808" t="str">
        <f t="shared" si="31"/>
        <v>GUARDIAN</v>
      </c>
    </row>
    <row r="1809" spans="5:8" x14ac:dyDescent="0.25">
      <c r="E1809" t="str">
        <f>""</f>
        <v/>
      </c>
      <c r="F1809" t="str">
        <f>""</f>
        <v/>
      </c>
      <c r="H1809" t="str">
        <f t="shared" si="31"/>
        <v>GUARDIAN</v>
      </c>
    </row>
    <row r="1810" spans="5:8" x14ac:dyDescent="0.25">
      <c r="E1810" t="str">
        <f>""</f>
        <v/>
      </c>
      <c r="F1810" t="str">
        <f>""</f>
        <v/>
      </c>
      <c r="H1810" t="str">
        <f t="shared" si="31"/>
        <v>GUARDIAN</v>
      </c>
    </row>
    <row r="1811" spans="5:8" x14ac:dyDescent="0.25">
      <c r="E1811" t="str">
        <f>""</f>
        <v/>
      </c>
      <c r="F1811" t="str">
        <f>""</f>
        <v/>
      </c>
      <c r="H1811" t="str">
        <f t="shared" si="31"/>
        <v>GUARDIAN</v>
      </c>
    </row>
    <row r="1812" spans="5:8" x14ac:dyDescent="0.25">
      <c r="E1812" t="str">
        <f>""</f>
        <v/>
      </c>
      <c r="F1812" t="str">
        <f>""</f>
        <v/>
      </c>
      <c r="H1812" t="str">
        <f t="shared" si="31"/>
        <v>GUARDIAN</v>
      </c>
    </row>
    <row r="1813" spans="5:8" x14ac:dyDescent="0.25">
      <c r="E1813" t="str">
        <f>""</f>
        <v/>
      </c>
      <c r="F1813" t="str">
        <f>""</f>
        <v/>
      </c>
      <c r="H1813" t="str">
        <f t="shared" ref="H1813:H1844" si="32">"GUARDIAN"</f>
        <v>GUARDIAN</v>
      </c>
    </row>
    <row r="1814" spans="5:8" x14ac:dyDescent="0.25">
      <c r="E1814" t="str">
        <f>""</f>
        <v/>
      </c>
      <c r="F1814" t="str">
        <f>""</f>
        <v/>
      </c>
      <c r="H1814" t="str">
        <f t="shared" si="32"/>
        <v>GUARDIAN</v>
      </c>
    </row>
    <row r="1815" spans="5:8" x14ac:dyDescent="0.25">
      <c r="E1815" t="str">
        <f>""</f>
        <v/>
      </c>
      <c r="F1815" t="str">
        <f>""</f>
        <v/>
      </c>
      <c r="H1815" t="str">
        <f t="shared" si="32"/>
        <v>GUARDIAN</v>
      </c>
    </row>
    <row r="1816" spans="5:8" x14ac:dyDescent="0.25">
      <c r="E1816" t="str">
        <f>""</f>
        <v/>
      </c>
      <c r="F1816" t="str">
        <f>""</f>
        <v/>
      </c>
      <c r="H1816" t="str">
        <f t="shared" si="32"/>
        <v>GUARDIAN</v>
      </c>
    </row>
    <row r="1817" spans="5:8" x14ac:dyDescent="0.25">
      <c r="E1817" t="str">
        <f>""</f>
        <v/>
      </c>
      <c r="F1817" t="str">
        <f>""</f>
        <v/>
      </c>
      <c r="H1817" t="str">
        <f t="shared" si="32"/>
        <v>GUARDIAN</v>
      </c>
    </row>
    <row r="1818" spans="5:8" x14ac:dyDescent="0.25">
      <c r="E1818" t="str">
        <f>""</f>
        <v/>
      </c>
      <c r="F1818" t="str">
        <f>""</f>
        <v/>
      </c>
      <c r="H1818" t="str">
        <f t="shared" si="32"/>
        <v>GUARDIAN</v>
      </c>
    </row>
    <row r="1819" spans="5:8" x14ac:dyDescent="0.25">
      <c r="E1819" t="str">
        <f>""</f>
        <v/>
      </c>
      <c r="F1819" t="str">
        <f>""</f>
        <v/>
      </c>
      <c r="H1819" t="str">
        <f t="shared" si="32"/>
        <v>GUARDIAN</v>
      </c>
    </row>
    <row r="1820" spans="5:8" x14ac:dyDescent="0.25">
      <c r="E1820" t="str">
        <f>""</f>
        <v/>
      </c>
      <c r="F1820" t="str">
        <f>""</f>
        <v/>
      </c>
      <c r="H1820" t="str">
        <f t="shared" si="32"/>
        <v>GUARDIAN</v>
      </c>
    </row>
    <row r="1821" spans="5:8" x14ac:dyDescent="0.25">
      <c r="E1821" t="str">
        <f>""</f>
        <v/>
      </c>
      <c r="F1821" t="str">
        <f>""</f>
        <v/>
      </c>
      <c r="H1821" t="str">
        <f t="shared" si="32"/>
        <v>GUARDIAN</v>
      </c>
    </row>
    <row r="1822" spans="5:8" x14ac:dyDescent="0.25">
      <c r="E1822" t="str">
        <f>""</f>
        <v/>
      </c>
      <c r="F1822" t="str">
        <f>""</f>
        <v/>
      </c>
      <c r="H1822" t="str">
        <f t="shared" si="32"/>
        <v>GUARDIAN</v>
      </c>
    </row>
    <row r="1823" spans="5:8" x14ac:dyDescent="0.25">
      <c r="E1823" t="str">
        <f>""</f>
        <v/>
      </c>
      <c r="F1823" t="str">
        <f>""</f>
        <v/>
      </c>
      <c r="H1823" t="str">
        <f t="shared" si="32"/>
        <v>GUARDIAN</v>
      </c>
    </row>
    <row r="1824" spans="5:8" x14ac:dyDescent="0.25">
      <c r="E1824" t="str">
        <f>""</f>
        <v/>
      </c>
      <c r="F1824" t="str">
        <f>""</f>
        <v/>
      </c>
      <c r="H1824" t="str">
        <f t="shared" si="32"/>
        <v>GUARDIAN</v>
      </c>
    </row>
    <row r="1825" spans="5:8" x14ac:dyDescent="0.25">
      <c r="E1825" t="str">
        <f>""</f>
        <v/>
      </c>
      <c r="F1825" t="str">
        <f>""</f>
        <v/>
      </c>
      <c r="H1825" t="str">
        <f t="shared" si="32"/>
        <v>GUARDIAN</v>
      </c>
    </row>
    <row r="1826" spans="5:8" x14ac:dyDescent="0.25">
      <c r="E1826" t="str">
        <f>""</f>
        <v/>
      </c>
      <c r="F1826" t="str">
        <f>""</f>
        <v/>
      </c>
      <c r="H1826" t="str">
        <f t="shared" si="32"/>
        <v>GUARDIAN</v>
      </c>
    </row>
    <row r="1827" spans="5:8" x14ac:dyDescent="0.25">
      <c r="E1827" t="str">
        <f>"LIA201912244291"</f>
        <v>LIA201912244291</v>
      </c>
      <c r="F1827" t="str">
        <f>"GUARDIAN"</f>
        <v>GUARDIAN</v>
      </c>
      <c r="G1827" s="2">
        <v>40.799999999999997</v>
      </c>
      <c r="H1827" t="str">
        <f t="shared" si="32"/>
        <v>GUARDIAN</v>
      </c>
    </row>
    <row r="1828" spans="5:8" x14ac:dyDescent="0.25">
      <c r="E1828" t="str">
        <f>""</f>
        <v/>
      </c>
      <c r="F1828" t="str">
        <f>""</f>
        <v/>
      </c>
      <c r="H1828" t="str">
        <f t="shared" si="32"/>
        <v>GUARDIAN</v>
      </c>
    </row>
    <row r="1829" spans="5:8" x14ac:dyDescent="0.25">
      <c r="E1829" t="str">
        <f>"LIC201912113947"</f>
        <v>LIC201912113947</v>
      </c>
      <c r="F1829" t="str">
        <f>"GUARDIAN"</f>
        <v>GUARDIAN</v>
      </c>
      <c r="G1829" s="2">
        <v>35.58</v>
      </c>
      <c r="H1829" t="str">
        <f t="shared" si="32"/>
        <v>GUARDIAN</v>
      </c>
    </row>
    <row r="1830" spans="5:8" x14ac:dyDescent="0.25">
      <c r="E1830" t="str">
        <f>"LIC201912113948"</f>
        <v>LIC201912113948</v>
      </c>
      <c r="F1830" t="str">
        <f>"GUARDIAN"</f>
        <v>GUARDIAN</v>
      </c>
      <c r="G1830" s="2">
        <v>1.05</v>
      </c>
      <c r="H1830" t="str">
        <f t="shared" si="32"/>
        <v>GUARDIAN</v>
      </c>
    </row>
    <row r="1831" spans="5:8" x14ac:dyDescent="0.25">
      <c r="E1831" t="str">
        <f>"LIC201912244290"</f>
        <v>LIC201912244290</v>
      </c>
      <c r="F1831" t="str">
        <f>"GUARDIAN"</f>
        <v>GUARDIAN</v>
      </c>
      <c r="G1831" s="2">
        <v>32.08</v>
      </c>
      <c r="H1831" t="str">
        <f t="shared" si="32"/>
        <v>GUARDIAN</v>
      </c>
    </row>
    <row r="1832" spans="5:8" x14ac:dyDescent="0.25">
      <c r="E1832" t="str">
        <f>"LIC201912244291"</f>
        <v>LIC201912244291</v>
      </c>
      <c r="F1832" t="str">
        <f>"GUARDIAN"</f>
        <v>GUARDIAN</v>
      </c>
      <c r="G1832" s="2">
        <v>1.05</v>
      </c>
      <c r="H1832" t="str">
        <f t="shared" si="32"/>
        <v>GUARDIAN</v>
      </c>
    </row>
    <row r="1833" spans="5:8" x14ac:dyDescent="0.25">
      <c r="E1833" t="str">
        <f>"LIE201912113947"</f>
        <v>LIE201912113947</v>
      </c>
      <c r="F1833" t="str">
        <f>"GUARDIAN"</f>
        <v>GUARDIAN</v>
      </c>
      <c r="G1833" s="2">
        <v>3999.72</v>
      </c>
      <c r="H1833" t="str">
        <f t="shared" si="32"/>
        <v>GUARDIAN</v>
      </c>
    </row>
    <row r="1834" spans="5:8" x14ac:dyDescent="0.25">
      <c r="E1834" t="str">
        <f>""</f>
        <v/>
      </c>
      <c r="F1834" t="str">
        <f>""</f>
        <v/>
      </c>
      <c r="H1834" t="str">
        <f t="shared" si="32"/>
        <v>GUARDIAN</v>
      </c>
    </row>
    <row r="1835" spans="5:8" x14ac:dyDescent="0.25">
      <c r="E1835" t="str">
        <f>""</f>
        <v/>
      </c>
      <c r="F1835" t="str">
        <f>""</f>
        <v/>
      </c>
      <c r="H1835" t="str">
        <f t="shared" si="32"/>
        <v>GUARDIAN</v>
      </c>
    </row>
    <row r="1836" spans="5:8" x14ac:dyDescent="0.25">
      <c r="E1836" t="str">
        <f>""</f>
        <v/>
      </c>
      <c r="F1836" t="str">
        <f>""</f>
        <v/>
      </c>
      <c r="H1836" t="str">
        <f t="shared" si="32"/>
        <v>GUARDIAN</v>
      </c>
    </row>
    <row r="1837" spans="5:8" x14ac:dyDescent="0.25">
      <c r="E1837" t="str">
        <f>""</f>
        <v/>
      </c>
      <c r="F1837" t="str">
        <f>""</f>
        <v/>
      </c>
      <c r="H1837" t="str">
        <f t="shared" si="32"/>
        <v>GUARDIAN</v>
      </c>
    </row>
    <row r="1838" spans="5:8" x14ac:dyDescent="0.25">
      <c r="E1838" t="str">
        <f>""</f>
        <v/>
      </c>
      <c r="F1838" t="str">
        <f>""</f>
        <v/>
      </c>
      <c r="H1838" t="str">
        <f t="shared" si="32"/>
        <v>GUARDIAN</v>
      </c>
    </row>
    <row r="1839" spans="5:8" x14ac:dyDescent="0.25">
      <c r="E1839" t="str">
        <f>""</f>
        <v/>
      </c>
      <c r="F1839" t="str">
        <f>""</f>
        <v/>
      </c>
      <c r="H1839" t="str">
        <f t="shared" si="32"/>
        <v>GUARDIAN</v>
      </c>
    </row>
    <row r="1840" spans="5:8" x14ac:dyDescent="0.25">
      <c r="E1840" t="str">
        <f>""</f>
        <v/>
      </c>
      <c r="F1840" t="str">
        <f>""</f>
        <v/>
      </c>
      <c r="H1840" t="str">
        <f t="shared" si="32"/>
        <v>GUARDIAN</v>
      </c>
    </row>
    <row r="1841" spans="5:8" x14ac:dyDescent="0.25">
      <c r="E1841" t="str">
        <f>""</f>
        <v/>
      </c>
      <c r="F1841" t="str">
        <f>""</f>
        <v/>
      </c>
      <c r="H1841" t="str">
        <f t="shared" si="32"/>
        <v>GUARDIAN</v>
      </c>
    </row>
    <row r="1842" spans="5:8" x14ac:dyDescent="0.25">
      <c r="E1842" t="str">
        <f>""</f>
        <v/>
      </c>
      <c r="F1842" t="str">
        <f>""</f>
        <v/>
      </c>
      <c r="H1842" t="str">
        <f t="shared" si="32"/>
        <v>GUARDIAN</v>
      </c>
    </row>
    <row r="1843" spans="5:8" x14ac:dyDescent="0.25">
      <c r="E1843" t="str">
        <f>""</f>
        <v/>
      </c>
      <c r="F1843" t="str">
        <f>""</f>
        <v/>
      </c>
      <c r="H1843" t="str">
        <f t="shared" si="32"/>
        <v>GUARDIAN</v>
      </c>
    </row>
    <row r="1844" spans="5:8" x14ac:dyDescent="0.25">
      <c r="E1844" t="str">
        <f>""</f>
        <v/>
      </c>
      <c r="F1844" t="str">
        <f>""</f>
        <v/>
      </c>
      <c r="H1844" t="str">
        <f t="shared" si="32"/>
        <v>GUARDIAN</v>
      </c>
    </row>
    <row r="1845" spans="5:8" x14ac:dyDescent="0.25">
      <c r="E1845" t="str">
        <f>""</f>
        <v/>
      </c>
      <c r="F1845" t="str">
        <f>""</f>
        <v/>
      </c>
      <c r="H1845" t="str">
        <f t="shared" ref="H1845:H1876" si="33">"GUARDIAN"</f>
        <v>GUARDIAN</v>
      </c>
    </row>
    <row r="1846" spans="5:8" x14ac:dyDescent="0.25">
      <c r="E1846" t="str">
        <f>""</f>
        <v/>
      </c>
      <c r="F1846" t="str">
        <f>""</f>
        <v/>
      </c>
      <c r="H1846" t="str">
        <f t="shared" si="33"/>
        <v>GUARDIAN</v>
      </c>
    </row>
    <row r="1847" spans="5:8" x14ac:dyDescent="0.25">
      <c r="E1847" t="str">
        <f>""</f>
        <v/>
      </c>
      <c r="F1847" t="str">
        <f>""</f>
        <v/>
      </c>
      <c r="H1847" t="str">
        <f t="shared" si="33"/>
        <v>GUARDIAN</v>
      </c>
    </row>
    <row r="1848" spans="5:8" x14ac:dyDescent="0.25">
      <c r="E1848" t="str">
        <f>""</f>
        <v/>
      </c>
      <c r="F1848" t="str">
        <f>""</f>
        <v/>
      </c>
      <c r="H1848" t="str">
        <f t="shared" si="33"/>
        <v>GUARDIAN</v>
      </c>
    </row>
    <row r="1849" spans="5:8" x14ac:dyDescent="0.25">
      <c r="E1849" t="str">
        <f>""</f>
        <v/>
      </c>
      <c r="F1849" t="str">
        <f>""</f>
        <v/>
      </c>
      <c r="H1849" t="str">
        <f t="shared" si="33"/>
        <v>GUARDIAN</v>
      </c>
    </row>
    <row r="1850" spans="5:8" x14ac:dyDescent="0.25">
      <c r="E1850" t="str">
        <f>""</f>
        <v/>
      </c>
      <c r="F1850" t="str">
        <f>""</f>
        <v/>
      </c>
      <c r="H1850" t="str">
        <f t="shared" si="33"/>
        <v>GUARDIAN</v>
      </c>
    </row>
    <row r="1851" spans="5:8" x14ac:dyDescent="0.25">
      <c r="E1851" t="str">
        <f>""</f>
        <v/>
      </c>
      <c r="F1851" t="str">
        <f>""</f>
        <v/>
      </c>
      <c r="H1851" t="str">
        <f t="shared" si="33"/>
        <v>GUARDIAN</v>
      </c>
    </row>
    <row r="1852" spans="5:8" x14ac:dyDescent="0.25">
      <c r="E1852" t="str">
        <f>""</f>
        <v/>
      </c>
      <c r="F1852" t="str">
        <f>""</f>
        <v/>
      </c>
      <c r="H1852" t="str">
        <f t="shared" si="33"/>
        <v>GUARDIAN</v>
      </c>
    </row>
    <row r="1853" spans="5:8" x14ac:dyDescent="0.25">
      <c r="E1853" t="str">
        <f>""</f>
        <v/>
      </c>
      <c r="F1853" t="str">
        <f>""</f>
        <v/>
      </c>
      <c r="H1853" t="str">
        <f t="shared" si="33"/>
        <v>GUARDIAN</v>
      </c>
    </row>
    <row r="1854" spans="5:8" x14ac:dyDescent="0.25">
      <c r="E1854" t="str">
        <f>""</f>
        <v/>
      </c>
      <c r="F1854" t="str">
        <f>""</f>
        <v/>
      </c>
      <c r="H1854" t="str">
        <f t="shared" si="33"/>
        <v>GUARDIAN</v>
      </c>
    </row>
    <row r="1855" spans="5:8" x14ac:dyDescent="0.25">
      <c r="E1855" t="str">
        <f>""</f>
        <v/>
      </c>
      <c r="F1855" t="str">
        <f>""</f>
        <v/>
      </c>
      <c r="H1855" t="str">
        <f t="shared" si="33"/>
        <v>GUARDIAN</v>
      </c>
    </row>
    <row r="1856" spans="5:8" x14ac:dyDescent="0.25">
      <c r="E1856" t="str">
        <f>""</f>
        <v/>
      </c>
      <c r="F1856" t="str">
        <f>""</f>
        <v/>
      </c>
      <c r="H1856" t="str">
        <f t="shared" si="33"/>
        <v>GUARDIAN</v>
      </c>
    </row>
    <row r="1857" spans="5:8" x14ac:dyDescent="0.25">
      <c r="E1857" t="str">
        <f>""</f>
        <v/>
      </c>
      <c r="F1857" t="str">
        <f>""</f>
        <v/>
      </c>
      <c r="H1857" t="str">
        <f t="shared" si="33"/>
        <v>GUARDIAN</v>
      </c>
    </row>
    <row r="1858" spans="5:8" x14ac:dyDescent="0.25">
      <c r="E1858" t="str">
        <f>""</f>
        <v/>
      </c>
      <c r="F1858" t="str">
        <f>""</f>
        <v/>
      </c>
      <c r="H1858" t="str">
        <f t="shared" si="33"/>
        <v>GUARDIAN</v>
      </c>
    </row>
    <row r="1859" spans="5:8" x14ac:dyDescent="0.25">
      <c r="E1859" t="str">
        <f>""</f>
        <v/>
      </c>
      <c r="F1859" t="str">
        <f>""</f>
        <v/>
      </c>
      <c r="H1859" t="str">
        <f t="shared" si="33"/>
        <v>GUARDIAN</v>
      </c>
    </row>
    <row r="1860" spans="5:8" x14ac:dyDescent="0.25">
      <c r="E1860" t="str">
        <f>""</f>
        <v/>
      </c>
      <c r="F1860" t="str">
        <f>""</f>
        <v/>
      </c>
      <c r="H1860" t="str">
        <f t="shared" si="33"/>
        <v>GUARDIAN</v>
      </c>
    </row>
    <row r="1861" spans="5:8" x14ac:dyDescent="0.25">
      <c r="E1861" t="str">
        <f>""</f>
        <v/>
      </c>
      <c r="F1861" t="str">
        <f>""</f>
        <v/>
      </c>
      <c r="H1861" t="str">
        <f t="shared" si="33"/>
        <v>GUARDIAN</v>
      </c>
    </row>
    <row r="1862" spans="5:8" x14ac:dyDescent="0.25">
      <c r="E1862" t="str">
        <f>""</f>
        <v/>
      </c>
      <c r="F1862" t="str">
        <f>""</f>
        <v/>
      </c>
      <c r="H1862" t="str">
        <f t="shared" si="33"/>
        <v>GUARDIAN</v>
      </c>
    </row>
    <row r="1863" spans="5:8" x14ac:dyDescent="0.25">
      <c r="E1863" t="str">
        <f>""</f>
        <v/>
      </c>
      <c r="F1863" t="str">
        <f>""</f>
        <v/>
      </c>
      <c r="H1863" t="str">
        <f t="shared" si="33"/>
        <v>GUARDIAN</v>
      </c>
    </row>
    <row r="1864" spans="5:8" x14ac:dyDescent="0.25">
      <c r="E1864" t="str">
        <f>""</f>
        <v/>
      </c>
      <c r="F1864" t="str">
        <f>""</f>
        <v/>
      </c>
      <c r="H1864" t="str">
        <f t="shared" si="33"/>
        <v>GUARDIAN</v>
      </c>
    </row>
    <row r="1865" spans="5:8" x14ac:dyDescent="0.25">
      <c r="E1865" t="str">
        <f>""</f>
        <v/>
      </c>
      <c r="F1865" t="str">
        <f>""</f>
        <v/>
      </c>
      <c r="H1865" t="str">
        <f t="shared" si="33"/>
        <v>GUARDIAN</v>
      </c>
    </row>
    <row r="1866" spans="5:8" x14ac:dyDescent="0.25">
      <c r="E1866" t="str">
        <f>""</f>
        <v/>
      </c>
      <c r="F1866" t="str">
        <f>""</f>
        <v/>
      </c>
      <c r="H1866" t="str">
        <f t="shared" si="33"/>
        <v>GUARDIAN</v>
      </c>
    </row>
    <row r="1867" spans="5:8" x14ac:dyDescent="0.25">
      <c r="E1867" t="str">
        <f>""</f>
        <v/>
      </c>
      <c r="F1867" t="str">
        <f>""</f>
        <v/>
      </c>
      <c r="H1867" t="str">
        <f t="shared" si="33"/>
        <v>GUARDIAN</v>
      </c>
    </row>
    <row r="1868" spans="5:8" x14ac:dyDescent="0.25">
      <c r="E1868" t="str">
        <f>""</f>
        <v/>
      </c>
      <c r="F1868" t="str">
        <f>""</f>
        <v/>
      </c>
      <c r="H1868" t="str">
        <f t="shared" si="33"/>
        <v>GUARDIAN</v>
      </c>
    </row>
    <row r="1869" spans="5:8" x14ac:dyDescent="0.25">
      <c r="E1869" t="str">
        <f>""</f>
        <v/>
      </c>
      <c r="F1869" t="str">
        <f>""</f>
        <v/>
      </c>
      <c r="H1869" t="str">
        <f t="shared" si="33"/>
        <v>GUARDIAN</v>
      </c>
    </row>
    <row r="1870" spans="5:8" x14ac:dyDescent="0.25">
      <c r="E1870" t="str">
        <f>""</f>
        <v/>
      </c>
      <c r="F1870" t="str">
        <f>""</f>
        <v/>
      </c>
      <c r="H1870" t="str">
        <f t="shared" si="33"/>
        <v>GUARDIAN</v>
      </c>
    </row>
    <row r="1871" spans="5:8" x14ac:dyDescent="0.25">
      <c r="E1871" t="str">
        <f>""</f>
        <v/>
      </c>
      <c r="F1871" t="str">
        <f>""</f>
        <v/>
      </c>
      <c r="H1871" t="str">
        <f t="shared" si="33"/>
        <v>GUARDIAN</v>
      </c>
    </row>
    <row r="1872" spans="5:8" x14ac:dyDescent="0.25">
      <c r="E1872" t="str">
        <f>""</f>
        <v/>
      </c>
      <c r="F1872" t="str">
        <f>""</f>
        <v/>
      </c>
      <c r="H1872" t="str">
        <f t="shared" si="33"/>
        <v>GUARDIAN</v>
      </c>
    </row>
    <row r="1873" spans="5:8" x14ac:dyDescent="0.25">
      <c r="E1873" t="str">
        <f>""</f>
        <v/>
      </c>
      <c r="F1873" t="str">
        <f>""</f>
        <v/>
      </c>
      <c r="H1873" t="str">
        <f t="shared" si="33"/>
        <v>GUARDIAN</v>
      </c>
    </row>
    <row r="1874" spans="5:8" x14ac:dyDescent="0.25">
      <c r="E1874" t="str">
        <f>""</f>
        <v/>
      </c>
      <c r="F1874" t="str">
        <f>""</f>
        <v/>
      </c>
      <c r="H1874" t="str">
        <f t="shared" si="33"/>
        <v>GUARDIAN</v>
      </c>
    </row>
    <row r="1875" spans="5:8" x14ac:dyDescent="0.25">
      <c r="E1875" t="str">
        <f>""</f>
        <v/>
      </c>
      <c r="F1875" t="str">
        <f>""</f>
        <v/>
      </c>
      <c r="H1875" t="str">
        <f t="shared" si="33"/>
        <v>GUARDIAN</v>
      </c>
    </row>
    <row r="1876" spans="5:8" x14ac:dyDescent="0.25">
      <c r="E1876" t="str">
        <f>""</f>
        <v/>
      </c>
      <c r="F1876" t="str">
        <f>""</f>
        <v/>
      </c>
      <c r="H1876" t="str">
        <f t="shared" si="33"/>
        <v>GUARDIAN</v>
      </c>
    </row>
    <row r="1877" spans="5:8" x14ac:dyDescent="0.25">
      <c r="E1877" t="str">
        <f>""</f>
        <v/>
      </c>
      <c r="F1877" t="str">
        <f>""</f>
        <v/>
      </c>
      <c r="H1877" t="str">
        <f t="shared" ref="H1877:H1908" si="34">"GUARDIAN"</f>
        <v>GUARDIAN</v>
      </c>
    </row>
    <row r="1878" spans="5:8" x14ac:dyDescent="0.25">
      <c r="E1878" t="str">
        <f>""</f>
        <v/>
      </c>
      <c r="F1878" t="str">
        <f>""</f>
        <v/>
      </c>
      <c r="H1878" t="str">
        <f t="shared" si="34"/>
        <v>GUARDIAN</v>
      </c>
    </row>
    <row r="1879" spans="5:8" x14ac:dyDescent="0.25">
      <c r="E1879" t="str">
        <f>""</f>
        <v/>
      </c>
      <c r="F1879" t="str">
        <f>""</f>
        <v/>
      </c>
      <c r="H1879" t="str">
        <f t="shared" si="34"/>
        <v>GUARDIAN</v>
      </c>
    </row>
    <row r="1880" spans="5:8" x14ac:dyDescent="0.25">
      <c r="E1880" t="str">
        <f>""</f>
        <v/>
      </c>
      <c r="F1880" t="str">
        <f>""</f>
        <v/>
      </c>
      <c r="H1880" t="str">
        <f t="shared" si="34"/>
        <v>GUARDIAN</v>
      </c>
    </row>
    <row r="1881" spans="5:8" x14ac:dyDescent="0.25">
      <c r="E1881" t="str">
        <f>""</f>
        <v/>
      </c>
      <c r="F1881" t="str">
        <f>""</f>
        <v/>
      </c>
      <c r="H1881" t="str">
        <f t="shared" si="34"/>
        <v>GUARDIAN</v>
      </c>
    </row>
    <row r="1882" spans="5:8" x14ac:dyDescent="0.25">
      <c r="E1882" t="str">
        <f>""</f>
        <v/>
      </c>
      <c r="F1882" t="str">
        <f>""</f>
        <v/>
      </c>
      <c r="H1882" t="str">
        <f t="shared" si="34"/>
        <v>GUARDIAN</v>
      </c>
    </row>
    <row r="1883" spans="5:8" x14ac:dyDescent="0.25">
      <c r="E1883" t="str">
        <f>""</f>
        <v/>
      </c>
      <c r="F1883" t="str">
        <f>""</f>
        <v/>
      </c>
      <c r="H1883" t="str">
        <f t="shared" si="34"/>
        <v>GUARDIAN</v>
      </c>
    </row>
    <row r="1884" spans="5:8" x14ac:dyDescent="0.25">
      <c r="E1884" t="str">
        <f>"LIE201912113948"</f>
        <v>LIE201912113948</v>
      </c>
      <c r="F1884" t="str">
        <f>"GUARDIAN"</f>
        <v>GUARDIAN</v>
      </c>
      <c r="G1884" s="2">
        <v>90.2</v>
      </c>
      <c r="H1884" t="str">
        <f t="shared" si="34"/>
        <v>GUARDIAN</v>
      </c>
    </row>
    <row r="1885" spans="5:8" x14ac:dyDescent="0.25">
      <c r="E1885" t="str">
        <f>""</f>
        <v/>
      </c>
      <c r="F1885" t="str">
        <f>""</f>
        <v/>
      </c>
      <c r="H1885" t="str">
        <f t="shared" si="34"/>
        <v>GUARDIAN</v>
      </c>
    </row>
    <row r="1886" spans="5:8" x14ac:dyDescent="0.25">
      <c r="E1886" t="str">
        <f>"LIE201912244290"</f>
        <v>LIE201912244290</v>
      </c>
      <c r="F1886" t="str">
        <f>"GUARDIAN"</f>
        <v>GUARDIAN</v>
      </c>
      <c r="G1886" s="2">
        <v>3842.92</v>
      </c>
      <c r="H1886" t="str">
        <f t="shared" si="34"/>
        <v>GUARDIAN</v>
      </c>
    </row>
    <row r="1887" spans="5:8" x14ac:dyDescent="0.25">
      <c r="E1887" t="str">
        <f>""</f>
        <v/>
      </c>
      <c r="F1887" t="str">
        <f>""</f>
        <v/>
      </c>
      <c r="H1887" t="str">
        <f t="shared" si="34"/>
        <v>GUARDIAN</v>
      </c>
    </row>
    <row r="1888" spans="5:8" x14ac:dyDescent="0.25">
      <c r="E1888" t="str">
        <f>""</f>
        <v/>
      </c>
      <c r="F1888" t="str">
        <f>""</f>
        <v/>
      </c>
      <c r="H1888" t="str">
        <f t="shared" si="34"/>
        <v>GUARDIAN</v>
      </c>
    </row>
    <row r="1889" spans="5:8" x14ac:dyDescent="0.25">
      <c r="E1889" t="str">
        <f>""</f>
        <v/>
      </c>
      <c r="F1889" t="str">
        <f>""</f>
        <v/>
      </c>
      <c r="H1889" t="str">
        <f t="shared" si="34"/>
        <v>GUARDIAN</v>
      </c>
    </row>
    <row r="1890" spans="5:8" x14ac:dyDescent="0.25">
      <c r="E1890" t="str">
        <f>""</f>
        <v/>
      </c>
      <c r="F1890" t="str">
        <f>""</f>
        <v/>
      </c>
      <c r="H1890" t="str">
        <f t="shared" si="34"/>
        <v>GUARDIAN</v>
      </c>
    </row>
    <row r="1891" spans="5:8" x14ac:dyDescent="0.25">
      <c r="E1891" t="str">
        <f>""</f>
        <v/>
      </c>
      <c r="F1891" t="str">
        <f>""</f>
        <v/>
      </c>
      <c r="H1891" t="str">
        <f t="shared" si="34"/>
        <v>GUARDIAN</v>
      </c>
    </row>
    <row r="1892" spans="5:8" x14ac:dyDescent="0.25">
      <c r="E1892" t="str">
        <f>""</f>
        <v/>
      </c>
      <c r="F1892" t="str">
        <f>""</f>
        <v/>
      </c>
      <c r="H1892" t="str">
        <f t="shared" si="34"/>
        <v>GUARDIAN</v>
      </c>
    </row>
    <row r="1893" spans="5:8" x14ac:dyDescent="0.25">
      <c r="E1893" t="str">
        <f>""</f>
        <v/>
      </c>
      <c r="F1893" t="str">
        <f>""</f>
        <v/>
      </c>
      <c r="H1893" t="str">
        <f t="shared" si="34"/>
        <v>GUARDIAN</v>
      </c>
    </row>
    <row r="1894" spans="5:8" x14ac:dyDescent="0.25">
      <c r="E1894" t="str">
        <f>""</f>
        <v/>
      </c>
      <c r="F1894" t="str">
        <f>""</f>
        <v/>
      </c>
      <c r="H1894" t="str">
        <f t="shared" si="34"/>
        <v>GUARDIAN</v>
      </c>
    </row>
    <row r="1895" spans="5:8" x14ac:dyDescent="0.25">
      <c r="E1895" t="str">
        <f>""</f>
        <v/>
      </c>
      <c r="F1895" t="str">
        <f>""</f>
        <v/>
      </c>
      <c r="H1895" t="str">
        <f t="shared" si="34"/>
        <v>GUARDIAN</v>
      </c>
    </row>
    <row r="1896" spans="5:8" x14ac:dyDescent="0.25">
      <c r="E1896" t="str">
        <f>""</f>
        <v/>
      </c>
      <c r="F1896" t="str">
        <f>""</f>
        <v/>
      </c>
      <c r="H1896" t="str">
        <f t="shared" si="34"/>
        <v>GUARDIAN</v>
      </c>
    </row>
    <row r="1897" spans="5:8" x14ac:dyDescent="0.25">
      <c r="E1897" t="str">
        <f>""</f>
        <v/>
      </c>
      <c r="F1897" t="str">
        <f>""</f>
        <v/>
      </c>
      <c r="H1897" t="str">
        <f t="shared" si="34"/>
        <v>GUARDIAN</v>
      </c>
    </row>
    <row r="1898" spans="5:8" x14ac:dyDescent="0.25">
      <c r="E1898" t="str">
        <f>""</f>
        <v/>
      </c>
      <c r="F1898" t="str">
        <f>""</f>
        <v/>
      </c>
      <c r="H1898" t="str">
        <f t="shared" si="34"/>
        <v>GUARDIAN</v>
      </c>
    </row>
    <row r="1899" spans="5:8" x14ac:dyDescent="0.25">
      <c r="E1899" t="str">
        <f>""</f>
        <v/>
      </c>
      <c r="F1899" t="str">
        <f>""</f>
        <v/>
      </c>
      <c r="H1899" t="str">
        <f t="shared" si="34"/>
        <v>GUARDIAN</v>
      </c>
    </row>
    <row r="1900" spans="5:8" x14ac:dyDescent="0.25">
      <c r="E1900" t="str">
        <f>""</f>
        <v/>
      </c>
      <c r="F1900" t="str">
        <f>""</f>
        <v/>
      </c>
      <c r="H1900" t="str">
        <f t="shared" si="34"/>
        <v>GUARDIAN</v>
      </c>
    </row>
    <row r="1901" spans="5:8" x14ac:dyDescent="0.25">
      <c r="E1901" t="str">
        <f>""</f>
        <v/>
      </c>
      <c r="F1901" t="str">
        <f>""</f>
        <v/>
      </c>
      <c r="H1901" t="str">
        <f t="shared" si="34"/>
        <v>GUARDIAN</v>
      </c>
    </row>
    <row r="1902" spans="5:8" x14ac:dyDescent="0.25">
      <c r="E1902" t="str">
        <f>""</f>
        <v/>
      </c>
      <c r="F1902" t="str">
        <f>""</f>
        <v/>
      </c>
      <c r="H1902" t="str">
        <f t="shared" si="34"/>
        <v>GUARDIAN</v>
      </c>
    </row>
    <row r="1903" spans="5:8" x14ac:dyDescent="0.25">
      <c r="E1903" t="str">
        <f>""</f>
        <v/>
      </c>
      <c r="F1903" t="str">
        <f>""</f>
        <v/>
      </c>
      <c r="H1903" t="str">
        <f t="shared" si="34"/>
        <v>GUARDIAN</v>
      </c>
    </row>
    <row r="1904" spans="5:8" x14ac:dyDescent="0.25">
      <c r="E1904" t="str">
        <f>""</f>
        <v/>
      </c>
      <c r="F1904" t="str">
        <f>""</f>
        <v/>
      </c>
      <c r="H1904" t="str">
        <f t="shared" si="34"/>
        <v>GUARDIAN</v>
      </c>
    </row>
    <row r="1905" spans="5:8" x14ac:dyDescent="0.25">
      <c r="E1905" t="str">
        <f>""</f>
        <v/>
      </c>
      <c r="F1905" t="str">
        <f>""</f>
        <v/>
      </c>
      <c r="H1905" t="str">
        <f t="shared" si="34"/>
        <v>GUARDIAN</v>
      </c>
    </row>
    <row r="1906" spans="5:8" x14ac:dyDescent="0.25">
      <c r="E1906" t="str">
        <f>""</f>
        <v/>
      </c>
      <c r="F1906" t="str">
        <f>""</f>
        <v/>
      </c>
      <c r="H1906" t="str">
        <f t="shared" si="34"/>
        <v>GUARDIAN</v>
      </c>
    </row>
    <row r="1907" spans="5:8" x14ac:dyDescent="0.25">
      <c r="E1907" t="str">
        <f>""</f>
        <v/>
      </c>
      <c r="F1907" t="str">
        <f>""</f>
        <v/>
      </c>
      <c r="H1907" t="str">
        <f t="shared" si="34"/>
        <v>GUARDIAN</v>
      </c>
    </row>
    <row r="1908" spans="5:8" x14ac:dyDescent="0.25">
      <c r="E1908" t="str">
        <f>""</f>
        <v/>
      </c>
      <c r="F1908" t="str">
        <f>""</f>
        <v/>
      </c>
      <c r="H1908" t="str">
        <f t="shared" si="34"/>
        <v>GUARDIAN</v>
      </c>
    </row>
    <row r="1909" spans="5:8" x14ac:dyDescent="0.25">
      <c r="E1909" t="str">
        <f>""</f>
        <v/>
      </c>
      <c r="F1909" t="str">
        <f>""</f>
        <v/>
      </c>
      <c r="H1909" t="str">
        <f t="shared" ref="H1909:H1940" si="35">"GUARDIAN"</f>
        <v>GUARDIAN</v>
      </c>
    </row>
    <row r="1910" spans="5:8" x14ac:dyDescent="0.25">
      <c r="E1910" t="str">
        <f>""</f>
        <v/>
      </c>
      <c r="F1910" t="str">
        <f>""</f>
        <v/>
      </c>
      <c r="H1910" t="str">
        <f t="shared" si="35"/>
        <v>GUARDIAN</v>
      </c>
    </row>
    <row r="1911" spans="5:8" x14ac:dyDescent="0.25">
      <c r="E1911" t="str">
        <f>""</f>
        <v/>
      </c>
      <c r="F1911" t="str">
        <f>""</f>
        <v/>
      </c>
      <c r="H1911" t="str">
        <f t="shared" si="35"/>
        <v>GUARDIAN</v>
      </c>
    </row>
    <row r="1912" spans="5:8" x14ac:dyDescent="0.25">
      <c r="E1912" t="str">
        <f>""</f>
        <v/>
      </c>
      <c r="F1912" t="str">
        <f>""</f>
        <v/>
      </c>
      <c r="H1912" t="str">
        <f t="shared" si="35"/>
        <v>GUARDIAN</v>
      </c>
    </row>
    <row r="1913" spans="5:8" x14ac:dyDescent="0.25">
      <c r="E1913" t="str">
        <f>""</f>
        <v/>
      </c>
      <c r="F1913" t="str">
        <f>""</f>
        <v/>
      </c>
      <c r="H1913" t="str">
        <f t="shared" si="35"/>
        <v>GUARDIAN</v>
      </c>
    </row>
    <row r="1914" spans="5:8" x14ac:dyDescent="0.25">
      <c r="E1914" t="str">
        <f>""</f>
        <v/>
      </c>
      <c r="F1914" t="str">
        <f>""</f>
        <v/>
      </c>
      <c r="H1914" t="str">
        <f t="shared" si="35"/>
        <v>GUARDIAN</v>
      </c>
    </row>
    <row r="1915" spans="5:8" x14ac:dyDescent="0.25">
      <c r="E1915" t="str">
        <f>""</f>
        <v/>
      </c>
      <c r="F1915" t="str">
        <f>""</f>
        <v/>
      </c>
      <c r="H1915" t="str">
        <f t="shared" si="35"/>
        <v>GUARDIAN</v>
      </c>
    </row>
    <row r="1916" spans="5:8" x14ac:dyDescent="0.25">
      <c r="E1916" t="str">
        <f>""</f>
        <v/>
      </c>
      <c r="F1916" t="str">
        <f>""</f>
        <v/>
      </c>
      <c r="H1916" t="str">
        <f t="shared" si="35"/>
        <v>GUARDIAN</v>
      </c>
    </row>
    <row r="1917" spans="5:8" x14ac:dyDescent="0.25">
      <c r="E1917" t="str">
        <f>""</f>
        <v/>
      </c>
      <c r="F1917" t="str">
        <f>""</f>
        <v/>
      </c>
      <c r="H1917" t="str">
        <f t="shared" si="35"/>
        <v>GUARDIAN</v>
      </c>
    </row>
    <row r="1918" spans="5:8" x14ac:dyDescent="0.25">
      <c r="E1918" t="str">
        <f>""</f>
        <v/>
      </c>
      <c r="F1918" t="str">
        <f>""</f>
        <v/>
      </c>
      <c r="H1918" t="str">
        <f t="shared" si="35"/>
        <v>GUARDIAN</v>
      </c>
    </row>
    <row r="1919" spans="5:8" x14ac:dyDescent="0.25">
      <c r="E1919" t="str">
        <f>""</f>
        <v/>
      </c>
      <c r="F1919" t="str">
        <f>""</f>
        <v/>
      </c>
      <c r="H1919" t="str">
        <f t="shared" si="35"/>
        <v>GUARDIAN</v>
      </c>
    </row>
    <row r="1920" spans="5:8" x14ac:dyDescent="0.25">
      <c r="E1920" t="str">
        <f>""</f>
        <v/>
      </c>
      <c r="F1920" t="str">
        <f>""</f>
        <v/>
      </c>
      <c r="H1920" t="str">
        <f t="shared" si="35"/>
        <v>GUARDIAN</v>
      </c>
    </row>
    <row r="1921" spans="5:8" x14ac:dyDescent="0.25">
      <c r="E1921" t="str">
        <f>""</f>
        <v/>
      </c>
      <c r="F1921" t="str">
        <f>""</f>
        <v/>
      </c>
      <c r="H1921" t="str">
        <f t="shared" si="35"/>
        <v>GUARDIAN</v>
      </c>
    </row>
    <row r="1922" spans="5:8" x14ac:dyDescent="0.25">
      <c r="E1922" t="str">
        <f>""</f>
        <v/>
      </c>
      <c r="F1922" t="str">
        <f>""</f>
        <v/>
      </c>
      <c r="H1922" t="str">
        <f t="shared" si="35"/>
        <v>GUARDIAN</v>
      </c>
    </row>
    <row r="1923" spans="5:8" x14ac:dyDescent="0.25">
      <c r="E1923" t="str">
        <f>""</f>
        <v/>
      </c>
      <c r="F1923" t="str">
        <f>""</f>
        <v/>
      </c>
      <c r="H1923" t="str">
        <f t="shared" si="35"/>
        <v>GUARDIAN</v>
      </c>
    </row>
    <row r="1924" spans="5:8" x14ac:dyDescent="0.25">
      <c r="E1924" t="str">
        <f>""</f>
        <v/>
      </c>
      <c r="F1924" t="str">
        <f>""</f>
        <v/>
      </c>
      <c r="H1924" t="str">
        <f t="shared" si="35"/>
        <v>GUARDIAN</v>
      </c>
    </row>
    <row r="1925" spans="5:8" x14ac:dyDescent="0.25">
      <c r="E1925" t="str">
        <f>""</f>
        <v/>
      </c>
      <c r="F1925" t="str">
        <f>""</f>
        <v/>
      </c>
      <c r="H1925" t="str">
        <f t="shared" si="35"/>
        <v>GUARDIAN</v>
      </c>
    </row>
    <row r="1926" spans="5:8" x14ac:dyDescent="0.25">
      <c r="E1926" t="str">
        <f>""</f>
        <v/>
      </c>
      <c r="F1926" t="str">
        <f>""</f>
        <v/>
      </c>
      <c r="H1926" t="str">
        <f t="shared" si="35"/>
        <v>GUARDIAN</v>
      </c>
    </row>
    <row r="1927" spans="5:8" x14ac:dyDescent="0.25">
      <c r="E1927" t="str">
        <f>""</f>
        <v/>
      </c>
      <c r="F1927" t="str">
        <f>""</f>
        <v/>
      </c>
      <c r="H1927" t="str">
        <f t="shared" si="35"/>
        <v>GUARDIAN</v>
      </c>
    </row>
    <row r="1928" spans="5:8" x14ac:dyDescent="0.25">
      <c r="E1928" t="str">
        <f>""</f>
        <v/>
      </c>
      <c r="F1928" t="str">
        <f>""</f>
        <v/>
      </c>
      <c r="H1928" t="str">
        <f t="shared" si="35"/>
        <v>GUARDIAN</v>
      </c>
    </row>
    <row r="1929" spans="5:8" x14ac:dyDescent="0.25">
      <c r="E1929" t="str">
        <f>""</f>
        <v/>
      </c>
      <c r="F1929" t="str">
        <f>""</f>
        <v/>
      </c>
      <c r="H1929" t="str">
        <f t="shared" si="35"/>
        <v>GUARDIAN</v>
      </c>
    </row>
    <row r="1930" spans="5:8" x14ac:dyDescent="0.25">
      <c r="E1930" t="str">
        <f>""</f>
        <v/>
      </c>
      <c r="F1930" t="str">
        <f>""</f>
        <v/>
      </c>
      <c r="H1930" t="str">
        <f t="shared" si="35"/>
        <v>GUARDIAN</v>
      </c>
    </row>
    <row r="1931" spans="5:8" x14ac:dyDescent="0.25">
      <c r="E1931" t="str">
        <f>""</f>
        <v/>
      </c>
      <c r="F1931" t="str">
        <f>""</f>
        <v/>
      </c>
      <c r="H1931" t="str">
        <f t="shared" si="35"/>
        <v>GUARDIAN</v>
      </c>
    </row>
    <row r="1932" spans="5:8" x14ac:dyDescent="0.25">
      <c r="E1932" t="str">
        <f>""</f>
        <v/>
      </c>
      <c r="F1932" t="str">
        <f>""</f>
        <v/>
      </c>
      <c r="H1932" t="str">
        <f t="shared" si="35"/>
        <v>GUARDIAN</v>
      </c>
    </row>
    <row r="1933" spans="5:8" x14ac:dyDescent="0.25">
      <c r="E1933" t="str">
        <f>""</f>
        <v/>
      </c>
      <c r="F1933" t="str">
        <f>""</f>
        <v/>
      </c>
      <c r="H1933" t="str">
        <f t="shared" si="35"/>
        <v>GUARDIAN</v>
      </c>
    </row>
    <row r="1934" spans="5:8" x14ac:dyDescent="0.25">
      <c r="E1934" t="str">
        <f>""</f>
        <v/>
      </c>
      <c r="F1934" t="str">
        <f>""</f>
        <v/>
      </c>
      <c r="H1934" t="str">
        <f t="shared" si="35"/>
        <v>GUARDIAN</v>
      </c>
    </row>
    <row r="1935" spans="5:8" x14ac:dyDescent="0.25">
      <c r="E1935" t="str">
        <f>""</f>
        <v/>
      </c>
      <c r="F1935" t="str">
        <f>""</f>
        <v/>
      </c>
      <c r="H1935" t="str">
        <f t="shared" si="35"/>
        <v>GUARDIAN</v>
      </c>
    </row>
    <row r="1936" spans="5:8" x14ac:dyDescent="0.25">
      <c r="E1936" t="str">
        <f>""</f>
        <v/>
      </c>
      <c r="F1936" t="str">
        <f>""</f>
        <v/>
      </c>
      <c r="H1936" t="str">
        <f t="shared" si="35"/>
        <v>GUARDIAN</v>
      </c>
    </row>
    <row r="1937" spans="1:8" x14ac:dyDescent="0.25">
      <c r="E1937" t="str">
        <f>"LIE201912244291"</f>
        <v>LIE201912244291</v>
      </c>
      <c r="F1937" t="str">
        <f>"GUARDIAN"</f>
        <v>GUARDIAN</v>
      </c>
      <c r="G1937" s="2">
        <v>90.2</v>
      </c>
      <c r="H1937" t="str">
        <f t="shared" si="35"/>
        <v>GUARDIAN</v>
      </c>
    </row>
    <row r="1938" spans="1:8" x14ac:dyDescent="0.25">
      <c r="E1938" t="str">
        <f>""</f>
        <v/>
      </c>
      <c r="F1938" t="str">
        <f>""</f>
        <v/>
      </c>
      <c r="H1938" t="str">
        <f t="shared" si="35"/>
        <v>GUARDIAN</v>
      </c>
    </row>
    <row r="1939" spans="1:8" x14ac:dyDescent="0.25">
      <c r="E1939" t="str">
        <f>"LIS201912113947"</f>
        <v>LIS201912113947</v>
      </c>
      <c r="F1939" t="str">
        <f t="shared" ref="F1939:F1950" si="36">"GUARDIAN"</f>
        <v>GUARDIAN</v>
      </c>
      <c r="G1939" s="2">
        <v>536.27</v>
      </c>
      <c r="H1939" t="str">
        <f t="shared" si="35"/>
        <v>GUARDIAN</v>
      </c>
    </row>
    <row r="1940" spans="1:8" x14ac:dyDescent="0.25">
      <c r="E1940" t="str">
        <f>"LIS201912113948"</f>
        <v>LIS201912113948</v>
      </c>
      <c r="F1940" t="str">
        <f t="shared" si="36"/>
        <v>GUARDIAN</v>
      </c>
      <c r="G1940" s="2">
        <v>36.15</v>
      </c>
      <c r="H1940" t="str">
        <f t="shared" si="35"/>
        <v>GUARDIAN</v>
      </c>
    </row>
    <row r="1941" spans="1:8" x14ac:dyDescent="0.25">
      <c r="E1941" t="str">
        <f>"LIS201912244290"</f>
        <v>LIS201912244290</v>
      </c>
      <c r="F1941" t="str">
        <f t="shared" si="36"/>
        <v>GUARDIAN</v>
      </c>
      <c r="G1941" s="2">
        <v>515.87</v>
      </c>
      <c r="H1941" t="str">
        <f t="shared" ref="H1941:H1950" si="37">"GUARDIAN"</f>
        <v>GUARDIAN</v>
      </c>
    </row>
    <row r="1942" spans="1:8" x14ac:dyDescent="0.25">
      <c r="E1942" t="str">
        <f>"LIS201912244291"</f>
        <v>LIS201912244291</v>
      </c>
      <c r="F1942" t="str">
        <f t="shared" si="36"/>
        <v>GUARDIAN</v>
      </c>
      <c r="G1942" s="2">
        <v>36.15</v>
      </c>
      <c r="H1942" t="str">
        <f t="shared" si="37"/>
        <v>GUARDIAN</v>
      </c>
    </row>
    <row r="1943" spans="1:8" x14ac:dyDescent="0.25">
      <c r="E1943" t="str">
        <f>"LTD201912113947"</f>
        <v>LTD201912113947</v>
      </c>
      <c r="F1943" t="str">
        <f t="shared" si="36"/>
        <v>GUARDIAN</v>
      </c>
      <c r="G1943" s="2">
        <v>857.25</v>
      </c>
      <c r="H1943" t="str">
        <f t="shared" si="37"/>
        <v>GUARDIAN</v>
      </c>
    </row>
    <row r="1944" spans="1:8" x14ac:dyDescent="0.25">
      <c r="E1944" t="str">
        <f>"LTD201912113948"</f>
        <v>LTD201912113948</v>
      </c>
      <c r="F1944" t="str">
        <f t="shared" si="36"/>
        <v>GUARDIAN</v>
      </c>
      <c r="G1944" s="2">
        <v>6.11</v>
      </c>
      <c r="H1944" t="str">
        <f t="shared" si="37"/>
        <v>GUARDIAN</v>
      </c>
    </row>
    <row r="1945" spans="1:8" x14ac:dyDescent="0.25">
      <c r="E1945" t="str">
        <f>"LTD201912244290"</f>
        <v>LTD201912244290</v>
      </c>
      <c r="F1945" t="str">
        <f t="shared" si="36"/>
        <v>GUARDIAN</v>
      </c>
      <c r="G1945" s="2">
        <v>849.59</v>
      </c>
      <c r="H1945" t="str">
        <f t="shared" si="37"/>
        <v>GUARDIAN</v>
      </c>
    </row>
    <row r="1946" spans="1:8" x14ac:dyDescent="0.25">
      <c r="E1946" t="str">
        <f>"LTD201912244291"</f>
        <v>LTD201912244291</v>
      </c>
      <c r="F1946" t="str">
        <f t="shared" si="36"/>
        <v>GUARDIAN</v>
      </c>
      <c r="G1946" s="2">
        <v>6.11</v>
      </c>
      <c r="H1946" t="str">
        <f t="shared" si="37"/>
        <v>GUARDIAN</v>
      </c>
    </row>
    <row r="1947" spans="1:8" x14ac:dyDescent="0.25">
      <c r="A1947" t="s">
        <v>561</v>
      </c>
      <c r="B1947">
        <v>330</v>
      </c>
      <c r="C1947" s="2">
        <v>109.1</v>
      </c>
      <c r="D1947" s="1">
        <v>43826</v>
      </c>
      <c r="E1947" t="str">
        <f>"AEG201912113947"</f>
        <v>AEG201912113947</v>
      </c>
      <c r="F1947" t="str">
        <f t="shared" si="36"/>
        <v>GUARDIAN</v>
      </c>
      <c r="G1947" s="2">
        <v>6.66</v>
      </c>
      <c r="H1947" t="str">
        <f t="shared" si="37"/>
        <v>GUARDIAN</v>
      </c>
    </row>
    <row r="1948" spans="1:8" x14ac:dyDescent="0.25">
      <c r="E1948" t="str">
        <f>"AEG201912244290"</f>
        <v>AEG201912244290</v>
      </c>
      <c r="F1948" t="str">
        <f t="shared" si="36"/>
        <v>GUARDIAN</v>
      </c>
      <c r="G1948" s="2">
        <v>6.66</v>
      </c>
      <c r="H1948" t="str">
        <f t="shared" si="37"/>
        <v>GUARDIAN</v>
      </c>
    </row>
    <row r="1949" spans="1:8" x14ac:dyDescent="0.25">
      <c r="E1949" t="str">
        <f>"AFG201912113947"</f>
        <v>AFG201912113947</v>
      </c>
      <c r="F1949" t="str">
        <f t="shared" si="36"/>
        <v>GUARDIAN</v>
      </c>
      <c r="G1949" s="2">
        <v>49.75</v>
      </c>
      <c r="H1949" t="str">
        <f t="shared" si="37"/>
        <v>GUARDIAN</v>
      </c>
    </row>
    <row r="1950" spans="1:8" x14ac:dyDescent="0.25">
      <c r="E1950" t="str">
        <f>"AFG201912244290"</f>
        <v>AFG201912244290</v>
      </c>
      <c r="F1950" t="str">
        <f t="shared" si="36"/>
        <v>GUARDIAN</v>
      </c>
      <c r="G1950" s="2">
        <v>46.03</v>
      </c>
      <c r="H1950" t="str">
        <f t="shared" si="37"/>
        <v>GUARDIAN</v>
      </c>
    </row>
    <row r="1951" spans="1:8" x14ac:dyDescent="0.25">
      <c r="A1951" t="s">
        <v>562</v>
      </c>
      <c r="B1951">
        <v>293</v>
      </c>
      <c r="C1951" s="2">
        <v>244113.38</v>
      </c>
      <c r="D1951" s="1">
        <v>43812</v>
      </c>
      <c r="E1951" t="str">
        <f>"T1 201912113947"</f>
        <v>T1 201912113947</v>
      </c>
      <c r="F1951" t="str">
        <f>"FEDERAL WITHHOLDING"</f>
        <v>FEDERAL WITHHOLDING</v>
      </c>
      <c r="G1951" s="2">
        <v>83117.850000000006</v>
      </c>
      <c r="H1951" t="str">
        <f>"FEDERAL WITHHOLDING"</f>
        <v>FEDERAL WITHHOLDING</v>
      </c>
    </row>
    <row r="1952" spans="1:8" x14ac:dyDescent="0.25">
      <c r="E1952" t="str">
        <f>"T1 201912113948"</f>
        <v>T1 201912113948</v>
      </c>
      <c r="F1952" t="str">
        <f>"FEDERAL WITHHOLDING"</f>
        <v>FEDERAL WITHHOLDING</v>
      </c>
      <c r="G1952" s="2">
        <v>3218.86</v>
      </c>
      <c r="H1952" t="str">
        <f>"FEDERAL WITHHOLDING"</f>
        <v>FEDERAL WITHHOLDING</v>
      </c>
    </row>
    <row r="1953" spans="5:8" x14ac:dyDescent="0.25">
      <c r="E1953" t="str">
        <f>"T1 201912113949"</f>
        <v>T1 201912113949</v>
      </c>
      <c r="F1953" t="str">
        <f>"FEDERAL WITHHOLDING"</f>
        <v>FEDERAL WITHHOLDING</v>
      </c>
      <c r="G1953" s="2">
        <v>3215.69</v>
      </c>
      <c r="H1953" t="str">
        <f>"FEDERAL WITHHOLDING"</f>
        <v>FEDERAL WITHHOLDING</v>
      </c>
    </row>
    <row r="1954" spans="5:8" x14ac:dyDescent="0.25">
      <c r="E1954" t="str">
        <f>"T3 201912113947"</f>
        <v>T3 201912113947</v>
      </c>
      <c r="F1954" t="str">
        <f>"SOCIAL SECURITY TAXES"</f>
        <v>SOCIAL SECURITY TAXES</v>
      </c>
      <c r="G1954" s="2">
        <v>115750.86</v>
      </c>
      <c r="H1954" t="str">
        <f t="shared" ref="H1954:H1985" si="38">"SOCIAL SECURITY TAXES"</f>
        <v>SOCIAL SECURITY TAXES</v>
      </c>
    </row>
    <row r="1955" spans="5:8" x14ac:dyDescent="0.25">
      <c r="E1955" t="str">
        <f>""</f>
        <v/>
      </c>
      <c r="F1955" t="str">
        <f>""</f>
        <v/>
      </c>
      <c r="H1955" t="str">
        <f t="shared" si="38"/>
        <v>SOCIAL SECURITY TAXES</v>
      </c>
    </row>
    <row r="1956" spans="5:8" x14ac:dyDescent="0.25">
      <c r="E1956" t="str">
        <f>""</f>
        <v/>
      </c>
      <c r="F1956" t="str">
        <f>""</f>
        <v/>
      </c>
      <c r="H1956" t="str">
        <f t="shared" si="38"/>
        <v>SOCIAL SECURITY TAXES</v>
      </c>
    </row>
    <row r="1957" spans="5:8" x14ac:dyDescent="0.25">
      <c r="E1957" t="str">
        <f>""</f>
        <v/>
      </c>
      <c r="F1957" t="str">
        <f>""</f>
        <v/>
      </c>
      <c r="H1957" t="str">
        <f t="shared" si="38"/>
        <v>SOCIAL SECURITY TAXES</v>
      </c>
    </row>
    <row r="1958" spans="5:8" x14ac:dyDescent="0.25">
      <c r="E1958" t="str">
        <f>""</f>
        <v/>
      </c>
      <c r="F1958" t="str">
        <f>""</f>
        <v/>
      </c>
      <c r="H1958" t="str">
        <f t="shared" si="38"/>
        <v>SOCIAL SECURITY TAXES</v>
      </c>
    </row>
    <row r="1959" spans="5:8" x14ac:dyDescent="0.25">
      <c r="E1959" t="str">
        <f>""</f>
        <v/>
      </c>
      <c r="F1959" t="str">
        <f>""</f>
        <v/>
      </c>
      <c r="H1959" t="str">
        <f t="shared" si="38"/>
        <v>SOCIAL SECURITY TAXES</v>
      </c>
    </row>
    <row r="1960" spans="5:8" x14ac:dyDescent="0.25">
      <c r="E1960" t="str">
        <f>""</f>
        <v/>
      </c>
      <c r="F1960" t="str">
        <f>""</f>
        <v/>
      </c>
      <c r="H1960" t="str">
        <f t="shared" si="38"/>
        <v>SOCIAL SECURITY TAXES</v>
      </c>
    </row>
    <row r="1961" spans="5:8" x14ac:dyDescent="0.25">
      <c r="E1961" t="str">
        <f>""</f>
        <v/>
      </c>
      <c r="F1961" t="str">
        <f>""</f>
        <v/>
      </c>
      <c r="H1961" t="str">
        <f t="shared" si="38"/>
        <v>SOCIAL SECURITY TAXES</v>
      </c>
    </row>
    <row r="1962" spans="5:8" x14ac:dyDescent="0.25">
      <c r="E1962" t="str">
        <f>""</f>
        <v/>
      </c>
      <c r="F1962" t="str">
        <f>""</f>
        <v/>
      </c>
      <c r="H1962" t="str">
        <f t="shared" si="38"/>
        <v>SOCIAL SECURITY TAXES</v>
      </c>
    </row>
    <row r="1963" spans="5:8" x14ac:dyDescent="0.25">
      <c r="E1963" t="str">
        <f>""</f>
        <v/>
      </c>
      <c r="F1963" t="str">
        <f>""</f>
        <v/>
      </c>
      <c r="H1963" t="str">
        <f t="shared" si="38"/>
        <v>SOCIAL SECURITY TAXES</v>
      </c>
    </row>
    <row r="1964" spans="5:8" x14ac:dyDescent="0.25">
      <c r="E1964" t="str">
        <f>""</f>
        <v/>
      </c>
      <c r="F1964" t="str">
        <f>""</f>
        <v/>
      </c>
      <c r="H1964" t="str">
        <f t="shared" si="38"/>
        <v>SOCIAL SECURITY TAXES</v>
      </c>
    </row>
    <row r="1965" spans="5:8" x14ac:dyDescent="0.25">
      <c r="E1965" t="str">
        <f>""</f>
        <v/>
      </c>
      <c r="F1965" t="str">
        <f>""</f>
        <v/>
      </c>
      <c r="H1965" t="str">
        <f t="shared" si="38"/>
        <v>SOCIAL SECURITY TAXES</v>
      </c>
    </row>
    <row r="1966" spans="5:8" x14ac:dyDescent="0.25">
      <c r="E1966" t="str">
        <f>""</f>
        <v/>
      </c>
      <c r="F1966" t="str">
        <f>""</f>
        <v/>
      </c>
      <c r="H1966" t="str">
        <f t="shared" si="38"/>
        <v>SOCIAL SECURITY TAXES</v>
      </c>
    </row>
    <row r="1967" spans="5:8" x14ac:dyDescent="0.25">
      <c r="E1967" t="str">
        <f>""</f>
        <v/>
      </c>
      <c r="F1967" t="str">
        <f>""</f>
        <v/>
      </c>
      <c r="H1967" t="str">
        <f t="shared" si="38"/>
        <v>SOCIAL SECURITY TAXES</v>
      </c>
    </row>
    <row r="1968" spans="5:8" x14ac:dyDescent="0.25">
      <c r="E1968" t="str">
        <f>""</f>
        <v/>
      </c>
      <c r="F1968" t="str">
        <f>""</f>
        <v/>
      </c>
      <c r="H1968" t="str">
        <f t="shared" si="38"/>
        <v>SOCIAL SECURITY TAXES</v>
      </c>
    </row>
    <row r="1969" spans="5:8" x14ac:dyDescent="0.25">
      <c r="E1969" t="str">
        <f>""</f>
        <v/>
      </c>
      <c r="F1969" t="str">
        <f>""</f>
        <v/>
      </c>
      <c r="H1969" t="str">
        <f t="shared" si="38"/>
        <v>SOCIAL SECURITY TAXES</v>
      </c>
    </row>
    <row r="1970" spans="5:8" x14ac:dyDescent="0.25">
      <c r="E1970" t="str">
        <f>""</f>
        <v/>
      </c>
      <c r="F1970" t="str">
        <f>""</f>
        <v/>
      </c>
      <c r="H1970" t="str">
        <f t="shared" si="38"/>
        <v>SOCIAL SECURITY TAXES</v>
      </c>
    </row>
    <row r="1971" spans="5:8" x14ac:dyDescent="0.25">
      <c r="E1971" t="str">
        <f>""</f>
        <v/>
      </c>
      <c r="F1971" t="str">
        <f>""</f>
        <v/>
      </c>
      <c r="H1971" t="str">
        <f t="shared" si="38"/>
        <v>SOCIAL SECURITY TAXES</v>
      </c>
    </row>
    <row r="1972" spans="5:8" x14ac:dyDescent="0.25">
      <c r="E1972" t="str">
        <f>""</f>
        <v/>
      </c>
      <c r="F1972" t="str">
        <f>""</f>
        <v/>
      </c>
      <c r="H1972" t="str">
        <f t="shared" si="38"/>
        <v>SOCIAL SECURITY TAXES</v>
      </c>
    </row>
    <row r="1973" spans="5:8" x14ac:dyDescent="0.25">
      <c r="E1973" t="str">
        <f>""</f>
        <v/>
      </c>
      <c r="F1973" t="str">
        <f>""</f>
        <v/>
      </c>
      <c r="H1973" t="str">
        <f t="shared" si="38"/>
        <v>SOCIAL SECURITY TAXES</v>
      </c>
    </row>
    <row r="1974" spans="5:8" x14ac:dyDescent="0.25">
      <c r="E1974" t="str">
        <f>""</f>
        <v/>
      </c>
      <c r="F1974" t="str">
        <f>""</f>
        <v/>
      </c>
      <c r="H1974" t="str">
        <f t="shared" si="38"/>
        <v>SOCIAL SECURITY TAXES</v>
      </c>
    </row>
    <row r="1975" spans="5:8" x14ac:dyDescent="0.25">
      <c r="E1975" t="str">
        <f>""</f>
        <v/>
      </c>
      <c r="F1975" t="str">
        <f>""</f>
        <v/>
      </c>
      <c r="H1975" t="str">
        <f t="shared" si="38"/>
        <v>SOCIAL SECURITY TAXES</v>
      </c>
    </row>
    <row r="1976" spans="5:8" x14ac:dyDescent="0.25">
      <c r="E1976" t="str">
        <f>""</f>
        <v/>
      </c>
      <c r="F1976" t="str">
        <f>""</f>
        <v/>
      </c>
      <c r="H1976" t="str">
        <f t="shared" si="38"/>
        <v>SOCIAL SECURITY TAXES</v>
      </c>
    </row>
    <row r="1977" spans="5:8" x14ac:dyDescent="0.25">
      <c r="E1977" t="str">
        <f>""</f>
        <v/>
      </c>
      <c r="F1977" t="str">
        <f>""</f>
        <v/>
      </c>
      <c r="H1977" t="str">
        <f t="shared" si="38"/>
        <v>SOCIAL SECURITY TAXES</v>
      </c>
    </row>
    <row r="1978" spans="5:8" x14ac:dyDescent="0.25">
      <c r="E1978" t="str">
        <f>""</f>
        <v/>
      </c>
      <c r="F1978" t="str">
        <f>""</f>
        <v/>
      </c>
      <c r="H1978" t="str">
        <f t="shared" si="38"/>
        <v>SOCIAL SECURITY TAXES</v>
      </c>
    </row>
    <row r="1979" spans="5:8" x14ac:dyDescent="0.25">
      <c r="E1979" t="str">
        <f>""</f>
        <v/>
      </c>
      <c r="F1979" t="str">
        <f>""</f>
        <v/>
      </c>
      <c r="H1979" t="str">
        <f t="shared" si="38"/>
        <v>SOCIAL SECURITY TAXES</v>
      </c>
    </row>
    <row r="1980" spans="5:8" x14ac:dyDescent="0.25">
      <c r="E1980" t="str">
        <f>""</f>
        <v/>
      </c>
      <c r="F1980" t="str">
        <f>""</f>
        <v/>
      </c>
      <c r="H1980" t="str">
        <f t="shared" si="38"/>
        <v>SOCIAL SECURITY TAXES</v>
      </c>
    </row>
    <row r="1981" spans="5:8" x14ac:dyDescent="0.25">
      <c r="E1981" t="str">
        <f>""</f>
        <v/>
      </c>
      <c r="F1981" t="str">
        <f>""</f>
        <v/>
      </c>
      <c r="H1981" t="str">
        <f t="shared" si="38"/>
        <v>SOCIAL SECURITY TAXES</v>
      </c>
    </row>
    <row r="1982" spans="5:8" x14ac:dyDescent="0.25">
      <c r="E1982" t="str">
        <f>""</f>
        <v/>
      </c>
      <c r="F1982" t="str">
        <f>""</f>
        <v/>
      </c>
      <c r="H1982" t="str">
        <f t="shared" si="38"/>
        <v>SOCIAL SECURITY TAXES</v>
      </c>
    </row>
    <row r="1983" spans="5:8" x14ac:dyDescent="0.25">
      <c r="E1983" t="str">
        <f>""</f>
        <v/>
      </c>
      <c r="F1983" t="str">
        <f>""</f>
        <v/>
      </c>
      <c r="H1983" t="str">
        <f t="shared" si="38"/>
        <v>SOCIAL SECURITY TAXES</v>
      </c>
    </row>
    <row r="1984" spans="5:8" x14ac:dyDescent="0.25">
      <c r="E1984" t="str">
        <f>""</f>
        <v/>
      </c>
      <c r="F1984" t="str">
        <f>""</f>
        <v/>
      </c>
      <c r="H1984" t="str">
        <f t="shared" si="38"/>
        <v>SOCIAL SECURITY TAXES</v>
      </c>
    </row>
    <row r="1985" spans="5:8" x14ac:dyDescent="0.25">
      <c r="E1985" t="str">
        <f>""</f>
        <v/>
      </c>
      <c r="F1985" t="str">
        <f>""</f>
        <v/>
      </c>
      <c r="H1985" t="str">
        <f t="shared" si="38"/>
        <v>SOCIAL SECURITY TAXES</v>
      </c>
    </row>
    <row r="1986" spans="5:8" x14ac:dyDescent="0.25">
      <c r="E1986" t="str">
        <f>""</f>
        <v/>
      </c>
      <c r="F1986" t="str">
        <f>""</f>
        <v/>
      </c>
      <c r="H1986" t="str">
        <f t="shared" ref="H1986:H2009" si="39">"SOCIAL SECURITY TAXES"</f>
        <v>SOCIAL SECURITY TAXES</v>
      </c>
    </row>
    <row r="1987" spans="5:8" x14ac:dyDescent="0.25">
      <c r="E1987" t="str">
        <f>""</f>
        <v/>
      </c>
      <c r="F1987" t="str">
        <f>""</f>
        <v/>
      </c>
      <c r="H1987" t="str">
        <f t="shared" si="39"/>
        <v>SOCIAL SECURITY TAXES</v>
      </c>
    </row>
    <row r="1988" spans="5:8" x14ac:dyDescent="0.25">
      <c r="E1988" t="str">
        <f>""</f>
        <v/>
      </c>
      <c r="F1988" t="str">
        <f>""</f>
        <v/>
      </c>
      <c r="H1988" t="str">
        <f t="shared" si="39"/>
        <v>SOCIAL SECURITY TAXES</v>
      </c>
    </row>
    <row r="1989" spans="5:8" x14ac:dyDescent="0.25">
      <c r="E1989" t="str">
        <f>""</f>
        <v/>
      </c>
      <c r="F1989" t="str">
        <f>""</f>
        <v/>
      </c>
      <c r="H1989" t="str">
        <f t="shared" si="39"/>
        <v>SOCIAL SECURITY TAXES</v>
      </c>
    </row>
    <row r="1990" spans="5:8" x14ac:dyDescent="0.25">
      <c r="E1990" t="str">
        <f>""</f>
        <v/>
      </c>
      <c r="F1990" t="str">
        <f>""</f>
        <v/>
      </c>
      <c r="H1990" t="str">
        <f t="shared" si="39"/>
        <v>SOCIAL SECURITY TAXES</v>
      </c>
    </row>
    <row r="1991" spans="5:8" x14ac:dyDescent="0.25">
      <c r="E1991" t="str">
        <f>""</f>
        <v/>
      </c>
      <c r="F1991" t="str">
        <f>""</f>
        <v/>
      </c>
      <c r="H1991" t="str">
        <f t="shared" si="39"/>
        <v>SOCIAL SECURITY TAXES</v>
      </c>
    </row>
    <row r="1992" spans="5:8" x14ac:dyDescent="0.25">
      <c r="E1992" t="str">
        <f>""</f>
        <v/>
      </c>
      <c r="F1992" t="str">
        <f>""</f>
        <v/>
      </c>
      <c r="H1992" t="str">
        <f t="shared" si="39"/>
        <v>SOCIAL SECURITY TAXES</v>
      </c>
    </row>
    <row r="1993" spans="5:8" x14ac:dyDescent="0.25">
      <c r="E1993" t="str">
        <f>""</f>
        <v/>
      </c>
      <c r="F1993" t="str">
        <f>""</f>
        <v/>
      </c>
      <c r="H1993" t="str">
        <f t="shared" si="39"/>
        <v>SOCIAL SECURITY TAXES</v>
      </c>
    </row>
    <row r="1994" spans="5:8" x14ac:dyDescent="0.25">
      <c r="E1994" t="str">
        <f>""</f>
        <v/>
      </c>
      <c r="F1994" t="str">
        <f>""</f>
        <v/>
      </c>
      <c r="H1994" t="str">
        <f t="shared" si="39"/>
        <v>SOCIAL SECURITY TAXES</v>
      </c>
    </row>
    <row r="1995" spans="5:8" x14ac:dyDescent="0.25">
      <c r="E1995" t="str">
        <f>""</f>
        <v/>
      </c>
      <c r="F1995" t="str">
        <f>""</f>
        <v/>
      </c>
      <c r="H1995" t="str">
        <f t="shared" si="39"/>
        <v>SOCIAL SECURITY TAXES</v>
      </c>
    </row>
    <row r="1996" spans="5:8" x14ac:dyDescent="0.25">
      <c r="E1996" t="str">
        <f>""</f>
        <v/>
      </c>
      <c r="F1996" t="str">
        <f>""</f>
        <v/>
      </c>
      <c r="H1996" t="str">
        <f t="shared" si="39"/>
        <v>SOCIAL SECURITY TAXES</v>
      </c>
    </row>
    <row r="1997" spans="5:8" x14ac:dyDescent="0.25">
      <c r="E1997" t="str">
        <f>""</f>
        <v/>
      </c>
      <c r="F1997" t="str">
        <f>""</f>
        <v/>
      </c>
      <c r="H1997" t="str">
        <f t="shared" si="39"/>
        <v>SOCIAL SECURITY TAXES</v>
      </c>
    </row>
    <row r="1998" spans="5:8" x14ac:dyDescent="0.25">
      <c r="E1998" t="str">
        <f>""</f>
        <v/>
      </c>
      <c r="F1998" t="str">
        <f>""</f>
        <v/>
      </c>
      <c r="H1998" t="str">
        <f t="shared" si="39"/>
        <v>SOCIAL SECURITY TAXES</v>
      </c>
    </row>
    <row r="1999" spans="5:8" x14ac:dyDescent="0.25">
      <c r="E1999" t="str">
        <f>""</f>
        <v/>
      </c>
      <c r="F1999" t="str">
        <f>""</f>
        <v/>
      </c>
      <c r="H1999" t="str">
        <f t="shared" si="39"/>
        <v>SOCIAL SECURITY TAXES</v>
      </c>
    </row>
    <row r="2000" spans="5:8" x14ac:dyDescent="0.25">
      <c r="E2000" t="str">
        <f>""</f>
        <v/>
      </c>
      <c r="F2000" t="str">
        <f>""</f>
        <v/>
      </c>
      <c r="H2000" t="str">
        <f t="shared" si="39"/>
        <v>SOCIAL SECURITY TAXES</v>
      </c>
    </row>
    <row r="2001" spans="5:8" x14ac:dyDescent="0.25">
      <c r="E2001" t="str">
        <f>""</f>
        <v/>
      </c>
      <c r="F2001" t="str">
        <f>""</f>
        <v/>
      </c>
      <c r="H2001" t="str">
        <f t="shared" si="39"/>
        <v>SOCIAL SECURITY TAXES</v>
      </c>
    </row>
    <row r="2002" spans="5:8" x14ac:dyDescent="0.25">
      <c r="E2002" t="str">
        <f>""</f>
        <v/>
      </c>
      <c r="F2002" t="str">
        <f>""</f>
        <v/>
      </c>
      <c r="H2002" t="str">
        <f t="shared" si="39"/>
        <v>SOCIAL SECURITY TAXES</v>
      </c>
    </row>
    <row r="2003" spans="5:8" x14ac:dyDescent="0.25">
      <c r="E2003" t="str">
        <f>""</f>
        <v/>
      </c>
      <c r="F2003" t="str">
        <f>""</f>
        <v/>
      </c>
      <c r="H2003" t="str">
        <f t="shared" si="39"/>
        <v>SOCIAL SECURITY TAXES</v>
      </c>
    </row>
    <row r="2004" spans="5:8" x14ac:dyDescent="0.25">
      <c r="E2004" t="str">
        <f>""</f>
        <v/>
      </c>
      <c r="F2004" t="str">
        <f>""</f>
        <v/>
      </c>
      <c r="H2004" t="str">
        <f t="shared" si="39"/>
        <v>SOCIAL SECURITY TAXES</v>
      </c>
    </row>
    <row r="2005" spans="5:8" x14ac:dyDescent="0.25">
      <c r="E2005" t="str">
        <f>""</f>
        <v/>
      </c>
      <c r="F2005" t="str">
        <f>""</f>
        <v/>
      </c>
      <c r="H2005" t="str">
        <f t="shared" si="39"/>
        <v>SOCIAL SECURITY TAXES</v>
      </c>
    </row>
    <row r="2006" spans="5:8" x14ac:dyDescent="0.25">
      <c r="E2006" t="str">
        <f>"T3 201912113948"</f>
        <v>T3 201912113948</v>
      </c>
      <c r="F2006" t="str">
        <f>"SOCIAL SECURITY TAXES"</f>
        <v>SOCIAL SECURITY TAXES</v>
      </c>
      <c r="G2006" s="2">
        <v>4404.72</v>
      </c>
      <c r="H2006" t="str">
        <f t="shared" si="39"/>
        <v>SOCIAL SECURITY TAXES</v>
      </c>
    </row>
    <row r="2007" spans="5:8" x14ac:dyDescent="0.25">
      <c r="E2007" t="str">
        <f>""</f>
        <v/>
      </c>
      <c r="F2007" t="str">
        <f>""</f>
        <v/>
      </c>
      <c r="H2007" t="str">
        <f t="shared" si="39"/>
        <v>SOCIAL SECURITY TAXES</v>
      </c>
    </row>
    <row r="2008" spans="5:8" x14ac:dyDescent="0.25">
      <c r="E2008" t="str">
        <f>"T3 201912113949"</f>
        <v>T3 201912113949</v>
      </c>
      <c r="F2008" t="str">
        <f>"SOCIAL SECURITY TAXES"</f>
        <v>SOCIAL SECURITY TAXES</v>
      </c>
      <c r="G2008" s="2">
        <v>4809.34</v>
      </c>
      <c r="H2008" t="str">
        <f t="shared" si="39"/>
        <v>SOCIAL SECURITY TAXES</v>
      </c>
    </row>
    <row r="2009" spans="5:8" x14ac:dyDescent="0.25">
      <c r="E2009" t="str">
        <f>""</f>
        <v/>
      </c>
      <c r="F2009" t="str">
        <f>""</f>
        <v/>
      </c>
      <c r="H2009" t="str">
        <f t="shared" si="39"/>
        <v>SOCIAL SECURITY TAXES</v>
      </c>
    </row>
    <row r="2010" spans="5:8" x14ac:dyDescent="0.25">
      <c r="E2010" t="str">
        <f>"T4 201912113947"</f>
        <v>T4 201912113947</v>
      </c>
      <c r="F2010" t="str">
        <f>"MEDICARE TAXES"</f>
        <v>MEDICARE TAXES</v>
      </c>
      <c r="G2010" s="2">
        <v>27441.22</v>
      </c>
      <c r="H2010" t="str">
        <f t="shared" ref="H2010:H2041" si="40">"MEDICARE TAXES"</f>
        <v>MEDICARE TAXES</v>
      </c>
    </row>
    <row r="2011" spans="5:8" x14ac:dyDescent="0.25">
      <c r="E2011" t="str">
        <f>""</f>
        <v/>
      </c>
      <c r="F2011" t="str">
        <f>""</f>
        <v/>
      </c>
      <c r="H2011" t="str">
        <f t="shared" si="40"/>
        <v>MEDICARE TAXES</v>
      </c>
    </row>
    <row r="2012" spans="5:8" x14ac:dyDescent="0.25">
      <c r="E2012" t="str">
        <f>""</f>
        <v/>
      </c>
      <c r="F2012" t="str">
        <f>""</f>
        <v/>
      </c>
      <c r="H2012" t="str">
        <f t="shared" si="40"/>
        <v>MEDICARE TAXES</v>
      </c>
    </row>
    <row r="2013" spans="5:8" x14ac:dyDescent="0.25">
      <c r="E2013" t="str">
        <f>""</f>
        <v/>
      </c>
      <c r="F2013" t="str">
        <f>""</f>
        <v/>
      </c>
      <c r="H2013" t="str">
        <f t="shared" si="40"/>
        <v>MEDICARE TAXES</v>
      </c>
    </row>
    <row r="2014" spans="5:8" x14ac:dyDescent="0.25">
      <c r="E2014" t="str">
        <f>""</f>
        <v/>
      </c>
      <c r="F2014" t="str">
        <f>""</f>
        <v/>
      </c>
      <c r="H2014" t="str">
        <f t="shared" si="40"/>
        <v>MEDICARE TAXES</v>
      </c>
    </row>
    <row r="2015" spans="5:8" x14ac:dyDescent="0.25">
      <c r="E2015" t="str">
        <f>""</f>
        <v/>
      </c>
      <c r="F2015" t="str">
        <f>""</f>
        <v/>
      </c>
      <c r="H2015" t="str">
        <f t="shared" si="40"/>
        <v>MEDICARE TAXES</v>
      </c>
    </row>
    <row r="2016" spans="5:8" x14ac:dyDescent="0.25">
      <c r="E2016" t="str">
        <f>""</f>
        <v/>
      </c>
      <c r="F2016" t="str">
        <f>""</f>
        <v/>
      </c>
      <c r="H2016" t="str">
        <f t="shared" si="40"/>
        <v>MEDICARE TAXES</v>
      </c>
    </row>
    <row r="2017" spans="5:8" x14ac:dyDescent="0.25">
      <c r="E2017" t="str">
        <f>""</f>
        <v/>
      </c>
      <c r="F2017" t="str">
        <f>""</f>
        <v/>
      </c>
      <c r="H2017" t="str">
        <f t="shared" si="40"/>
        <v>MEDICARE TAXES</v>
      </c>
    </row>
    <row r="2018" spans="5:8" x14ac:dyDescent="0.25">
      <c r="E2018" t="str">
        <f>""</f>
        <v/>
      </c>
      <c r="F2018" t="str">
        <f>""</f>
        <v/>
      </c>
      <c r="H2018" t="str">
        <f t="shared" si="40"/>
        <v>MEDICARE TAXES</v>
      </c>
    </row>
    <row r="2019" spans="5:8" x14ac:dyDescent="0.25">
      <c r="E2019" t="str">
        <f>""</f>
        <v/>
      </c>
      <c r="F2019" t="str">
        <f>""</f>
        <v/>
      </c>
      <c r="H2019" t="str">
        <f t="shared" si="40"/>
        <v>MEDICARE TAXES</v>
      </c>
    </row>
    <row r="2020" spans="5:8" x14ac:dyDescent="0.25">
      <c r="E2020" t="str">
        <f>""</f>
        <v/>
      </c>
      <c r="F2020" t="str">
        <f>""</f>
        <v/>
      </c>
      <c r="H2020" t="str">
        <f t="shared" si="40"/>
        <v>MEDICARE TAXES</v>
      </c>
    </row>
    <row r="2021" spans="5:8" x14ac:dyDescent="0.25">
      <c r="E2021" t="str">
        <f>""</f>
        <v/>
      </c>
      <c r="F2021" t="str">
        <f>""</f>
        <v/>
      </c>
      <c r="H2021" t="str">
        <f t="shared" si="40"/>
        <v>MEDICARE TAXES</v>
      </c>
    </row>
    <row r="2022" spans="5:8" x14ac:dyDescent="0.25">
      <c r="E2022" t="str">
        <f>""</f>
        <v/>
      </c>
      <c r="F2022" t="str">
        <f>""</f>
        <v/>
      </c>
      <c r="H2022" t="str">
        <f t="shared" si="40"/>
        <v>MEDICARE TAXES</v>
      </c>
    </row>
    <row r="2023" spans="5:8" x14ac:dyDescent="0.25">
      <c r="E2023" t="str">
        <f>""</f>
        <v/>
      </c>
      <c r="F2023" t="str">
        <f>""</f>
        <v/>
      </c>
      <c r="H2023" t="str">
        <f t="shared" si="40"/>
        <v>MEDICARE TAXES</v>
      </c>
    </row>
    <row r="2024" spans="5:8" x14ac:dyDescent="0.25">
      <c r="E2024" t="str">
        <f>""</f>
        <v/>
      </c>
      <c r="F2024" t="str">
        <f>""</f>
        <v/>
      </c>
      <c r="H2024" t="str">
        <f t="shared" si="40"/>
        <v>MEDICARE TAXES</v>
      </c>
    </row>
    <row r="2025" spans="5:8" x14ac:dyDescent="0.25">
      <c r="E2025" t="str">
        <f>""</f>
        <v/>
      </c>
      <c r="F2025" t="str">
        <f>""</f>
        <v/>
      </c>
      <c r="H2025" t="str">
        <f t="shared" si="40"/>
        <v>MEDICARE TAXES</v>
      </c>
    </row>
    <row r="2026" spans="5:8" x14ac:dyDescent="0.25">
      <c r="E2026" t="str">
        <f>""</f>
        <v/>
      </c>
      <c r="F2026" t="str">
        <f>""</f>
        <v/>
      </c>
      <c r="H2026" t="str">
        <f t="shared" si="40"/>
        <v>MEDICARE TAXES</v>
      </c>
    </row>
    <row r="2027" spans="5:8" x14ac:dyDescent="0.25">
      <c r="E2027" t="str">
        <f>""</f>
        <v/>
      </c>
      <c r="F2027" t="str">
        <f>""</f>
        <v/>
      </c>
      <c r="H2027" t="str">
        <f t="shared" si="40"/>
        <v>MEDICARE TAXES</v>
      </c>
    </row>
    <row r="2028" spans="5:8" x14ac:dyDescent="0.25">
      <c r="E2028" t="str">
        <f>""</f>
        <v/>
      </c>
      <c r="F2028" t="str">
        <f>""</f>
        <v/>
      </c>
      <c r="H2028" t="str">
        <f t="shared" si="40"/>
        <v>MEDICARE TAXES</v>
      </c>
    </row>
    <row r="2029" spans="5:8" x14ac:dyDescent="0.25">
      <c r="E2029" t="str">
        <f>""</f>
        <v/>
      </c>
      <c r="F2029" t="str">
        <f>""</f>
        <v/>
      </c>
      <c r="H2029" t="str">
        <f t="shared" si="40"/>
        <v>MEDICARE TAXES</v>
      </c>
    </row>
    <row r="2030" spans="5:8" x14ac:dyDescent="0.25">
      <c r="E2030" t="str">
        <f>""</f>
        <v/>
      </c>
      <c r="F2030" t="str">
        <f>""</f>
        <v/>
      </c>
      <c r="H2030" t="str">
        <f t="shared" si="40"/>
        <v>MEDICARE TAXES</v>
      </c>
    </row>
    <row r="2031" spans="5:8" x14ac:dyDescent="0.25">
      <c r="E2031" t="str">
        <f>""</f>
        <v/>
      </c>
      <c r="F2031" t="str">
        <f>""</f>
        <v/>
      </c>
      <c r="H2031" t="str">
        <f t="shared" si="40"/>
        <v>MEDICARE TAXES</v>
      </c>
    </row>
    <row r="2032" spans="5:8" x14ac:dyDescent="0.25">
      <c r="E2032" t="str">
        <f>""</f>
        <v/>
      </c>
      <c r="F2032" t="str">
        <f>""</f>
        <v/>
      </c>
      <c r="H2032" t="str">
        <f t="shared" si="40"/>
        <v>MEDICARE TAXES</v>
      </c>
    </row>
    <row r="2033" spans="5:8" x14ac:dyDescent="0.25">
      <c r="E2033" t="str">
        <f>""</f>
        <v/>
      </c>
      <c r="F2033" t="str">
        <f>""</f>
        <v/>
      </c>
      <c r="H2033" t="str">
        <f t="shared" si="40"/>
        <v>MEDICARE TAXES</v>
      </c>
    </row>
    <row r="2034" spans="5:8" x14ac:dyDescent="0.25">
      <c r="E2034" t="str">
        <f>""</f>
        <v/>
      </c>
      <c r="F2034" t="str">
        <f>""</f>
        <v/>
      </c>
      <c r="H2034" t="str">
        <f t="shared" si="40"/>
        <v>MEDICARE TAXES</v>
      </c>
    </row>
    <row r="2035" spans="5:8" x14ac:dyDescent="0.25">
      <c r="E2035" t="str">
        <f>""</f>
        <v/>
      </c>
      <c r="F2035" t="str">
        <f>""</f>
        <v/>
      </c>
      <c r="H2035" t="str">
        <f t="shared" si="40"/>
        <v>MEDICARE TAXES</v>
      </c>
    </row>
    <row r="2036" spans="5:8" x14ac:dyDescent="0.25">
      <c r="E2036" t="str">
        <f>""</f>
        <v/>
      </c>
      <c r="F2036" t="str">
        <f>""</f>
        <v/>
      </c>
      <c r="H2036" t="str">
        <f t="shared" si="40"/>
        <v>MEDICARE TAXES</v>
      </c>
    </row>
    <row r="2037" spans="5:8" x14ac:dyDescent="0.25">
      <c r="E2037" t="str">
        <f>""</f>
        <v/>
      </c>
      <c r="F2037" t="str">
        <f>""</f>
        <v/>
      </c>
      <c r="H2037" t="str">
        <f t="shared" si="40"/>
        <v>MEDICARE TAXES</v>
      </c>
    </row>
    <row r="2038" spans="5:8" x14ac:dyDescent="0.25">
      <c r="E2038" t="str">
        <f>""</f>
        <v/>
      </c>
      <c r="F2038" t="str">
        <f>""</f>
        <v/>
      </c>
      <c r="H2038" t="str">
        <f t="shared" si="40"/>
        <v>MEDICARE TAXES</v>
      </c>
    </row>
    <row r="2039" spans="5:8" x14ac:dyDescent="0.25">
      <c r="E2039" t="str">
        <f>""</f>
        <v/>
      </c>
      <c r="F2039" t="str">
        <f>""</f>
        <v/>
      </c>
      <c r="H2039" t="str">
        <f t="shared" si="40"/>
        <v>MEDICARE TAXES</v>
      </c>
    </row>
    <row r="2040" spans="5:8" x14ac:dyDescent="0.25">
      <c r="E2040" t="str">
        <f>""</f>
        <v/>
      </c>
      <c r="F2040" t="str">
        <f>""</f>
        <v/>
      </c>
      <c r="H2040" t="str">
        <f t="shared" si="40"/>
        <v>MEDICARE TAXES</v>
      </c>
    </row>
    <row r="2041" spans="5:8" x14ac:dyDescent="0.25">
      <c r="E2041" t="str">
        <f>""</f>
        <v/>
      </c>
      <c r="F2041" t="str">
        <f>""</f>
        <v/>
      </c>
      <c r="H2041" t="str">
        <f t="shared" si="40"/>
        <v>MEDICARE TAXES</v>
      </c>
    </row>
    <row r="2042" spans="5:8" x14ac:dyDescent="0.25">
      <c r="E2042" t="str">
        <f>""</f>
        <v/>
      </c>
      <c r="F2042" t="str">
        <f>""</f>
        <v/>
      </c>
      <c r="H2042" t="str">
        <f t="shared" ref="H2042:H2066" si="41">"MEDICARE TAXES"</f>
        <v>MEDICARE TAXES</v>
      </c>
    </row>
    <row r="2043" spans="5:8" x14ac:dyDescent="0.25">
      <c r="E2043" t="str">
        <f>""</f>
        <v/>
      </c>
      <c r="F2043" t="str">
        <f>""</f>
        <v/>
      </c>
      <c r="H2043" t="str">
        <f t="shared" si="41"/>
        <v>MEDICARE TAXES</v>
      </c>
    </row>
    <row r="2044" spans="5:8" x14ac:dyDescent="0.25">
      <c r="E2044" t="str">
        <f>""</f>
        <v/>
      </c>
      <c r="F2044" t="str">
        <f>""</f>
        <v/>
      </c>
      <c r="H2044" t="str">
        <f t="shared" si="41"/>
        <v>MEDICARE TAXES</v>
      </c>
    </row>
    <row r="2045" spans="5:8" x14ac:dyDescent="0.25">
      <c r="E2045" t="str">
        <f>""</f>
        <v/>
      </c>
      <c r="F2045" t="str">
        <f>""</f>
        <v/>
      </c>
      <c r="H2045" t="str">
        <f t="shared" si="41"/>
        <v>MEDICARE TAXES</v>
      </c>
    </row>
    <row r="2046" spans="5:8" x14ac:dyDescent="0.25">
      <c r="E2046" t="str">
        <f>""</f>
        <v/>
      </c>
      <c r="F2046" t="str">
        <f>""</f>
        <v/>
      </c>
      <c r="H2046" t="str">
        <f t="shared" si="41"/>
        <v>MEDICARE TAXES</v>
      </c>
    </row>
    <row r="2047" spans="5:8" x14ac:dyDescent="0.25">
      <c r="E2047" t="str">
        <f>""</f>
        <v/>
      </c>
      <c r="F2047" t="str">
        <f>""</f>
        <v/>
      </c>
      <c r="H2047" t="str">
        <f t="shared" si="41"/>
        <v>MEDICARE TAXES</v>
      </c>
    </row>
    <row r="2048" spans="5:8" x14ac:dyDescent="0.25">
      <c r="E2048" t="str">
        <f>""</f>
        <v/>
      </c>
      <c r="F2048" t="str">
        <f>""</f>
        <v/>
      </c>
      <c r="H2048" t="str">
        <f t="shared" si="41"/>
        <v>MEDICARE TAXES</v>
      </c>
    </row>
    <row r="2049" spans="5:8" x14ac:dyDescent="0.25">
      <c r="E2049" t="str">
        <f>""</f>
        <v/>
      </c>
      <c r="F2049" t="str">
        <f>""</f>
        <v/>
      </c>
      <c r="H2049" t="str">
        <f t="shared" si="41"/>
        <v>MEDICARE TAXES</v>
      </c>
    </row>
    <row r="2050" spans="5:8" x14ac:dyDescent="0.25">
      <c r="E2050" t="str">
        <f>""</f>
        <v/>
      </c>
      <c r="F2050" t="str">
        <f>""</f>
        <v/>
      </c>
      <c r="H2050" t="str">
        <f t="shared" si="41"/>
        <v>MEDICARE TAXES</v>
      </c>
    </row>
    <row r="2051" spans="5:8" x14ac:dyDescent="0.25">
      <c r="E2051" t="str">
        <f>""</f>
        <v/>
      </c>
      <c r="F2051" t="str">
        <f>""</f>
        <v/>
      </c>
      <c r="H2051" t="str">
        <f t="shared" si="41"/>
        <v>MEDICARE TAXES</v>
      </c>
    </row>
    <row r="2052" spans="5:8" x14ac:dyDescent="0.25">
      <c r="E2052" t="str">
        <f>""</f>
        <v/>
      </c>
      <c r="F2052" t="str">
        <f>""</f>
        <v/>
      </c>
      <c r="H2052" t="str">
        <f t="shared" si="41"/>
        <v>MEDICARE TAXES</v>
      </c>
    </row>
    <row r="2053" spans="5:8" x14ac:dyDescent="0.25">
      <c r="E2053" t="str">
        <f>""</f>
        <v/>
      </c>
      <c r="F2053" t="str">
        <f>""</f>
        <v/>
      </c>
      <c r="H2053" t="str">
        <f t="shared" si="41"/>
        <v>MEDICARE TAXES</v>
      </c>
    </row>
    <row r="2054" spans="5:8" x14ac:dyDescent="0.25">
      <c r="E2054" t="str">
        <f>""</f>
        <v/>
      </c>
      <c r="F2054" t="str">
        <f>""</f>
        <v/>
      </c>
      <c r="H2054" t="str">
        <f t="shared" si="41"/>
        <v>MEDICARE TAXES</v>
      </c>
    </row>
    <row r="2055" spans="5:8" x14ac:dyDescent="0.25">
      <c r="E2055" t="str">
        <f>""</f>
        <v/>
      </c>
      <c r="F2055" t="str">
        <f>""</f>
        <v/>
      </c>
      <c r="H2055" t="str">
        <f t="shared" si="41"/>
        <v>MEDICARE TAXES</v>
      </c>
    </row>
    <row r="2056" spans="5:8" x14ac:dyDescent="0.25">
      <c r="E2056" t="str">
        <f>""</f>
        <v/>
      </c>
      <c r="F2056" t="str">
        <f>""</f>
        <v/>
      </c>
      <c r="H2056" t="str">
        <f t="shared" si="41"/>
        <v>MEDICARE TAXES</v>
      </c>
    </row>
    <row r="2057" spans="5:8" x14ac:dyDescent="0.25">
      <c r="E2057" t="str">
        <f>""</f>
        <v/>
      </c>
      <c r="F2057" t="str">
        <f>""</f>
        <v/>
      </c>
      <c r="H2057" t="str">
        <f t="shared" si="41"/>
        <v>MEDICARE TAXES</v>
      </c>
    </row>
    <row r="2058" spans="5:8" x14ac:dyDescent="0.25">
      <c r="E2058" t="str">
        <f>""</f>
        <v/>
      </c>
      <c r="F2058" t="str">
        <f>""</f>
        <v/>
      </c>
      <c r="H2058" t="str">
        <f t="shared" si="41"/>
        <v>MEDICARE TAXES</v>
      </c>
    </row>
    <row r="2059" spans="5:8" x14ac:dyDescent="0.25">
      <c r="E2059" t="str">
        <f>""</f>
        <v/>
      </c>
      <c r="F2059" t="str">
        <f>""</f>
        <v/>
      </c>
      <c r="H2059" t="str">
        <f t="shared" si="41"/>
        <v>MEDICARE TAXES</v>
      </c>
    </row>
    <row r="2060" spans="5:8" x14ac:dyDescent="0.25">
      <c r="E2060" t="str">
        <f>""</f>
        <v/>
      </c>
      <c r="F2060" t="str">
        <f>""</f>
        <v/>
      </c>
      <c r="H2060" t="str">
        <f t="shared" si="41"/>
        <v>MEDICARE TAXES</v>
      </c>
    </row>
    <row r="2061" spans="5:8" x14ac:dyDescent="0.25">
      <c r="E2061" t="str">
        <f>""</f>
        <v/>
      </c>
      <c r="F2061" t="str">
        <f>""</f>
        <v/>
      </c>
      <c r="H2061" t="str">
        <f t="shared" si="41"/>
        <v>MEDICARE TAXES</v>
      </c>
    </row>
    <row r="2062" spans="5:8" x14ac:dyDescent="0.25">
      <c r="E2062" t="str">
        <f>""</f>
        <v/>
      </c>
      <c r="F2062" t="str">
        <f>""</f>
        <v/>
      </c>
      <c r="H2062" t="str">
        <f t="shared" si="41"/>
        <v>MEDICARE TAXES</v>
      </c>
    </row>
    <row r="2063" spans="5:8" x14ac:dyDescent="0.25">
      <c r="E2063" t="str">
        <f>"T4 201912113948"</f>
        <v>T4 201912113948</v>
      </c>
      <c r="F2063" t="str">
        <f>"MEDICARE TAXES"</f>
        <v>MEDICARE TAXES</v>
      </c>
      <c r="G2063" s="2">
        <v>1030.1400000000001</v>
      </c>
      <c r="H2063" t="str">
        <f t="shared" si="41"/>
        <v>MEDICARE TAXES</v>
      </c>
    </row>
    <row r="2064" spans="5:8" x14ac:dyDescent="0.25">
      <c r="E2064" t="str">
        <f>""</f>
        <v/>
      </c>
      <c r="F2064" t="str">
        <f>""</f>
        <v/>
      </c>
      <c r="H2064" t="str">
        <f t="shared" si="41"/>
        <v>MEDICARE TAXES</v>
      </c>
    </row>
    <row r="2065" spans="1:8" x14ac:dyDescent="0.25">
      <c r="E2065" t="str">
        <f>"T4 201912113949"</f>
        <v>T4 201912113949</v>
      </c>
      <c r="F2065" t="str">
        <f>"MEDICARE TAXES"</f>
        <v>MEDICARE TAXES</v>
      </c>
      <c r="G2065" s="2">
        <v>1124.7</v>
      </c>
      <c r="H2065" t="str">
        <f t="shared" si="41"/>
        <v>MEDICARE TAXES</v>
      </c>
    </row>
    <row r="2066" spans="1:8" x14ac:dyDescent="0.25">
      <c r="E2066" t="str">
        <f>""</f>
        <v/>
      </c>
      <c r="F2066" t="str">
        <f>""</f>
        <v/>
      </c>
      <c r="H2066" t="str">
        <f t="shared" si="41"/>
        <v>MEDICARE TAXES</v>
      </c>
    </row>
    <row r="2067" spans="1:8" x14ac:dyDescent="0.25">
      <c r="A2067" t="s">
        <v>562</v>
      </c>
      <c r="B2067">
        <v>322</v>
      </c>
      <c r="C2067" s="2">
        <v>246574.16</v>
      </c>
      <c r="D2067" s="1">
        <v>43826</v>
      </c>
      <c r="E2067" t="str">
        <f>"T1 201912244290"</f>
        <v>T1 201912244290</v>
      </c>
      <c r="F2067" t="str">
        <f>"FEDERAL WITHHOLDING"</f>
        <v>FEDERAL WITHHOLDING</v>
      </c>
      <c r="G2067" s="2">
        <v>84116.39</v>
      </c>
      <c r="H2067" t="str">
        <f>"FEDERAL WITHHOLDING"</f>
        <v>FEDERAL WITHHOLDING</v>
      </c>
    </row>
    <row r="2068" spans="1:8" x14ac:dyDescent="0.25">
      <c r="E2068" t="str">
        <f>"T1 201912244291"</f>
        <v>T1 201912244291</v>
      </c>
      <c r="F2068" t="str">
        <f>"FEDERAL WITHHOLDING"</f>
        <v>FEDERAL WITHHOLDING</v>
      </c>
      <c r="G2068" s="2">
        <v>3235.14</v>
      </c>
      <c r="H2068" t="str">
        <f>"FEDERAL WITHHOLDING"</f>
        <v>FEDERAL WITHHOLDING</v>
      </c>
    </row>
    <row r="2069" spans="1:8" x14ac:dyDescent="0.25">
      <c r="E2069" t="str">
        <f>"T1 201912244292"</f>
        <v>T1 201912244292</v>
      </c>
      <c r="F2069" t="str">
        <f>"FEDERAL WITHHOLDING"</f>
        <v>FEDERAL WITHHOLDING</v>
      </c>
      <c r="G2069" s="2">
        <v>3376.17</v>
      </c>
      <c r="H2069" t="str">
        <f>"FEDERAL WITHHOLDING"</f>
        <v>FEDERAL WITHHOLDING</v>
      </c>
    </row>
    <row r="2070" spans="1:8" x14ac:dyDescent="0.25">
      <c r="E2070" t="str">
        <f>"T3 201912244290"</f>
        <v>T3 201912244290</v>
      </c>
      <c r="F2070" t="str">
        <f>"SOCIAL SECURITY TAXES"</f>
        <v>SOCIAL SECURITY TAXES</v>
      </c>
      <c r="G2070" s="2">
        <v>116641.26</v>
      </c>
      <c r="H2070" t="str">
        <f t="shared" ref="H2070:H2101" si="42">"SOCIAL SECURITY TAXES"</f>
        <v>SOCIAL SECURITY TAXES</v>
      </c>
    </row>
    <row r="2071" spans="1:8" x14ac:dyDescent="0.25">
      <c r="E2071" t="str">
        <f>""</f>
        <v/>
      </c>
      <c r="F2071" t="str">
        <f>""</f>
        <v/>
      </c>
      <c r="H2071" t="str">
        <f t="shared" si="42"/>
        <v>SOCIAL SECURITY TAXES</v>
      </c>
    </row>
    <row r="2072" spans="1:8" x14ac:dyDescent="0.25">
      <c r="E2072" t="str">
        <f>""</f>
        <v/>
      </c>
      <c r="F2072" t="str">
        <f>""</f>
        <v/>
      </c>
      <c r="H2072" t="str">
        <f t="shared" si="42"/>
        <v>SOCIAL SECURITY TAXES</v>
      </c>
    </row>
    <row r="2073" spans="1:8" x14ac:dyDescent="0.25">
      <c r="E2073" t="str">
        <f>""</f>
        <v/>
      </c>
      <c r="F2073" t="str">
        <f>""</f>
        <v/>
      </c>
      <c r="H2073" t="str">
        <f t="shared" si="42"/>
        <v>SOCIAL SECURITY TAXES</v>
      </c>
    </row>
    <row r="2074" spans="1:8" x14ac:dyDescent="0.25">
      <c r="E2074" t="str">
        <f>""</f>
        <v/>
      </c>
      <c r="F2074" t="str">
        <f>""</f>
        <v/>
      </c>
      <c r="H2074" t="str">
        <f t="shared" si="42"/>
        <v>SOCIAL SECURITY TAXES</v>
      </c>
    </row>
    <row r="2075" spans="1:8" x14ac:dyDescent="0.25">
      <c r="E2075" t="str">
        <f>""</f>
        <v/>
      </c>
      <c r="F2075" t="str">
        <f>""</f>
        <v/>
      </c>
      <c r="H2075" t="str">
        <f t="shared" si="42"/>
        <v>SOCIAL SECURITY TAXES</v>
      </c>
    </row>
    <row r="2076" spans="1:8" x14ac:dyDescent="0.25">
      <c r="E2076" t="str">
        <f>""</f>
        <v/>
      </c>
      <c r="F2076" t="str">
        <f>""</f>
        <v/>
      </c>
      <c r="H2076" t="str">
        <f t="shared" si="42"/>
        <v>SOCIAL SECURITY TAXES</v>
      </c>
    </row>
    <row r="2077" spans="1:8" x14ac:dyDescent="0.25">
      <c r="E2077" t="str">
        <f>""</f>
        <v/>
      </c>
      <c r="F2077" t="str">
        <f>""</f>
        <v/>
      </c>
      <c r="H2077" t="str">
        <f t="shared" si="42"/>
        <v>SOCIAL SECURITY TAXES</v>
      </c>
    </row>
    <row r="2078" spans="1:8" x14ac:dyDescent="0.25">
      <c r="E2078" t="str">
        <f>""</f>
        <v/>
      </c>
      <c r="F2078" t="str">
        <f>""</f>
        <v/>
      </c>
      <c r="H2078" t="str">
        <f t="shared" si="42"/>
        <v>SOCIAL SECURITY TAXES</v>
      </c>
    </row>
    <row r="2079" spans="1:8" x14ac:dyDescent="0.25">
      <c r="E2079" t="str">
        <f>""</f>
        <v/>
      </c>
      <c r="F2079" t="str">
        <f>""</f>
        <v/>
      </c>
      <c r="H2079" t="str">
        <f t="shared" si="42"/>
        <v>SOCIAL SECURITY TAXES</v>
      </c>
    </row>
    <row r="2080" spans="1:8" x14ac:dyDescent="0.25">
      <c r="E2080" t="str">
        <f>""</f>
        <v/>
      </c>
      <c r="F2080" t="str">
        <f>""</f>
        <v/>
      </c>
      <c r="H2080" t="str">
        <f t="shared" si="42"/>
        <v>SOCIAL SECURITY TAXES</v>
      </c>
    </row>
    <row r="2081" spans="5:8" x14ac:dyDescent="0.25">
      <c r="E2081" t="str">
        <f>""</f>
        <v/>
      </c>
      <c r="F2081" t="str">
        <f>""</f>
        <v/>
      </c>
      <c r="H2081" t="str">
        <f t="shared" si="42"/>
        <v>SOCIAL SECURITY TAXES</v>
      </c>
    </row>
    <row r="2082" spans="5:8" x14ac:dyDescent="0.25">
      <c r="E2082" t="str">
        <f>""</f>
        <v/>
      </c>
      <c r="F2082" t="str">
        <f>""</f>
        <v/>
      </c>
      <c r="H2082" t="str">
        <f t="shared" si="42"/>
        <v>SOCIAL SECURITY TAXES</v>
      </c>
    </row>
    <row r="2083" spans="5:8" x14ac:dyDescent="0.25">
      <c r="E2083" t="str">
        <f>""</f>
        <v/>
      </c>
      <c r="F2083" t="str">
        <f>""</f>
        <v/>
      </c>
      <c r="H2083" t="str">
        <f t="shared" si="42"/>
        <v>SOCIAL SECURITY TAXES</v>
      </c>
    </row>
    <row r="2084" spans="5:8" x14ac:dyDescent="0.25">
      <c r="E2084" t="str">
        <f>""</f>
        <v/>
      </c>
      <c r="F2084" t="str">
        <f>""</f>
        <v/>
      </c>
      <c r="H2084" t="str">
        <f t="shared" si="42"/>
        <v>SOCIAL SECURITY TAXES</v>
      </c>
    </row>
    <row r="2085" spans="5:8" x14ac:dyDescent="0.25">
      <c r="E2085" t="str">
        <f>""</f>
        <v/>
      </c>
      <c r="F2085" t="str">
        <f>""</f>
        <v/>
      </c>
      <c r="H2085" t="str">
        <f t="shared" si="42"/>
        <v>SOCIAL SECURITY TAXES</v>
      </c>
    </row>
    <row r="2086" spans="5:8" x14ac:dyDescent="0.25">
      <c r="E2086" t="str">
        <f>""</f>
        <v/>
      </c>
      <c r="F2086" t="str">
        <f>""</f>
        <v/>
      </c>
      <c r="H2086" t="str">
        <f t="shared" si="42"/>
        <v>SOCIAL SECURITY TAXES</v>
      </c>
    </row>
    <row r="2087" spans="5:8" x14ac:dyDescent="0.25">
      <c r="E2087" t="str">
        <f>""</f>
        <v/>
      </c>
      <c r="F2087" t="str">
        <f>""</f>
        <v/>
      </c>
      <c r="H2087" t="str">
        <f t="shared" si="42"/>
        <v>SOCIAL SECURITY TAXES</v>
      </c>
    </row>
    <row r="2088" spans="5:8" x14ac:dyDescent="0.25">
      <c r="E2088" t="str">
        <f>""</f>
        <v/>
      </c>
      <c r="F2088" t="str">
        <f>""</f>
        <v/>
      </c>
      <c r="H2088" t="str">
        <f t="shared" si="42"/>
        <v>SOCIAL SECURITY TAXES</v>
      </c>
    </row>
    <row r="2089" spans="5:8" x14ac:dyDescent="0.25">
      <c r="E2089" t="str">
        <f>""</f>
        <v/>
      </c>
      <c r="F2089" t="str">
        <f>""</f>
        <v/>
      </c>
      <c r="H2089" t="str">
        <f t="shared" si="42"/>
        <v>SOCIAL SECURITY TAXES</v>
      </c>
    </row>
    <row r="2090" spans="5:8" x14ac:dyDescent="0.25">
      <c r="E2090" t="str">
        <f>""</f>
        <v/>
      </c>
      <c r="F2090" t="str">
        <f>""</f>
        <v/>
      </c>
      <c r="H2090" t="str">
        <f t="shared" si="42"/>
        <v>SOCIAL SECURITY TAXES</v>
      </c>
    </row>
    <row r="2091" spans="5:8" x14ac:dyDescent="0.25">
      <c r="E2091" t="str">
        <f>""</f>
        <v/>
      </c>
      <c r="F2091" t="str">
        <f>""</f>
        <v/>
      </c>
      <c r="H2091" t="str">
        <f t="shared" si="42"/>
        <v>SOCIAL SECURITY TAXES</v>
      </c>
    </row>
    <row r="2092" spans="5:8" x14ac:dyDescent="0.25">
      <c r="E2092" t="str">
        <f>""</f>
        <v/>
      </c>
      <c r="F2092" t="str">
        <f>""</f>
        <v/>
      </c>
      <c r="H2092" t="str">
        <f t="shared" si="42"/>
        <v>SOCIAL SECURITY TAXES</v>
      </c>
    </row>
    <row r="2093" spans="5:8" x14ac:dyDescent="0.25">
      <c r="E2093" t="str">
        <f>""</f>
        <v/>
      </c>
      <c r="F2093" t="str">
        <f>""</f>
        <v/>
      </c>
      <c r="H2093" t="str">
        <f t="shared" si="42"/>
        <v>SOCIAL SECURITY TAXES</v>
      </c>
    </row>
    <row r="2094" spans="5:8" x14ac:dyDescent="0.25">
      <c r="E2094" t="str">
        <f>""</f>
        <v/>
      </c>
      <c r="F2094" t="str">
        <f>""</f>
        <v/>
      </c>
      <c r="H2094" t="str">
        <f t="shared" si="42"/>
        <v>SOCIAL SECURITY TAXES</v>
      </c>
    </row>
    <row r="2095" spans="5:8" x14ac:dyDescent="0.25">
      <c r="E2095" t="str">
        <f>""</f>
        <v/>
      </c>
      <c r="F2095" t="str">
        <f>""</f>
        <v/>
      </c>
      <c r="H2095" t="str">
        <f t="shared" si="42"/>
        <v>SOCIAL SECURITY TAXES</v>
      </c>
    </row>
    <row r="2096" spans="5:8" x14ac:dyDescent="0.25">
      <c r="E2096" t="str">
        <f>""</f>
        <v/>
      </c>
      <c r="F2096" t="str">
        <f>""</f>
        <v/>
      </c>
      <c r="H2096" t="str">
        <f t="shared" si="42"/>
        <v>SOCIAL SECURITY TAXES</v>
      </c>
    </row>
    <row r="2097" spans="5:8" x14ac:dyDescent="0.25">
      <c r="E2097" t="str">
        <f>""</f>
        <v/>
      </c>
      <c r="F2097" t="str">
        <f>""</f>
        <v/>
      </c>
      <c r="H2097" t="str">
        <f t="shared" si="42"/>
        <v>SOCIAL SECURITY TAXES</v>
      </c>
    </row>
    <row r="2098" spans="5:8" x14ac:dyDescent="0.25">
      <c r="E2098" t="str">
        <f>""</f>
        <v/>
      </c>
      <c r="F2098" t="str">
        <f>""</f>
        <v/>
      </c>
      <c r="H2098" t="str">
        <f t="shared" si="42"/>
        <v>SOCIAL SECURITY TAXES</v>
      </c>
    </row>
    <row r="2099" spans="5:8" x14ac:dyDescent="0.25">
      <c r="E2099" t="str">
        <f>""</f>
        <v/>
      </c>
      <c r="F2099" t="str">
        <f>""</f>
        <v/>
      </c>
      <c r="H2099" t="str">
        <f t="shared" si="42"/>
        <v>SOCIAL SECURITY TAXES</v>
      </c>
    </row>
    <row r="2100" spans="5:8" x14ac:dyDescent="0.25">
      <c r="E2100" t="str">
        <f>""</f>
        <v/>
      </c>
      <c r="F2100" t="str">
        <f>""</f>
        <v/>
      </c>
      <c r="H2100" t="str">
        <f t="shared" si="42"/>
        <v>SOCIAL SECURITY TAXES</v>
      </c>
    </row>
    <row r="2101" spans="5:8" x14ac:dyDescent="0.25">
      <c r="E2101" t="str">
        <f>""</f>
        <v/>
      </c>
      <c r="F2101" t="str">
        <f>""</f>
        <v/>
      </c>
      <c r="H2101" t="str">
        <f t="shared" si="42"/>
        <v>SOCIAL SECURITY TAXES</v>
      </c>
    </row>
    <row r="2102" spans="5:8" x14ac:dyDescent="0.25">
      <c r="E2102" t="str">
        <f>""</f>
        <v/>
      </c>
      <c r="F2102" t="str">
        <f>""</f>
        <v/>
      </c>
      <c r="H2102" t="str">
        <f t="shared" ref="H2102:H2125" si="43">"SOCIAL SECURITY TAXES"</f>
        <v>SOCIAL SECURITY TAXES</v>
      </c>
    </row>
    <row r="2103" spans="5:8" x14ac:dyDescent="0.25">
      <c r="E2103" t="str">
        <f>""</f>
        <v/>
      </c>
      <c r="F2103" t="str">
        <f>""</f>
        <v/>
      </c>
      <c r="H2103" t="str">
        <f t="shared" si="43"/>
        <v>SOCIAL SECURITY TAXES</v>
      </c>
    </row>
    <row r="2104" spans="5:8" x14ac:dyDescent="0.25">
      <c r="E2104" t="str">
        <f>""</f>
        <v/>
      </c>
      <c r="F2104" t="str">
        <f>""</f>
        <v/>
      </c>
      <c r="H2104" t="str">
        <f t="shared" si="43"/>
        <v>SOCIAL SECURITY TAXES</v>
      </c>
    </row>
    <row r="2105" spans="5:8" x14ac:dyDescent="0.25">
      <c r="E2105" t="str">
        <f>""</f>
        <v/>
      </c>
      <c r="F2105" t="str">
        <f>""</f>
        <v/>
      </c>
      <c r="H2105" t="str">
        <f t="shared" si="43"/>
        <v>SOCIAL SECURITY TAXES</v>
      </c>
    </row>
    <row r="2106" spans="5:8" x14ac:dyDescent="0.25">
      <c r="E2106" t="str">
        <f>""</f>
        <v/>
      </c>
      <c r="F2106" t="str">
        <f>""</f>
        <v/>
      </c>
      <c r="H2106" t="str">
        <f t="shared" si="43"/>
        <v>SOCIAL SECURITY TAXES</v>
      </c>
    </row>
    <row r="2107" spans="5:8" x14ac:dyDescent="0.25">
      <c r="E2107" t="str">
        <f>""</f>
        <v/>
      </c>
      <c r="F2107" t="str">
        <f>""</f>
        <v/>
      </c>
      <c r="H2107" t="str">
        <f t="shared" si="43"/>
        <v>SOCIAL SECURITY TAXES</v>
      </c>
    </row>
    <row r="2108" spans="5:8" x14ac:dyDescent="0.25">
      <c r="E2108" t="str">
        <f>""</f>
        <v/>
      </c>
      <c r="F2108" t="str">
        <f>""</f>
        <v/>
      </c>
      <c r="H2108" t="str">
        <f t="shared" si="43"/>
        <v>SOCIAL SECURITY TAXES</v>
      </c>
    </row>
    <row r="2109" spans="5:8" x14ac:dyDescent="0.25">
      <c r="E2109" t="str">
        <f>""</f>
        <v/>
      </c>
      <c r="F2109" t="str">
        <f>""</f>
        <v/>
      </c>
      <c r="H2109" t="str">
        <f t="shared" si="43"/>
        <v>SOCIAL SECURITY TAXES</v>
      </c>
    </row>
    <row r="2110" spans="5:8" x14ac:dyDescent="0.25">
      <c r="E2110" t="str">
        <f>""</f>
        <v/>
      </c>
      <c r="F2110" t="str">
        <f>""</f>
        <v/>
      </c>
      <c r="H2110" t="str">
        <f t="shared" si="43"/>
        <v>SOCIAL SECURITY TAXES</v>
      </c>
    </row>
    <row r="2111" spans="5:8" x14ac:dyDescent="0.25">
      <c r="E2111" t="str">
        <f>""</f>
        <v/>
      </c>
      <c r="F2111" t="str">
        <f>""</f>
        <v/>
      </c>
      <c r="H2111" t="str">
        <f t="shared" si="43"/>
        <v>SOCIAL SECURITY TAXES</v>
      </c>
    </row>
    <row r="2112" spans="5:8" x14ac:dyDescent="0.25">
      <c r="E2112" t="str">
        <f>""</f>
        <v/>
      </c>
      <c r="F2112" t="str">
        <f>""</f>
        <v/>
      </c>
      <c r="H2112" t="str">
        <f t="shared" si="43"/>
        <v>SOCIAL SECURITY TAXES</v>
      </c>
    </row>
    <row r="2113" spans="5:8" x14ac:dyDescent="0.25">
      <c r="E2113" t="str">
        <f>""</f>
        <v/>
      </c>
      <c r="F2113" t="str">
        <f>""</f>
        <v/>
      </c>
      <c r="H2113" t="str">
        <f t="shared" si="43"/>
        <v>SOCIAL SECURITY TAXES</v>
      </c>
    </row>
    <row r="2114" spans="5:8" x14ac:dyDescent="0.25">
      <c r="E2114" t="str">
        <f>""</f>
        <v/>
      </c>
      <c r="F2114" t="str">
        <f>""</f>
        <v/>
      </c>
      <c r="H2114" t="str">
        <f t="shared" si="43"/>
        <v>SOCIAL SECURITY TAXES</v>
      </c>
    </row>
    <row r="2115" spans="5:8" x14ac:dyDescent="0.25">
      <c r="E2115" t="str">
        <f>""</f>
        <v/>
      </c>
      <c r="F2115" t="str">
        <f>""</f>
        <v/>
      </c>
      <c r="H2115" t="str">
        <f t="shared" si="43"/>
        <v>SOCIAL SECURITY TAXES</v>
      </c>
    </row>
    <row r="2116" spans="5:8" x14ac:dyDescent="0.25">
      <c r="E2116" t="str">
        <f>""</f>
        <v/>
      </c>
      <c r="F2116" t="str">
        <f>""</f>
        <v/>
      </c>
      <c r="H2116" t="str">
        <f t="shared" si="43"/>
        <v>SOCIAL SECURITY TAXES</v>
      </c>
    </row>
    <row r="2117" spans="5:8" x14ac:dyDescent="0.25">
      <c r="E2117" t="str">
        <f>""</f>
        <v/>
      </c>
      <c r="F2117" t="str">
        <f>""</f>
        <v/>
      </c>
      <c r="H2117" t="str">
        <f t="shared" si="43"/>
        <v>SOCIAL SECURITY TAXES</v>
      </c>
    </row>
    <row r="2118" spans="5:8" x14ac:dyDescent="0.25">
      <c r="E2118" t="str">
        <f>""</f>
        <v/>
      </c>
      <c r="F2118" t="str">
        <f>""</f>
        <v/>
      </c>
      <c r="H2118" t="str">
        <f t="shared" si="43"/>
        <v>SOCIAL SECURITY TAXES</v>
      </c>
    </row>
    <row r="2119" spans="5:8" x14ac:dyDescent="0.25">
      <c r="E2119" t="str">
        <f>""</f>
        <v/>
      </c>
      <c r="F2119" t="str">
        <f>""</f>
        <v/>
      </c>
      <c r="H2119" t="str">
        <f t="shared" si="43"/>
        <v>SOCIAL SECURITY TAXES</v>
      </c>
    </row>
    <row r="2120" spans="5:8" x14ac:dyDescent="0.25">
      <c r="E2120" t="str">
        <f>""</f>
        <v/>
      </c>
      <c r="F2120" t="str">
        <f>""</f>
        <v/>
      </c>
      <c r="H2120" t="str">
        <f t="shared" si="43"/>
        <v>SOCIAL SECURITY TAXES</v>
      </c>
    </row>
    <row r="2121" spans="5:8" x14ac:dyDescent="0.25">
      <c r="E2121" t="str">
        <f>""</f>
        <v/>
      </c>
      <c r="F2121" t="str">
        <f>""</f>
        <v/>
      </c>
      <c r="H2121" t="str">
        <f t="shared" si="43"/>
        <v>SOCIAL SECURITY TAXES</v>
      </c>
    </row>
    <row r="2122" spans="5:8" x14ac:dyDescent="0.25">
      <c r="E2122" t="str">
        <f>"T3 201912244291"</f>
        <v>T3 201912244291</v>
      </c>
      <c r="F2122" t="str">
        <f>"SOCIAL SECURITY TAXES"</f>
        <v>SOCIAL SECURITY TAXES</v>
      </c>
      <c r="G2122" s="2">
        <v>4423.1000000000004</v>
      </c>
      <c r="H2122" t="str">
        <f t="shared" si="43"/>
        <v>SOCIAL SECURITY TAXES</v>
      </c>
    </row>
    <row r="2123" spans="5:8" x14ac:dyDescent="0.25">
      <c r="E2123" t="str">
        <f>""</f>
        <v/>
      </c>
      <c r="F2123" t="str">
        <f>""</f>
        <v/>
      </c>
      <c r="H2123" t="str">
        <f t="shared" si="43"/>
        <v>SOCIAL SECURITY TAXES</v>
      </c>
    </row>
    <row r="2124" spans="5:8" x14ac:dyDescent="0.25">
      <c r="E2124" t="str">
        <f>"T3 201912244292"</f>
        <v>T3 201912244292</v>
      </c>
      <c r="F2124" t="str">
        <f>"SOCIAL SECURITY TAXES"</f>
        <v>SOCIAL SECURITY TAXES</v>
      </c>
      <c r="G2124" s="2">
        <v>4942.3599999999997</v>
      </c>
      <c r="H2124" t="str">
        <f t="shared" si="43"/>
        <v>SOCIAL SECURITY TAXES</v>
      </c>
    </row>
    <row r="2125" spans="5:8" x14ac:dyDescent="0.25">
      <c r="E2125" t="str">
        <f>""</f>
        <v/>
      </c>
      <c r="F2125" t="str">
        <f>""</f>
        <v/>
      </c>
      <c r="H2125" t="str">
        <f t="shared" si="43"/>
        <v>SOCIAL SECURITY TAXES</v>
      </c>
    </row>
    <row r="2126" spans="5:8" x14ac:dyDescent="0.25">
      <c r="E2126" t="str">
        <f>"T4 201912244290"</f>
        <v>T4 201912244290</v>
      </c>
      <c r="F2126" t="str">
        <f>"MEDICARE TAXES"</f>
        <v>MEDICARE TAXES</v>
      </c>
      <c r="G2126" s="2">
        <v>27649.46</v>
      </c>
      <c r="H2126" t="str">
        <f t="shared" ref="H2126:H2157" si="44">"MEDICARE TAXES"</f>
        <v>MEDICARE TAXES</v>
      </c>
    </row>
    <row r="2127" spans="5:8" x14ac:dyDescent="0.25">
      <c r="E2127" t="str">
        <f>""</f>
        <v/>
      </c>
      <c r="F2127" t="str">
        <f>""</f>
        <v/>
      </c>
      <c r="H2127" t="str">
        <f t="shared" si="44"/>
        <v>MEDICARE TAXES</v>
      </c>
    </row>
    <row r="2128" spans="5:8" x14ac:dyDescent="0.25">
      <c r="E2128" t="str">
        <f>""</f>
        <v/>
      </c>
      <c r="F2128" t="str">
        <f>""</f>
        <v/>
      </c>
      <c r="H2128" t="str">
        <f t="shared" si="44"/>
        <v>MEDICARE TAXES</v>
      </c>
    </row>
    <row r="2129" spans="5:8" x14ac:dyDescent="0.25">
      <c r="E2129" t="str">
        <f>""</f>
        <v/>
      </c>
      <c r="F2129" t="str">
        <f>""</f>
        <v/>
      </c>
      <c r="H2129" t="str">
        <f t="shared" si="44"/>
        <v>MEDICARE TAXES</v>
      </c>
    </row>
    <row r="2130" spans="5:8" x14ac:dyDescent="0.25">
      <c r="E2130" t="str">
        <f>""</f>
        <v/>
      </c>
      <c r="F2130" t="str">
        <f>""</f>
        <v/>
      </c>
      <c r="H2130" t="str">
        <f t="shared" si="44"/>
        <v>MEDICARE TAXES</v>
      </c>
    </row>
    <row r="2131" spans="5:8" x14ac:dyDescent="0.25">
      <c r="E2131" t="str">
        <f>""</f>
        <v/>
      </c>
      <c r="F2131" t="str">
        <f>""</f>
        <v/>
      </c>
      <c r="H2131" t="str">
        <f t="shared" si="44"/>
        <v>MEDICARE TAXES</v>
      </c>
    </row>
    <row r="2132" spans="5:8" x14ac:dyDescent="0.25">
      <c r="E2132" t="str">
        <f>""</f>
        <v/>
      </c>
      <c r="F2132" t="str">
        <f>""</f>
        <v/>
      </c>
      <c r="H2132" t="str">
        <f t="shared" si="44"/>
        <v>MEDICARE TAXES</v>
      </c>
    </row>
    <row r="2133" spans="5:8" x14ac:dyDescent="0.25">
      <c r="E2133" t="str">
        <f>""</f>
        <v/>
      </c>
      <c r="F2133" t="str">
        <f>""</f>
        <v/>
      </c>
      <c r="H2133" t="str">
        <f t="shared" si="44"/>
        <v>MEDICARE TAXES</v>
      </c>
    </row>
    <row r="2134" spans="5:8" x14ac:dyDescent="0.25">
      <c r="E2134" t="str">
        <f>""</f>
        <v/>
      </c>
      <c r="F2134" t="str">
        <f>""</f>
        <v/>
      </c>
      <c r="H2134" t="str">
        <f t="shared" si="44"/>
        <v>MEDICARE TAXES</v>
      </c>
    </row>
    <row r="2135" spans="5:8" x14ac:dyDescent="0.25">
      <c r="E2135" t="str">
        <f>""</f>
        <v/>
      </c>
      <c r="F2135" t="str">
        <f>""</f>
        <v/>
      </c>
      <c r="H2135" t="str">
        <f t="shared" si="44"/>
        <v>MEDICARE TAXES</v>
      </c>
    </row>
    <row r="2136" spans="5:8" x14ac:dyDescent="0.25">
      <c r="E2136" t="str">
        <f>""</f>
        <v/>
      </c>
      <c r="F2136" t="str">
        <f>""</f>
        <v/>
      </c>
      <c r="H2136" t="str">
        <f t="shared" si="44"/>
        <v>MEDICARE TAXES</v>
      </c>
    </row>
    <row r="2137" spans="5:8" x14ac:dyDescent="0.25">
      <c r="E2137" t="str">
        <f>""</f>
        <v/>
      </c>
      <c r="F2137" t="str">
        <f>""</f>
        <v/>
      </c>
      <c r="H2137" t="str">
        <f t="shared" si="44"/>
        <v>MEDICARE TAXES</v>
      </c>
    </row>
    <row r="2138" spans="5:8" x14ac:dyDescent="0.25">
      <c r="E2138" t="str">
        <f>""</f>
        <v/>
      </c>
      <c r="F2138" t="str">
        <f>""</f>
        <v/>
      </c>
      <c r="H2138" t="str">
        <f t="shared" si="44"/>
        <v>MEDICARE TAXES</v>
      </c>
    </row>
    <row r="2139" spans="5:8" x14ac:dyDescent="0.25">
      <c r="E2139" t="str">
        <f>""</f>
        <v/>
      </c>
      <c r="F2139" t="str">
        <f>""</f>
        <v/>
      </c>
      <c r="H2139" t="str">
        <f t="shared" si="44"/>
        <v>MEDICARE TAXES</v>
      </c>
    </row>
    <row r="2140" spans="5:8" x14ac:dyDescent="0.25">
      <c r="E2140" t="str">
        <f>""</f>
        <v/>
      </c>
      <c r="F2140" t="str">
        <f>""</f>
        <v/>
      </c>
      <c r="H2140" t="str">
        <f t="shared" si="44"/>
        <v>MEDICARE TAXES</v>
      </c>
    </row>
    <row r="2141" spans="5:8" x14ac:dyDescent="0.25">
      <c r="E2141" t="str">
        <f>""</f>
        <v/>
      </c>
      <c r="F2141" t="str">
        <f>""</f>
        <v/>
      </c>
      <c r="H2141" t="str">
        <f t="shared" si="44"/>
        <v>MEDICARE TAXES</v>
      </c>
    </row>
    <row r="2142" spans="5:8" x14ac:dyDescent="0.25">
      <c r="E2142" t="str">
        <f>""</f>
        <v/>
      </c>
      <c r="F2142" t="str">
        <f>""</f>
        <v/>
      </c>
      <c r="H2142" t="str">
        <f t="shared" si="44"/>
        <v>MEDICARE TAXES</v>
      </c>
    </row>
    <row r="2143" spans="5:8" x14ac:dyDescent="0.25">
      <c r="E2143" t="str">
        <f>""</f>
        <v/>
      </c>
      <c r="F2143" t="str">
        <f>""</f>
        <v/>
      </c>
      <c r="H2143" t="str">
        <f t="shared" si="44"/>
        <v>MEDICARE TAXES</v>
      </c>
    </row>
    <row r="2144" spans="5:8" x14ac:dyDescent="0.25">
      <c r="E2144" t="str">
        <f>""</f>
        <v/>
      </c>
      <c r="F2144" t="str">
        <f>""</f>
        <v/>
      </c>
      <c r="H2144" t="str">
        <f t="shared" si="44"/>
        <v>MEDICARE TAXES</v>
      </c>
    </row>
    <row r="2145" spans="5:8" x14ac:dyDescent="0.25">
      <c r="E2145" t="str">
        <f>""</f>
        <v/>
      </c>
      <c r="F2145" t="str">
        <f>""</f>
        <v/>
      </c>
      <c r="H2145" t="str">
        <f t="shared" si="44"/>
        <v>MEDICARE TAXES</v>
      </c>
    </row>
    <row r="2146" spans="5:8" x14ac:dyDescent="0.25">
      <c r="E2146" t="str">
        <f>""</f>
        <v/>
      </c>
      <c r="F2146" t="str">
        <f>""</f>
        <v/>
      </c>
      <c r="H2146" t="str">
        <f t="shared" si="44"/>
        <v>MEDICARE TAXES</v>
      </c>
    </row>
    <row r="2147" spans="5:8" x14ac:dyDescent="0.25">
      <c r="E2147" t="str">
        <f>""</f>
        <v/>
      </c>
      <c r="F2147" t="str">
        <f>""</f>
        <v/>
      </c>
      <c r="H2147" t="str">
        <f t="shared" si="44"/>
        <v>MEDICARE TAXES</v>
      </c>
    </row>
    <row r="2148" spans="5:8" x14ac:dyDescent="0.25">
      <c r="E2148" t="str">
        <f>""</f>
        <v/>
      </c>
      <c r="F2148" t="str">
        <f>""</f>
        <v/>
      </c>
      <c r="H2148" t="str">
        <f t="shared" si="44"/>
        <v>MEDICARE TAXES</v>
      </c>
    </row>
    <row r="2149" spans="5:8" x14ac:dyDescent="0.25">
      <c r="E2149" t="str">
        <f>""</f>
        <v/>
      </c>
      <c r="F2149" t="str">
        <f>""</f>
        <v/>
      </c>
      <c r="H2149" t="str">
        <f t="shared" si="44"/>
        <v>MEDICARE TAXES</v>
      </c>
    </row>
    <row r="2150" spans="5:8" x14ac:dyDescent="0.25">
      <c r="E2150" t="str">
        <f>""</f>
        <v/>
      </c>
      <c r="F2150" t="str">
        <f>""</f>
        <v/>
      </c>
      <c r="H2150" t="str">
        <f t="shared" si="44"/>
        <v>MEDICARE TAXES</v>
      </c>
    </row>
    <row r="2151" spans="5:8" x14ac:dyDescent="0.25">
      <c r="E2151" t="str">
        <f>""</f>
        <v/>
      </c>
      <c r="F2151" t="str">
        <f>""</f>
        <v/>
      </c>
      <c r="H2151" t="str">
        <f t="shared" si="44"/>
        <v>MEDICARE TAXES</v>
      </c>
    </row>
    <row r="2152" spans="5:8" x14ac:dyDescent="0.25">
      <c r="E2152" t="str">
        <f>""</f>
        <v/>
      </c>
      <c r="F2152" t="str">
        <f>""</f>
        <v/>
      </c>
      <c r="H2152" t="str">
        <f t="shared" si="44"/>
        <v>MEDICARE TAXES</v>
      </c>
    </row>
    <row r="2153" spans="5:8" x14ac:dyDescent="0.25">
      <c r="E2153" t="str">
        <f>""</f>
        <v/>
      </c>
      <c r="F2153" t="str">
        <f>""</f>
        <v/>
      </c>
      <c r="H2153" t="str">
        <f t="shared" si="44"/>
        <v>MEDICARE TAXES</v>
      </c>
    </row>
    <row r="2154" spans="5:8" x14ac:dyDescent="0.25">
      <c r="E2154" t="str">
        <f>""</f>
        <v/>
      </c>
      <c r="F2154" t="str">
        <f>""</f>
        <v/>
      </c>
      <c r="H2154" t="str">
        <f t="shared" si="44"/>
        <v>MEDICARE TAXES</v>
      </c>
    </row>
    <row r="2155" spans="5:8" x14ac:dyDescent="0.25">
      <c r="E2155" t="str">
        <f>""</f>
        <v/>
      </c>
      <c r="F2155" t="str">
        <f>""</f>
        <v/>
      </c>
      <c r="H2155" t="str">
        <f t="shared" si="44"/>
        <v>MEDICARE TAXES</v>
      </c>
    </row>
    <row r="2156" spans="5:8" x14ac:dyDescent="0.25">
      <c r="E2156" t="str">
        <f>""</f>
        <v/>
      </c>
      <c r="F2156" t="str">
        <f>""</f>
        <v/>
      </c>
      <c r="H2156" t="str">
        <f t="shared" si="44"/>
        <v>MEDICARE TAXES</v>
      </c>
    </row>
    <row r="2157" spans="5:8" x14ac:dyDescent="0.25">
      <c r="E2157" t="str">
        <f>""</f>
        <v/>
      </c>
      <c r="F2157" t="str">
        <f>""</f>
        <v/>
      </c>
      <c r="H2157" t="str">
        <f t="shared" si="44"/>
        <v>MEDICARE TAXES</v>
      </c>
    </row>
    <row r="2158" spans="5:8" x14ac:dyDescent="0.25">
      <c r="E2158" t="str">
        <f>""</f>
        <v/>
      </c>
      <c r="F2158" t="str">
        <f>""</f>
        <v/>
      </c>
      <c r="H2158" t="str">
        <f t="shared" ref="H2158:H2182" si="45">"MEDICARE TAXES"</f>
        <v>MEDICARE TAXES</v>
      </c>
    </row>
    <row r="2159" spans="5:8" x14ac:dyDescent="0.25">
      <c r="E2159" t="str">
        <f>""</f>
        <v/>
      </c>
      <c r="F2159" t="str">
        <f>""</f>
        <v/>
      </c>
      <c r="H2159" t="str">
        <f t="shared" si="45"/>
        <v>MEDICARE TAXES</v>
      </c>
    </row>
    <row r="2160" spans="5:8" x14ac:dyDescent="0.25">
      <c r="E2160" t="str">
        <f>""</f>
        <v/>
      </c>
      <c r="F2160" t="str">
        <f>""</f>
        <v/>
      </c>
      <c r="H2160" t="str">
        <f t="shared" si="45"/>
        <v>MEDICARE TAXES</v>
      </c>
    </row>
    <row r="2161" spans="5:8" x14ac:dyDescent="0.25">
      <c r="E2161" t="str">
        <f>""</f>
        <v/>
      </c>
      <c r="F2161" t="str">
        <f>""</f>
        <v/>
      </c>
      <c r="H2161" t="str">
        <f t="shared" si="45"/>
        <v>MEDICARE TAXES</v>
      </c>
    </row>
    <row r="2162" spans="5:8" x14ac:dyDescent="0.25">
      <c r="E2162" t="str">
        <f>""</f>
        <v/>
      </c>
      <c r="F2162" t="str">
        <f>""</f>
        <v/>
      </c>
      <c r="H2162" t="str">
        <f t="shared" si="45"/>
        <v>MEDICARE TAXES</v>
      </c>
    </row>
    <row r="2163" spans="5:8" x14ac:dyDescent="0.25">
      <c r="E2163" t="str">
        <f>""</f>
        <v/>
      </c>
      <c r="F2163" t="str">
        <f>""</f>
        <v/>
      </c>
      <c r="H2163" t="str">
        <f t="shared" si="45"/>
        <v>MEDICARE TAXES</v>
      </c>
    </row>
    <row r="2164" spans="5:8" x14ac:dyDescent="0.25">
      <c r="E2164" t="str">
        <f>""</f>
        <v/>
      </c>
      <c r="F2164" t="str">
        <f>""</f>
        <v/>
      </c>
      <c r="H2164" t="str">
        <f t="shared" si="45"/>
        <v>MEDICARE TAXES</v>
      </c>
    </row>
    <row r="2165" spans="5:8" x14ac:dyDescent="0.25">
      <c r="E2165" t="str">
        <f>""</f>
        <v/>
      </c>
      <c r="F2165" t="str">
        <f>""</f>
        <v/>
      </c>
      <c r="H2165" t="str">
        <f t="shared" si="45"/>
        <v>MEDICARE TAXES</v>
      </c>
    </row>
    <row r="2166" spans="5:8" x14ac:dyDescent="0.25">
      <c r="E2166" t="str">
        <f>""</f>
        <v/>
      </c>
      <c r="F2166" t="str">
        <f>""</f>
        <v/>
      </c>
      <c r="H2166" t="str">
        <f t="shared" si="45"/>
        <v>MEDICARE TAXES</v>
      </c>
    </row>
    <row r="2167" spans="5:8" x14ac:dyDescent="0.25">
      <c r="E2167" t="str">
        <f>""</f>
        <v/>
      </c>
      <c r="F2167" t="str">
        <f>""</f>
        <v/>
      </c>
      <c r="H2167" t="str">
        <f t="shared" si="45"/>
        <v>MEDICARE TAXES</v>
      </c>
    </row>
    <row r="2168" spans="5:8" x14ac:dyDescent="0.25">
      <c r="E2168" t="str">
        <f>""</f>
        <v/>
      </c>
      <c r="F2168" t="str">
        <f>""</f>
        <v/>
      </c>
      <c r="H2168" t="str">
        <f t="shared" si="45"/>
        <v>MEDICARE TAXES</v>
      </c>
    </row>
    <row r="2169" spans="5:8" x14ac:dyDescent="0.25">
      <c r="E2169" t="str">
        <f>""</f>
        <v/>
      </c>
      <c r="F2169" t="str">
        <f>""</f>
        <v/>
      </c>
      <c r="H2169" t="str">
        <f t="shared" si="45"/>
        <v>MEDICARE TAXES</v>
      </c>
    </row>
    <row r="2170" spans="5:8" x14ac:dyDescent="0.25">
      <c r="E2170" t="str">
        <f>""</f>
        <v/>
      </c>
      <c r="F2170" t="str">
        <f>""</f>
        <v/>
      </c>
      <c r="H2170" t="str">
        <f t="shared" si="45"/>
        <v>MEDICARE TAXES</v>
      </c>
    </row>
    <row r="2171" spans="5:8" x14ac:dyDescent="0.25">
      <c r="E2171" t="str">
        <f>""</f>
        <v/>
      </c>
      <c r="F2171" t="str">
        <f>""</f>
        <v/>
      </c>
      <c r="H2171" t="str">
        <f t="shared" si="45"/>
        <v>MEDICARE TAXES</v>
      </c>
    </row>
    <row r="2172" spans="5:8" x14ac:dyDescent="0.25">
      <c r="E2172" t="str">
        <f>""</f>
        <v/>
      </c>
      <c r="F2172" t="str">
        <f>""</f>
        <v/>
      </c>
      <c r="H2172" t="str">
        <f t="shared" si="45"/>
        <v>MEDICARE TAXES</v>
      </c>
    </row>
    <row r="2173" spans="5:8" x14ac:dyDescent="0.25">
      <c r="E2173" t="str">
        <f>""</f>
        <v/>
      </c>
      <c r="F2173" t="str">
        <f>""</f>
        <v/>
      </c>
      <c r="H2173" t="str">
        <f t="shared" si="45"/>
        <v>MEDICARE TAXES</v>
      </c>
    </row>
    <row r="2174" spans="5:8" x14ac:dyDescent="0.25">
      <c r="E2174" t="str">
        <f>""</f>
        <v/>
      </c>
      <c r="F2174" t="str">
        <f>""</f>
        <v/>
      </c>
      <c r="H2174" t="str">
        <f t="shared" si="45"/>
        <v>MEDICARE TAXES</v>
      </c>
    </row>
    <row r="2175" spans="5:8" x14ac:dyDescent="0.25">
      <c r="E2175" t="str">
        <f>""</f>
        <v/>
      </c>
      <c r="F2175" t="str">
        <f>""</f>
        <v/>
      </c>
      <c r="H2175" t="str">
        <f t="shared" si="45"/>
        <v>MEDICARE TAXES</v>
      </c>
    </row>
    <row r="2176" spans="5:8" x14ac:dyDescent="0.25">
      <c r="E2176" t="str">
        <f>""</f>
        <v/>
      </c>
      <c r="F2176" t="str">
        <f>""</f>
        <v/>
      </c>
      <c r="H2176" t="str">
        <f t="shared" si="45"/>
        <v>MEDICARE TAXES</v>
      </c>
    </row>
    <row r="2177" spans="1:8" x14ac:dyDescent="0.25">
      <c r="E2177" t="str">
        <f>""</f>
        <v/>
      </c>
      <c r="F2177" t="str">
        <f>""</f>
        <v/>
      </c>
      <c r="H2177" t="str">
        <f t="shared" si="45"/>
        <v>MEDICARE TAXES</v>
      </c>
    </row>
    <row r="2178" spans="1:8" x14ac:dyDescent="0.25">
      <c r="E2178" t="str">
        <f>""</f>
        <v/>
      </c>
      <c r="F2178" t="str">
        <f>""</f>
        <v/>
      </c>
      <c r="H2178" t="str">
        <f t="shared" si="45"/>
        <v>MEDICARE TAXES</v>
      </c>
    </row>
    <row r="2179" spans="1:8" x14ac:dyDescent="0.25">
      <c r="E2179" t="str">
        <f>"T4 201912244291"</f>
        <v>T4 201912244291</v>
      </c>
      <c r="F2179" t="str">
        <f>"MEDICARE TAXES"</f>
        <v>MEDICARE TAXES</v>
      </c>
      <c r="G2179" s="2">
        <v>1034.44</v>
      </c>
      <c r="H2179" t="str">
        <f t="shared" si="45"/>
        <v>MEDICARE TAXES</v>
      </c>
    </row>
    <row r="2180" spans="1:8" x14ac:dyDescent="0.25">
      <c r="E2180" t="str">
        <f>""</f>
        <v/>
      </c>
      <c r="F2180" t="str">
        <f>""</f>
        <v/>
      </c>
      <c r="H2180" t="str">
        <f t="shared" si="45"/>
        <v>MEDICARE TAXES</v>
      </c>
    </row>
    <row r="2181" spans="1:8" x14ac:dyDescent="0.25">
      <c r="E2181" t="str">
        <f>"T4 201912244292"</f>
        <v>T4 201912244292</v>
      </c>
      <c r="F2181" t="str">
        <f>"MEDICARE TAXES"</f>
        <v>MEDICARE TAXES</v>
      </c>
      <c r="G2181" s="2">
        <v>1155.8399999999999</v>
      </c>
      <c r="H2181" t="str">
        <f t="shared" si="45"/>
        <v>MEDICARE TAXES</v>
      </c>
    </row>
    <row r="2182" spans="1:8" x14ac:dyDescent="0.25">
      <c r="E2182" t="str">
        <f>""</f>
        <v/>
      </c>
      <c r="F2182" t="str">
        <f>""</f>
        <v/>
      </c>
      <c r="H2182" t="str">
        <f t="shared" si="45"/>
        <v>MEDICARE TAXES</v>
      </c>
    </row>
    <row r="2183" spans="1:8" x14ac:dyDescent="0.25">
      <c r="A2183" t="s">
        <v>562</v>
      </c>
      <c r="B2183">
        <v>334</v>
      </c>
      <c r="C2183" s="2">
        <v>2944.94</v>
      </c>
      <c r="D2183" s="1">
        <v>43830</v>
      </c>
      <c r="E2183" t="str">
        <f>"T3 202001064409"</f>
        <v>T3 202001064409</v>
      </c>
      <c r="F2183" t="str">
        <f>"SOCIAL SECURITY TAXES"</f>
        <v>SOCIAL SECURITY TAXES</v>
      </c>
      <c r="G2183" s="2">
        <v>2386.7600000000002</v>
      </c>
      <c r="H2183" t="str">
        <f>"SOCIAL SECURITY TAXES"</f>
        <v>SOCIAL SECURITY TAXES</v>
      </c>
    </row>
    <row r="2184" spans="1:8" x14ac:dyDescent="0.25">
      <c r="E2184" t="str">
        <f>""</f>
        <v/>
      </c>
      <c r="F2184" t="str">
        <f>""</f>
        <v/>
      </c>
      <c r="H2184" t="str">
        <f>"SOCIAL SECURITY TAXES"</f>
        <v>SOCIAL SECURITY TAXES</v>
      </c>
    </row>
    <row r="2185" spans="1:8" x14ac:dyDescent="0.25">
      <c r="E2185" t="str">
        <f>"T4 202001064409"</f>
        <v>T4 202001064409</v>
      </c>
      <c r="F2185" t="str">
        <f>"MEDICARE TAXES"</f>
        <v>MEDICARE TAXES</v>
      </c>
      <c r="G2185" s="2">
        <v>558.17999999999995</v>
      </c>
      <c r="H2185" t="str">
        <f>"MEDICARE TAXES"</f>
        <v>MEDICARE TAXES</v>
      </c>
    </row>
    <row r="2186" spans="1:8" x14ac:dyDescent="0.25">
      <c r="E2186" t="str">
        <f>""</f>
        <v/>
      </c>
      <c r="F2186" t="str">
        <f>""</f>
        <v/>
      </c>
      <c r="H2186" t="str">
        <f>"MEDICARE TAXES"</f>
        <v>MEDICARE TAXES</v>
      </c>
    </row>
    <row r="2187" spans="1:8" x14ac:dyDescent="0.25">
      <c r="A2187" t="s">
        <v>563</v>
      </c>
      <c r="B2187">
        <v>331</v>
      </c>
      <c r="C2187" s="2">
        <v>674.82</v>
      </c>
      <c r="D2187" s="1">
        <v>43826</v>
      </c>
      <c r="E2187" t="str">
        <f>"LIX201912113947"</f>
        <v>LIX201912113947</v>
      </c>
      <c r="F2187" t="str">
        <f>"TEXAS LIFE/OLIVO GROUP"</f>
        <v>TEXAS LIFE/OLIVO GROUP</v>
      </c>
      <c r="G2187" s="2">
        <v>337.41</v>
      </c>
      <c r="H2187" t="str">
        <f>"TEXAS LIFE/OLIVO GROUP"</f>
        <v>TEXAS LIFE/OLIVO GROUP</v>
      </c>
    </row>
    <row r="2188" spans="1:8" x14ac:dyDescent="0.25">
      <c r="E2188" t="str">
        <f>"LIX201912244290"</f>
        <v>LIX201912244290</v>
      </c>
      <c r="F2188" t="str">
        <f>"TEXAS LIFE/OLIVO GROUP"</f>
        <v>TEXAS LIFE/OLIVO GROUP</v>
      </c>
      <c r="G2188" s="2">
        <v>337.41</v>
      </c>
      <c r="H2188" t="str">
        <f>"TEXAS LIFE/OLIVO GROUP"</f>
        <v>TEXAS LIFE/OLIVO GROUP</v>
      </c>
    </row>
    <row r="2189" spans="1:8" x14ac:dyDescent="0.25">
      <c r="A2189" t="s">
        <v>564</v>
      </c>
      <c r="B2189">
        <v>47753</v>
      </c>
      <c r="C2189" s="2">
        <v>80</v>
      </c>
      <c r="D2189" s="1">
        <v>43826</v>
      </c>
      <c r="E2189" t="str">
        <f>"PHI201912113947"</f>
        <v>PHI201912113947</v>
      </c>
      <c r="F2189" t="str">
        <f>"PHI AIR"</f>
        <v>PHI AIR</v>
      </c>
      <c r="G2189" s="2">
        <v>40</v>
      </c>
      <c r="H2189" t="str">
        <f>"PHI AIR"</f>
        <v>PHI AIR</v>
      </c>
    </row>
    <row r="2190" spans="1:8" x14ac:dyDescent="0.25">
      <c r="E2190" t="str">
        <f>"PHI201912244290"</f>
        <v>PHI201912244290</v>
      </c>
      <c r="F2190" t="str">
        <f>"PHI AIR"</f>
        <v>PHI AIR</v>
      </c>
      <c r="G2190" s="2">
        <v>40</v>
      </c>
      <c r="H2190" t="str">
        <f>"PHI AIR"</f>
        <v>PHI AIR</v>
      </c>
    </row>
    <row r="2191" spans="1:8" x14ac:dyDescent="0.25">
      <c r="A2191" t="s">
        <v>565</v>
      </c>
      <c r="B2191">
        <v>47752</v>
      </c>
      <c r="C2191" s="2">
        <v>367505.1</v>
      </c>
      <c r="D2191" s="1">
        <v>43826</v>
      </c>
      <c r="E2191" t="str">
        <f>"201912274296"</f>
        <v>201912274296</v>
      </c>
      <c r="F2191" t="str">
        <f>"Dec Retiree 2019"</f>
        <v>Dec Retiree 2019</v>
      </c>
      <c r="G2191" s="2">
        <v>16818.88</v>
      </c>
      <c r="H2191" t="str">
        <f>"TAC HEALTH BENEFITS POOL"</f>
        <v>TAC HEALTH BENEFITS POOL</v>
      </c>
    </row>
    <row r="2192" spans="1:8" x14ac:dyDescent="0.25">
      <c r="E2192" t="str">
        <f>"201912274297"</f>
        <v>201912274297</v>
      </c>
      <c r="F2192" t="str">
        <f>"COBRA Dec 2019"</f>
        <v>COBRA Dec 2019</v>
      </c>
      <c r="G2192" s="2">
        <v>1896.48</v>
      </c>
      <c r="H2192" t="str">
        <f>"TAC HEALTH BENEFITS POOL"</f>
        <v>TAC HEALTH BENEFITS POOL</v>
      </c>
    </row>
    <row r="2193" spans="5:8" x14ac:dyDescent="0.25">
      <c r="E2193" t="str">
        <f>"2EC201912113947"</f>
        <v>2EC201912113947</v>
      </c>
      <c r="F2193" t="str">
        <f>"BCBS PAYABLE"</f>
        <v>BCBS PAYABLE</v>
      </c>
      <c r="G2193" s="2">
        <v>48800.56</v>
      </c>
      <c r="H2193" t="str">
        <f t="shared" ref="H2193:H2256" si="46">"BCBS PAYABLE"</f>
        <v>BCBS PAYABLE</v>
      </c>
    </row>
    <row r="2194" spans="5:8" x14ac:dyDescent="0.25">
      <c r="E2194" t="str">
        <f>""</f>
        <v/>
      </c>
      <c r="F2194" t="str">
        <f>""</f>
        <v/>
      </c>
      <c r="H2194" t="str">
        <f t="shared" si="46"/>
        <v>BCBS PAYABLE</v>
      </c>
    </row>
    <row r="2195" spans="5:8" x14ac:dyDescent="0.25">
      <c r="E2195" t="str">
        <f>""</f>
        <v/>
      </c>
      <c r="F2195" t="str">
        <f>""</f>
        <v/>
      </c>
      <c r="H2195" t="str">
        <f t="shared" si="46"/>
        <v>BCBS PAYABLE</v>
      </c>
    </row>
    <row r="2196" spans="5:8" x14ac:dyDescent="0.25">
      <c r="E2196" t="str">
        <f>""</f>
        <v/>
      </c>
      <c r="F2196" t="str">
        <f>""</f>
        <v/>
      </c>
      <c r="H2196" t="str">
        <f t="shared" si="46"/>
        <v>BCBS PAYABLE</v>
      </c>
    </row>
    <row r="2197" spans="5:8" x14ac:dyDescent="0.25">
      <c r="E2197" t="str">
        <f>""</f>
        <v/>
      </c>
      <c r="F2197" t="str">
        <f>""</f>
        <v/>
      </c>
      <c r="H2197" t="str">
        <f t="shared" si="46"/>
        <v>BCBS PAYABLE</v>
      </c>
    </row>
    <row r="2198" spans="5:8" x14ac:dyDescent="0.25">
      <c r="E2198" t="str">
        <f>""</f>
        <v/>
      </c>
      <c r="F2198" t="str">
        <f>""</f>
        <v/>
      </c>
      <c r="H2198" t="str">
        <f t="shared" si="46"/>
        <v>BCBS PAYABLE</v>
      </c>
    </row>
    <row r="2199" spans="5:8" x14ac:dyDescent="0.25">
      <c r="E2199" t="str">
        <f>""</f>
        <v/>
      </c>
      <c r="F2199" t="str">
        <f>""</f>
        <v/>
      </c>
      <c r="H2199" t="str">
        <f t="shared" si="46"/>
        <v>BCBS PAYABLE</v>
      </c>
    </row>
    <row r="2200" spans="5:8" x14ac:dyDescent="0.25">
      <c r="E2200" t="str">
        <f>""</f>
        <v/>
      </c>
      <c r="F2200" t="str">
        <f>""</f>
        <v/>
      </c>
      <c r="H2200" t="str">
        <f t="shared" si="46"/>
        <v>BCBS PAYABLE</v>
      </c>
    </row>
    <row r="2201" spans="5:8" x14ac:dyDescent="0.25">
      <c r="E2201" t="str">
        <f>""</f>
        <v/>
      </c>
      <c r="F2201" t="str">
        <f>""</f>
        <v/>
      </c>
      <c r="H2201" t="str">
        <f t="shared" si="46"/>
        <v>BCBS PAYABLE</v>
      </c>
    </row>
    <row r="2202" spans="5:8" x14ac:dyDescent="0.25">
      <c r="E2202" t="str">
        <f>""</f>
        <v/>
      </c>
      <c r="F2202" t="str">
        <f>""</f>
        <v/>
      </c>
      <c r="H2202" t="str">
        <f t="shared" si="46"/>
        <v>BCBS PAYABLE</v>
      </c>
    </row>
    <row r="2203" spans="5:8" x14ac:dyDescent="0.25">
      <c r="E2203" t="str">
        <f>""</f>
        <v/>
      </c>
      <c r="F2203" t="str">
        <f>""</f>
        <v/>
      </c>
      <c r="H2203" t="str">
        <f t="shared" si="46"/>
        <v>BCBS PAYABLE</v>
      </c>
    </row>
    <row r="2204" spans="5:8" x14ac:dyDescent="0.25">
      <c r="E2204" t="str">
        <f>""</f>
        <v/>
      </c>
      <c r="F2204" t="str">
        <f>""</f>
        <v/>
      </c>
      <c r="H2204" t="str">
        <f t="shared" si="46"/>
        <v>BCBS PAYABLE</v>
      </c>
    </row>
    <row r="2205" spans="5:8" x14ac:dyDescent="0.25">
      <c r="E2205" t="str">
        <f>""</f>
        <v/>
      </c>
      <c r="F2205" t="str">
        <f>""</f>
        <v/>
      </c>
      <c r="H2205" t="str">
        <f t="shared" si="46"/>
        <v>BCBS PAYABLE</v>
      </c>
    </row>
    <row r="2206" spans="5:8" x14ac:dyDescent="0.25">
      <c r="E2206" t="str">
        <f>""</f>
        <v/>
      </c>
      <c r="F2206" t="str">
        <f>""</f>
        <v/>
      </c>
      <c r="H2206" t="str">
        <f t="shared" si="46"/>
        <v>BCBS PAYABLE</v>
      </c>
    </row>
    <row r="2207" spans="5:8" x14ac:dyDescent="0.25">
      <c r="E2207" t="str">
        <f>""</f>
        <v/>
      </c>
      <c r="F2207" t="str">
        <f>""</f>
        <v/>
      </c>
      <c r="H2207" t="str">
        <f t="shared" si="46"/>
        <v>BCBS PAYABLE</v>
      </c>
    </row>
    <row r="2208" spans="5:8" x14ac:dyDescent="0.25">
      <c r="E2208" t="str">
        <f>""</f>
        <v/>
      </c>
      <c r="F2208" t="str">
        <f>""</f>
        <v/>
      </c>
      <c r="H2208" t="str">
        <f t="shared" si="46"/>
        <v>BCBS PAYABLE</v>
      </c>
    </row>
    <row r="2209" spans="5:8" x14ac:dyDescent="0.25">
      <c r="E2209" t="str">
        <f>""</f>
        <v/>
      </c>
      <c r="F2209" t="str">
        <f>""</f>
        <v/>
      </c>
      <c r="H2209" t="str">
        <f t="shared" si="46"/>
        <v>BCBS PAYABLE</v>
      </c>
    </row>
    <row r="2210" spans="5:8" x14ac:dyDescent="0.25">
      <c r="E2210" t="str">
        <f>""</f>
        <v/>
      </c>
      <c r="F2210" t="str">
        <f>""</f>
        <v/>
      </c>
      <c r="H2210" t="str">
        <f t="shared" si="46"/>
        <v>BCBS PAYABLE</v>
      </c>
    </row>
    <row r="2211" spans="5:8" x14ac:dyDescent="0.25">
      <c r="E2211" t="str">
        <f>""</f>
        <v/>
      </c>
      <c r="F2211" t="str">
        <f>""</f>
        <v/>
      </c>
      <c r="H2211" t="str">
        <f t="shared" si="46"/>
        <v>BCBS PAYABLE</v>
      </c>
    </row>
    <row r="2212" spans="5:8" x14ac:dyDescent="0.25">
      <c r="E2212" t="str">
        <f>""</f>
        <v/>
      </c>
      <c r="F2212" t="str">
        <f>""</f>
        <v/>
      </c>
      <c r="H2212" t="str">
        <f t="shared" si="46"/>
        <v>BCBS PAYABLE</v>
      </c>
    </row>
    <row r="2213" spans="5:8" x14ac:dyDescent="0.25">
      <c r="E2213" t="str">
        <f>""</f>
        <v/>
      </c>
      <c r="F2213" t="str">
        <f>""</f>
        <v/>
      </c>
      <c r="H2213" t="str">
        <f t="shared" si="46"/>
        <v>BCBS PAYABLE</v>
      </c>
    </row>
    <row r="2214" spans="5:8" x14ac:dyDescent="0.25">
      <c r="E2214" t="str">
        <f>""</f>
        <v/>
      </c>
      <c r="F2214" t="str">
        <f>""</f>
        <v/>
      </c>
      <c r="H2214" t="str">
        <f t="shared" si="46"/>
        <v>BCBS PAYABLE</v>
      </c>
    </row>
    <row r="2215" spans="5:8" x14ac:dyDescent="0.25">
      <c r="E2215" t="str">
        <f>""</f>
        <v/>
      </c>
      <c r="F2215" t="str">
        <f>""</f>
        <v/>
      </c>
      <c r="H2215" t="str">
        <f t="shared" si="46"/>
        <v>BCBS PAYABLE</v>
      </c>
    </row>
    <row r="2216" spans="5:8" x14ac:dyDescent="0.25">
      <c r="E2216" t="str">
        <f>""</f>
        <v/>
      </c>
      <c r="F2216" t="str">
        <f>""</f>
        <v/>
      </c>
      <c r="H2216" t="str">
        <f t="shared" si="46"/>
        <v>BCBS PAYABLE</v>
      </c>
    </row>
    <row r="2217" spans="5:8" x14ac:dyDescent="0.25">
      <c r="E2217" t="str">
        <f>""</f>
        <v/>
      </c>
      <c r="F2217" t="str">
        <f>""</f>
        <v/>
      </c>
      <c r="H2217" t="str">
        <f t="shared" si="46"/>
        <v>BCBS PAYABLE</v>
      </c>
    </row>
    <row r="2218" spans="5:8" x14ac:dyDescent="0.25">
      <c r="E2218" t="str">
        <f>""</f>
        <v/>
      </c>
      <c r="F2218" t="str">
        <f>""</f>
        <v/>
      </c>
      <c r="H2218" t="str">
        <f t="shared" si="46"/>
        <v>BCBS PAYABLE</v>
      </c>
    </row>
    <row r="2219" spans="5:8" x14ac:dyDescent="0.25">
      <c r="E2219" t="str">
        <f>""</f>
        <v/>
      </c>
      <c r="F2219" t="str">
        <f>""</f>
        <v/>
      </c>
      <c r="H2219" t="str">
        <f t="shared" si="46"/>
        <v>BCBS PAYABLE</v>
      </c>
    </row>
    <row r="2220" spans="5:8" x14ac:dyDescent="0.25">
      <c r="E2220" t="str">
        <f>""</f>
        <v/>
      </c>
      <c r="F2220" t="str">
        <f>""</f>
        <v/>
      </c>
      <c r="H2220" t="str">
        <f t="shared" si="46"/>
        <v>BCBS PAYABLE</v>
      </c>
    </row>
    <row r="2221" spans="5:8" x14ac:dyDescent="0.25">
      <c r="E2221" t="str">
        <f>""</f>
        <v/>
      </c>
      <c r="F2221" t="str">
        <f>""</f>
        <v/>
      </c>
      <c r="H2221" t="str">
        <f t="shared" si="46"/>
        <v>BCBS PAYABLE</v>
      </c>
    </row>
    <row r="2222" spans="5:8" x14ac:dyDescent="0.25">
      <c r="E2222" t="str">
        <f>""</f>
        <v/>
      </c>
      <c r="F2222" t="str">
        <f>""</f>
        <v/>
      </c>
      <c r="H2222" t="str">
        <f t="shared" si="46"/>
        <v>BCBS PAYABLE</v>
      </c>
    </row>
    <row r="2223" spans="5:8" x14ac:dyDescent="0.25">
      <c r="E2223" t="str">
        <f>""</f>
        <v/>
      </c>
      <c r="F2223" t="str">
        <f>""</f>
        <v/>
      </c>
      <c r="H2223" t="str">
        <f t="shared" si="46"/>
        <v>BCBS PAYABLE</v>
      </c>
    </row>
    <row r="2224" spans="5:8" x14ac:dyDescent="0.25">
      <c r="E2224" t="str">
        <f>""</f>
        <v/>
      </c>
      <c r="F2224" t="str">
        <f>""</f>
        <v/>
      </c>
      <c r="H2224" t="str">
        <f t="shared" si="46"/>
        <v>BCBS PAYABLE</v>
      </c>
    </row>
    <row r="2225" spans="5:8" x14ac:dyDescent="0.25">
      <c r="E2225" t="str">
        <f>"2EC201912113948"</f>
        <v>2EC201912113948</v>
      </c>
      <c r="F2225" t="str">
        <f>"BCBS PAYABLE"</f>
        <v>BCBS PAYABLE</v>
      </c>
      <c r="G2225" s="2">
        <v>1824.32</v>
      </c>
      <c r="H2225" t="str">
        <f t="shared" si="46"/>
        <v>BCBS PAYABLE</v>
      </c>
    </row>
    <row r="2226" spans="5:8" x14ac:dyDescent="0.25">
      <c r="E2226" t="str">
        <f>""</f>
        <v/>
      </c>
      <c r="F2226" t="str">
        <f>""</f>
        <v/>
      </c>
      <c r="H2226" t="str">
        <f t="shared" si="46"/>
        <v>BCBS PAYABLE</v>
      </c>
    </row>
    <row r="2227" spans="5:8" x14ac:dyDescent="0.25">
      <c r="E2227" t="str">
        <f>"2EC201912244290"</f>
        <v>2EC201912244290</v>
      </c>
      <c r="F2227" t="str">
        <f>"BCBS PAYABLE"</f>
        <v>BCBS PAYABLE</v>
      </c>
      <c r="G2227" s="2">
        <v>47888.4</v>
      </c>
      <c r="H2227" t="str">
        <f t="shared" si="46"/>
        <v>BCBS PAYABLE</v>
      </c>
    </row>
    <row r="2228" spans="5:8" x14ac:dyDescent="0.25">
      <c r="E2228" t="str">
        <f>""</f>
        <v/>
      </c>
      <c r="F2228" t="str">
        <f>""</f>
        <v/>
      </c>
      <c r="H2228" t="str">
        <f t="shared" si="46"/>
        <v>BCBS PAYABLE</v>
      </c>
    </row>
    <row r="2229" spans="5:8" x14ac:dyDescent="0.25">
      <c r="E2229" t="str">
        <f>""</f>
        <v/>
      </c>
      <c r="F2229" t="str">
        <f>""</f>
        <v/>
      </c>
      <c r="H2229" t="str">
        <f t="shared" si="46"/>
        <v>BCBS PAYABLE</v>
      </c>
    </row>
    <row r="2230" spans="5:8" x14ac:dyDescent="0.25">
      <c r="E2230" t="str">
        <f>""</f>
        <v/>
      </c>
      <c r="F2230" t="str">
        <f>""</f>
        <v/>
      </c>
      <c r="H2230" t="str">
        <f t="shared" si="46"/>
        <v>BCBS PAYABLE</v>
      </c>
    </row>
    <row r="2231" spans="5:8" x14ac:dyDescent="0.25">
      <c r="E2231" t="str">
        <f>""</f>
        <v/>
      </c>
      <c r="F2231" t="str">
        <f>""</f>
        <v/>
      </c>
      <c r="H2231" t="str">
        <f t="shared" si="46"/>
        <v>BCBS PAYABLE</v>
      </c>
    </row>
    <row r="2232" spans="5:8" x14ac:dyDescent="0.25">
      <c r="E2232" t="str">
        <f>""</f>
        <v/>
      </c>
      <c r="F2232" t="str">
        <f>""</f>
        <v/>
      </c>
      <c r="H2232" t="str">
        <f t="shared" si="46"/>
        <v>BCBS PAYABLE</v>
      </c>
    </row>
    <row r="2233" spans="5:8" x14ac:dyDescent="0.25">
      <c r="E2233" t="str">
        <f>""</f>
        <v/>
      </c>
      <c r="F2233" t="str">
        <f>""</f>
        <v/>
      </c>
      <c r="H2233" t="str">
        <f t="shared" si="46"/>
        <v>BCBS PAYABLE</v>
      </c>
    </row>
    <row r="2234" spans="5:8" x14ac:dyDescent="0.25">
      <c r="E2234" t="str">
        <f>""</f>
        <v/>
      </c>
      <c r="F2234" t="str">
        <f>""</f>
        <v/>
      </c>
      <c r="H2234" t="str">
        <f t="shared" si="46"/>
        <v>BCBS PAYABLE</v>
      </c>
    </row>
    <row r="2235" spans="5:8" x14ac:dyDescent="0.25">
      <c r="E2235" t="str">
        <f>""</f>
        <v/>
      </c>
      <c r="F2235" t="str">
        <f>""</f>
        <v/>
      </c>
      <c r="H2235" t="str">
        <f t="shared" si="46"/>
        <v>BCBS PAYABLE</v>
      </c>
    </row>
    <row r="2236" spans="5:8" x14ac:dyDescent="0.25">
      <c r="E2236" t="str">
        <f>""</f>
        <v/>
      </c>
      <c r="F2236" t="str">
        <f>""</f>
        <v/>
      </c>
      <c r="H2236" t="str">
        <f t="shared" si="46"/>
        <v>BCBS PAYABLE</v>
      </c>
    </row>
    <row r="2237" spans="5:8" x14ac:dyDescent="0.25">
      <c r="E2237" t="str">
        <f>""</f>
        <v/>
      </c>
      <c r="F2237" t="str">
        <f>""</f>
        <v/>
      </c>
      <c r="H2237" t="str">
        <f t="shared" si="46"/>
        <v>BCBS PAYABLE</v>
      </c>
    </row>
    <row r="2238" spans="5:8" x14ac:dyDescent="0.25">
      <c r="E2238" t="str">
        <f>""</f>
        <v/>
      </c>
      <c r="F2238" t="str">
        <f>""</f>
        <v/>
      </c>
      <c r="H2238" t="str">
        <f t="shared" si="46"/>
        <v>BCBS PAYABLE</v>
      </c>
    </row>
    <row r="2239" spans="5:8" x14ac:dyDescent="0.25">
      <c r="E2239" t="str">
        <f>""</f>
        <v/>
      </c>
      <c r="F2239" t="str">
        <f>""</f>
        <v/>
      </c>
      <c r="H2239" t="str">
        <f t="shared" si="46"/>
        <v>BCBS PAYABLE</v>
      </c>
    </row>
    <row r="2240" spans="5:8" x14ac:dyDescent="0.25">
      <c r="E2240" t="str">
        <f>""</f>
        <v/>
      </c>
      <c r="F2240" t="str">
        <f>""</f>
        <v/>
      </c>
      <c r="H2240" t="str">
        <f t="shared" si="46"/>
        <v>BCBS PAYABLE</v>
      </c>
    </row>
    <row r="2241" spans="5:8" x14ac:dyDescent="0.25">
      <c r="E2241" t="str">
        <f>""</f>
        <v/>
      </c>
      <c r="F2241" t="str">
        <f>""</f>
        <v/>
      </c>
      <c r="H2241" t="str">
        <f t="shared" si="46"/>
        <v>BCBS PAYABLE</v>
      </c>
    </row>
    <row r="2242" spans="5:8" x14ac:dyDescent="0.25">
      <c r="E2242" t="str">
        <f>""</f>
        <v/>
      </c>
      <c r="F2242" t="str">
        <f>""</f>
        <v/>
      </c>
      <c r="H2242" t="str">
        <f t="shared" si="46"/>
        <v>BCBS PAYABLE</v>
      </c>
    </row>
    <row r="2243" spans="5:8" x14ac:dyDescent="0.25">
      <c r="E2243" t="str">
        <f>""</f>
        <v/>
      </c>
      <c r="F2243" t="str">
        <f>""</f>
        <v/>
      </c>
      <c r="H2243" t="str">
        <f t="shared" si="46"/>
        <v>BCBS PAYABLE</v>
      </c>
    </row>
    <row r="2244" spans="5:8" x14ac:dyDescent="0.25">
      <c r="E2244" t="str">
        <f>""</f>
        <v/>
      </c>
      <c r="F2244" t="str">
        <f>""</f>
        <v/>
      </c>
      <c r="H2244" t="str">
        <f t="shared" si="46"/>
        <v>BCBS PAYABLE</v>
      </c>
    </row>
    <row r="2245" spans="5:8" x14ac:dyDescent="0.25">
      <c r="E2245" t="str">
        <f>""</f>
        <v/>
      </c>
      <c r="F2245" t="str">
        <f>""</f>
        <v/>
      </c>
      <c r="H2245" t="str">
        <f t="shared" si="46"/>
        <v>BCBS PAYABLE</v>
      </c>
    </row>
    <row r="2246" spans="5:8" x14ac:dyDescent="0.25">
      <c r="E2246" t="str">
        <f>""</f>
        <v/>
      </c>
      <c r="F2246" t="str">
        <f>""</f>
        <v/>
      </c>
      <c r="H2246" t="str">
        <f t="shared" si="46"/>
        <v>BCBS PAYABLE</v>
      </c>
    </row>
    <row r="2247" spans="5:8" x14ac:dyDescent="0.25">
      <c r="E2247" t="str">
        <f>""</f>
        <v/>
      </c>
      <c r="F2247" t="str">
        <f>""</f>
        <v/>
      </c>
      <c r="H2247" t="str">
        <f t="shared" si="46"/>
        <v>BCBS PAYABLE</v>
      </c>
    </row>
    <row r="2248" spans="5:8" x14ac:dyDescent="0.25">
      <c r="E2248" t="str">
        <f>""</f>
        <v/>
      </c>
      <c r="F2248" t="str">
        <f>""</f>
        <v/>
      </c>
      <c r="H2248" t="str">
        <f t="shared" si="46"/>
        <v>BCBS PAYABLE</v>
      </c>
    </row>
    <row r="2249" spans="5:8" x14ac:dyDescent="0.25">
      <c r="E2249" t="str">
        <f>""</f>
        <v/>
      </c>
      <c r="F2249" t="str">
        <f>""</f>
        <v/>
      </c>
      <c r="H2249" t="str">
        <f t="shared" si="46"/>
        <v>BCBS PAYABLE</v>
      </c>
    </row>
    <row r="2250" spans="5:8" x14ac:dyDescent="0.25">
      <c r="E2250" t="str">
        <f>""</f>
        <v/>
      </c>
      <c r="F2250" t="str">
        <f>""</f>
        <v/>
      </c>
      <c r="H2250" t="str">
        <f t="shared" si="46"/>
        <v>BCBS PAYABLE</v>
      </c>
    </row>
    <row r="2251" spans="5:8" x14ac:dyDescent="0.25">
      <c r="E2251" t="str">
        <f>""</f>
        <v/>
      </c>
      <c r="F2251" t="str">
        <f>""</f>
        <v/>
      </c>
      <c r="H2251" t="str">
        <f t="shared" si="46"/>
        <v>BCBS PAYABLE</v>
      </c>
    </row>
    <row r="2252" spans="5:8" x14ac:dyDescent="0.25">
      <c r="E2252" t="str">
        <f>""</f>
        <v/>
      </c>
      <c r="F2252" t="str">
        <f>""</f>
        <v/>
      </c>
      <c r="H2252" t="str">
        <f t="shared" si="46"/>
        <v>BCBS PAYABLE</v>
      </c>
    </row>
    <row r="2253" spans="5:8" x14ac:dyDescent="0.25">
      <c r="E2253" t="str">
        <f>""</f>
        <v/>
      </c>
      <c r="F2253" t="str">
        <f>""</f>
        <v/>
      </c>
      <c r="H2253" t="str">
        <f t="shared" si="46"/>
        <v>BCBS PAYABLE</v>
      </c>
    </row>
    <row r="2254" spans="5:8" x14ac:dyDescent="0.25">
      <c r="E2254" t="str">
        <f>""</f>
        <v/>
      </c>
      <c r="F2254" t="str">
        <f>""</f>
        <v/>
      </c>
      <c r="H2254" t="str">
        <f t="shared" si="46"/>
        <v>BCBS PAYABLE</v>
      </c>
    </row>
    <row r="2255" spans="5:8" x14ac:dyDescent="0.25">
      <c r="E2255" t="str">
        <f>""</f>
        <v/>
      </c>
      <c r="F2255" t="str">
        <f>""</f>
        <v/>
      </c>
      <c r="H2255" t="str">
        <f t="shared" si="46"/>
        <v>BCBS PAYABLE</v>
      </c>
    </row>
    <row r="2256" spans="5:8" x14ac:dyDescent="0.25">
      <c r="E2256" t="str">
        <f>""</f>
        <v/>
      </c>
      <c r="F2256" t="str">
        <f>""</f>
        <v/>
      </c>
      <c r="H2256" t="str">
        <f t="shared" si="46"/>
        <v>BCBS PAYABLE</v>
      </c>
    </row>
    <row r="2257" spans="5:8" x14ac:dyDescent="0.25">
      <c r="E2257" t="str">
        <f>""</f>
        <v/>
      </c>
      <c r="F2257" t="str">
        <f>""</f>
        <v/>
      </c>
      <c r="H2257" t="str">
        <f t="shared" ref="H2257:H2320" si="47">"BCBS PAYABLE"</f>
        <v>BCBS PAYABLE</v>
      </c>
    </row>
    <row r="2258" spans="5:8" x14ac:dyDescent="0.25">
      <c r="E2258" t="str">
        <f>""</f>
        <v/>
      </c>
      <c r="F2258" t="str">
        <f>""</f>
        <v/>
      </c>
      <c r="H2258" t="str">
        <f t="shared" si="47"/>
        <v>BCBS PAYABLE</v>
      </c>
    </row>
    <row r="2259" spans="5:8" x14ac:dyDescent="0.25">
      <c r="E2259" t="str">
        <f>"2EC201912244291"</f>
        <v>2EC201912244291</v>
      </c>
      <c r="F2259" t="str">
        <f>"BCBS PAYABLE"</f>
        <v>BCBS PAYABLE</v>
      </c>
      <c r="G2259" s="2">
        <v>1824.32</v>
      </c>
      <c r="H2259" t="str">
        <f t="shared" si="47"/>
        <v>BCBS PAYABLE</v>
      </c>
    </row>
    <row r="2260" spans="5:8" x14ac:dyDescent="0.25">
      <c r="E2260" t="str">
        <f>""</f>
        <v/>
      </c>
      <c r="F2260" t="str">
        <f>""</f>
        <v/>
      </c>
      <c r="H2260" t="str">
        <f t="shared" si="47"/>
        <v>BCBS PAYABLE</v>
      </c>
    </row>
    <row r="2261" spans="5:8" x14ac:dyDescent="0.25">
      <c r="E2261" t="str">
        <f>"2EF201912113947"</f>
        <v>2EF201912113947</v>
      </c>
      <c r="F2261" t="str">
        <f>"BCBS PAYABLE"</f>
        <v>BCBS PAYABLE</v>
      </c>
      <c r="G2261" s="2">
        <v>2718.27</v>
      </c>
      <c r="H2261" t="str">
        <f t="shared" si="47"/>
        <v>BCBS PAYABLE</v>
      </c>
    </row>
    <row r="2262" spans="5:8" x14ac:dyDescent="0.25">
      <c r="E2262" t="str">
        <f>""</f>
        <v/>
      </c>
      <c r="F2262" t="str">
        <f>""</f>
        <v/>
      </c>
      <c r="H2262" t="str">
        <f t="shared" si="47"/>
        <v>BCBS PAYABLE</v>
      </c>
    </row>
    <row r="2263" spans="5:8" x14ac:dyDescent="0.25">
      <c r="E2263" t="str">
        <f>""</f>
        <v/>
      </c>
      <c r="F2263" t="str">
        <f>""</f>
        <v/>
      </c>
      <c r="H2263" t="str">
        <f t="shared" si="47"/>
        <v>BCBS PAYABLE</v>
      </c>
    </row>
    <row r="2264" spans="5:8" x14ac:dyDescent="0.25">
      <c r="E2264" t="str">
        <f>""</f>
        <v/>
      </c>
      <c r="F2264" t="str">
        <f>""</f>
        <v/>
      </c>
      <c r="H2264" t="str">
        <f t="shared" si="47"/>
        <v>BCBS PAYABLE</v>
      </c>
    </row>
    <row r="2265" spans="5:8" x14ac:dyDescent="0.25">
      <c r="E2265" t="str">
        <f>""</f>
        <v/>
      </c>
      <c r="F2265" t="str">
        <f>""</f>
        <v/>
      </c>
      <c r="H2265" t="str">
        <f t="shared" si="47"/>
        <v>BCBS PAYABLE</v>
      </c>
    </row>
    <row r="2266" spans="5:8" x14ac:dyDescent="0.25">
      <c r="E2266" t="str">
        <f>"2EF201912244290"</f>
        <v>2EF201912244290</v>
      </c>
      <c r="F2266" t="str">
        <f>"BCBS PAYABLE"</f>
        <v>BCBS PAYABLE</v>
      </c>
      <c r="G2266" s="2">
        <v>2718.27</v>
      </c>
      <c r="H2266" t="str">
        <f t="shared" si="47"/>
        <v>BCBS PAYABLE</v>
      </c>
    </row>
    <row r="2267" spans="5:8" x14ac:dyDescent="0.25">
      <c r="E2267" t="str">
        <f>""</f>
        <v/>
      </c>
      <c r="F2267" t="str">
        <f>""</f>
        <v/>
      </c>
      <c r="H2267" t="str">
        <f t="shared" si="47"/>
        <v>BCBS PAYABLE</v>
      </c>
    </row>
    <row r="2268" spans="5:8" x14ac:dyDescent="0.25">
      <c r="E2268" t="str">
        <f>""</f>
        <v/>
      </c>
      <c r="F2268" t="str">
        <f>""</f>
        <v/>
      </c>
      <c r="H2268" t="str">
        <f t="shared" si="47"/>
        <v>BCBS PAYABLE</v>
      </c>
    </row>
    <row r="2269" spans="5:8" x14ac:dyDescent="0.25">
      <c r="E2269" t="str">
        <f>""</f>
        <v/>
      </c>
      <c r="F2269" t="str">
        <f>""</f>
        <v/>
      </c>
      <c r="H2269" t="str">
        <f t="shared" si="47"/>
        <v>BCBS PAYABLE</v>
      </c>
    </row>
    <row r="2270" spans="5:8" x14ac:dyDescent="0.25">
      <c r="E2270" t="str">
        <f>""</f>
        <v/>
      </c>
      <c r="F2270" t="str">
        <f>""</f>
        <v/>
      </c>
      <c r="H2270" t="str">
        <f t="shared" si="47"/>
        <v>BCBS PAYABLE</v>
      </c>
    </row>
    <row r="2271" spans="5:8" x14ac:dyDescent="0.25">
      <c r="E2271" t="str">
        <f>"2EO201912113947"</f>
        <v>2EO201912113947</v>
      </c>
      <c r="F2271" t="str">
        <f>"BCBS PAYABLE"</f>
        <v>BCBS PAYABLE</v>
      </c>
      <c r="G2271" s="2">
        <v>102550.92</v>
      </c>
      <c r="H2271" t="str">
        <f t="shared" si="47"/>
        <v>BCBS PAYABLE</v>
      </c>
    </row>
    <row r="2272" spans="5:8" x14ac:dyDescent="0.25">
      <c r="E2272" t="str">
        <f>""</f>
        <v/>
      </c>
      <c r="F2272" t="str">
        <f>""</f>
        <v/>
      </c>
      <c r="H2272" t="str">
        <f t="shared" si="47"/>
        <v>BCBS PAYABLE</v>
      </c>
    </row>
    <row r="2273" spans="5:8" x14ac:dyDescent="0.25">
      <c r="E2273" t="str">
        <f>""</f>
        <v/>
      </c>
      <c r="F2273" t="str">
        <f>""</f>
        <v/>
      </c>
      <c r="H2273" t="str">
        <f t="shared" si="47"/>
        <v>BCBS PAYABLE</v>
      </c>
    </row>
    <row r="2274" spans="5:8" x14ac:dyDescent="0.25">
      <c r="E2274" t="str">
        <f>""</f>
        <v/>
      </c>
      <c r="F2274" t="str">
        <f>""</f>
        <v/>
      </c>
      <c r="H2274" t="str">
        <f t="shared" si="47"/>
        <v>BCBS PAYABLE</v>
      </c>
    </row>
    <row r="2275" spans="5:8" x14ac:dyDescent="0.25">
      <c r="E2275" t="str">
        <f>""</f>
        <v/>
      </c>
      <c r="F2275" t="str">
        <f>""</f>
        <v/>
      </c>
      <c r="H2275" t="str">
        <f t="shared" si="47"/>
        <v>BCBS PAYABLE</v>
      </c>
    </row>
    <row r="2276" spans="5:8" x14ac:dyDescent="0.25">
      <c r="E2276" t="str">
        <f>""</f>
        <v/>
      </c>
      <c r="F2276" t="str">
        <f>""</f>
        <v/>
      </c>
      <c r="H2276" t="str">
        <f t="shared" si="47"/>
        <v>BCBS PAYABLE</v>
      </c>
    </row>
    <row r="2277" spans="5:8" x14ac:dyDescent="0.25">
      <c r="E2277" t="str">
        <f>""</f>
        <v/>
      </c>
      <c r="F2277" t="str">
        <f>""</f>
        <v/>
      </c>
      <c r="H2277" t="str">
        <f t="shared" si="47"/>
        <v>BCBS PAYABLE</v>
      </c>
    </row>
    <row r="2278" spans="5:8" x14ac:dyDescent="0.25">
      <c r="E2278" t="str">
        <f>""</f>
        <v/>
      </c>
      <c r="F2278" t="str">
        <f>""</f>
        <v/>
      </c>
      <c r="H2278" t="str">
        <f t="shared" si="47"/>
        <v>BCBS PAYABLE</v>
      </c>
    </row>
    <row r="2279" spans="5:8" x14ac:dyDescent="0.25">
      <c r="E2279" t="str">
        <f>""</f>
        <v/>
      </c>
      <c r="F2279" t="str">
        <f>""</f>
        <v/>
      </c>
      <c r="H2279" t="str">
        <f t="shared" si="47"/>
        <v>BCBS PAYABLE</v>
      </c>
    </row>
    <row r="2280" spans="5:8" x14ac:dyDescent="0.25">
      <c r="E2280" t="str">
        <f>""</f>
        <v/>
      </c>
      <c r="F2280" t="str">
        <f>""</f>
        <v/>
      </c>
      <c r="H2280" t="str">
        <f t="shared" si="47"/>
        <v>BCBS PAYABLE</v>
      </c>
    </row>
    <row r="2281" spans="5:8" x14ac:dyDescent="0.25">
      <c r="E2281" t="str">
        <f>""</f>
        <v/>
      </c>
      <c r="F2281" t="str">
        <f>""</f>
        <v/>
      </c>
      <c r="H2281" t="str">
        <f t="shared" si="47"/>
        <v>BCBS PAYABLE</v>
      </c>
    </row>
    <row r="2282" spans="5:8" x14ac:dyDescent="0.25">
      <c r="E2282" t="str">
        <f>""</f>
        <v/>
      </c>
      <c r="F2282" t="str">
        <f>""</f>
        <v/>
      </c>
      <c r="H2282" t="str">
        <f t="shared" si="47"/>
        <v>BCBS PAYABLE</v>
      </c>
    </row>
    <row r="2283" spans="5:8" x14ac:dyDescent="0.25">
      <c r="E2283" t="str">
        <f>""</f>
        <v/>
      </c>
      <c r="F2283" t="str">
        <f>""</f>
        <v/>
      </c>
      <c r="H2283" t="str">
        <f t="shared" si="47"/>
        <v>BCBS PAYABLE</v>
      </c>
    </row>
    <row r="2284" spans="5:8" x14ac:dyDescent="0.25">
      <c r="E2284" t="str">
        <f>""</f>
        <v/>
      </c>
      <c r="F2284" t="str">
        <f>""</f>
        <v/>
      </c>
      <c r="H2284" t="str">
        <f t="shared" si="47"/>
        <v>BCBS PAYABLE</v>
      </c>
    </row>
    <row r="2285" spans="5:8" x14ac:dyDescent="0.25">
      <c r="E2285" t="str">
        <f>""</f>
        <v/>
      </c>
      <c r="F2285" t="str">
        <f>""</f>
        <v/>
      </c>
      <c r="H2285" t="str">
        <f t="shared" si="47"/>
        <v>BCBS PAYABLE</v>
      </c>
    </row>
    <row r="2286" spans="5:8" x14ac:dyDescent="0.25">
      <c r="E2286" t="str">
        <f>""</f>
        <v/>
      </c>
      <c r="F2286" t="str">
        <f>""</f>
        <v/>
      </c>
      <c r="H2286" t="str">
        <f t="shared" si="47"/>
        <v>BCBS PAYABLE</v>
      </c>
    </row>
    <row r="2287" spans="5:8" x14ac:dyDescent="0.25">
      <c r="E2287" t="str">
        <f>""</f>
        <v/>
      </c>
      <c r="F2287" t="str">
        <f>""</f>
        <v/>
      </c>
      <c r="H2287" t="str">
        <f t="shared" si="47"/>
        <v>BCBS PAYABLE</v>
      </c>
    </row>
    <row r="2288" spans="5:8" x14ac:dyDescent="0.25">
      <c r="E2288" t="str">
        <f>""</f>
        <v/>
      </c>
      <c r="F2288" t="str">
        <f>""</f>
        <v/>
      </c>
      <c r="H2288" t="str">
        <f t="shared" si="47"/>
        <v>BCBS PAYABLE</v>
      </c>
    </row>
    <row r="2289" spans="5:8" x14ac:dyDescent="0.25">
      <c r="E2289" t="str">
        <f>""</f>
        <v/>
      </c>
      <c r="F2289" t="str">
        <f>""</f>
        <v/>
      </c>
      <c r="H2289" t="str">
        <f t="shared" si="47"/>
        <v>BCBS PAYABLE</v>
      </c>
    </row>
    <row r="2290" spans="5:8" x14ac:dyDescent="0.25">
      <c r="E2290" t="str">
        <f>""</f>
        <v/>
      </c>
      <c r="F2290" t="str">
        <f>""</f>
        <v/>
      </c>
      <c r="H2290" t="str">
        <f t="shared" si="47"/>
        <v>BCBS PAYABLE</v>
      </c>
    </row>
    <row r="2291" spans="5:8" x14ac:dyDescent="0.25">
      <c r="E2291" t="str">
        <f>""</f>
        <v/>
      </c>
      <c r="F2291" t="str">
        <f>""</f>
        <v/>
      </c>
      <c r="H2291" t="str">
        <f t="shared" si="47"/>
        <v>BCBS PAYABLE</v>
      </c>
    </row>
    <row r="2292" spans="5:8" x14ac:dyDescent="0.25">
      <c r="E2292" t="str">
        <f>""</f>
        <v/>
      </c>
      <c r="F2292" t="str">
        <f>""</f>
        <v/>
      </c>
      <c r="H2292" t="str">
        <f t="shared" si="47"/>
        <v>BCBS PAYABLE</v>
      </c>
    </row>
    <row r="2293" spans="5:8" x14ac:dyDescent="0.25">
      <c r="E2293" t="str">
        <f>""</f>
        <v/>
      </c>
      <c r="F2293" t="str">
        <f>""</f>
        <v/>
      </c>
      <c r="H2293" t="str">
        <f t="shared" si="47"/>
        <v>BCBS PAYABLE</v>
      </c>
    </row>
    <row r="2294" spans="5:8" x14ac:dyDescent="0.25">
      <c r="E2294" t="str">
        <f>""</f>
        <v/>
      </c>
      <c r="F2294" t="str">
        <f>""</f>
        <v/>
      </c>
      <c r="H2294" t="str">
        <f t="shared" si="47"/>
        <v>BCBS PAYABLE</v>
      </c>
    </row>
    <row r="2295" spans="5:8" x14ac:dyDescent="0.25">
      <c r="E2295" t="str">
        <f>""</f>
        <v/>
      </c>
      <c r="F2295" t="str">
        <f>""</f>
        <v/>
      </c>
      <c r="H2295" t="str">
        <f t="shared" si="47"/>
        <v>BCBS PAYABLE</v>
      </c>
    </row>
    <row r="2296" spans="5:8" x14ac:dyDescent="0.25">
      <c r="E2296" t="str">
        <f>""</f>
        <v/>
      </c>
      <c r="F2296" t="str">
        <f>""</f>
        <v/>
      </c>
      <c r="H2296" t="str">
        <f t="shared" si="47"/>
        <v>BCBS PAYABLE</v>
      </c>
    </row>
    <row r="2297" spans="5:8" x14ac:dyDescent="0.25">
      <c r="E2297" t="str">
        <f>""</f>
        <v/>
      </c>
      <c r="F2297" t="str">
        <f>""</f>
        <v/>
      </c>
      <c r="H2297" t="str">
        <f t="shared" si="47"/>
        <v>BCBS PAYABLE</v>
      </c>
    </row>
    <row r="2298" spans="5:8" x14ac:dyDescent="0.25">
      <c r="E2298" t="str">
        <f>""</f>
        <v/>
      </c>
      <c r="F2298" t="str">
        <f>""</f>
        <v/>
      </c>
      <c r="H2298" t="str">
        <f t="shared" si="47"/>
        <v>BCBS PAYABLE</v>
      </c>
    </row>
    <row r="2299" spans="5:8" x14ac:dyDescent="0.25">
      <c r="E2299" t="str">
        <f>""</f>
        <v/>
      </c>
      <c r="F2299" t="str">
        <f>""</f>
        <v/>
      </c>
      <c r="H2299" t="str">
        <f t="shared" si="47"/>
        <v>BCBS PAYABLE</v>
      </c>
    </row>
    <row r="2300" spans="5:8" x14ac:dyDescent="0.25">
      <c r="E2300" t="str">
        <f>""</f>
        <v/>
      </c>
      <c r="F2300" t="str">
        <f>""</f>
        <v/>
      </c>
      <c r="H2300" t="str">
        <f t="shared" si="47"/>
        <v>BCBS PAYABLE</v>
      </c>
    </row>
    <row r="2301" spans="5:8" x14ac:dyDescent="0.25">
      <c r="E2301" t="str">
        <f>""</f>
        <v/>
      </c>
      <c r="F2301" t="str">
        <f>""</f>
        <v/>
      </c>
      <c r="H2301" t="str">
        <f t="shared" si="47"/>
        <v>BCBS PAYABLE</v>
      </c>
    </row>
    <row r="2302" spans="5:8" x14ac:dyDescent="0.25">
      <c r="E2302" t="str">
        <f>""</f>
        <v/>
      </c>
      <c r="F2302" t="str">
        <f>""</f>
        <v/>
      </c>
      <c r="H2302" t="str">
        <f t="shared" si="47"/>
        <v>BCBS PAYABLE</v>
      </c>
    </row>
    <row r="2303" spans="5:8" x14ac:dyDescent="0.25">
      <c r="E2303" t="str">
        <f>""</f>
        <v/>
      </c>
      <c r="F2303" t="str">
        <f>""</f>
        <v/>
      </c>
      <c r="H2303" t="str">
        <f t="shared" si="47"/>
        <v>BCBS PAYABLE</v>
      </c>
    </row>
    <row r="2304" spans="5:8" x14ac:dyDescent="0.25">
      <c r="E2304" t="str">
        <f>""</f>
        <v/>
      </c>
      <c r="F2304" t="str">
        <f>""</f>
        <v/>
      </c>
      <c r="H2304" t="str">
        <f t="shared" si="47"/>
        <v>BCBS PAYABLE</v>
      </c>
    </row>
    <row r="2305" spans="5:8" x14ac:dyDescent="0.25">
      <c r="E2305" t="str">
        <f>""</f>
        <v/>
      </c>
      <c r="F2305" t="str">
        <f>""</f>
        <v/>
      </c>
      <c r="H2305" t="str">
        <f t="shared" si="47"/>
        <v>BCBS PAYABLE</v>
      </c>
    </row>
    <row r="2306" spans="5:8" x14ac:dyDescent="0.25">
      <c r="E2306" t="str">
        <f>""</f>
        <v/>
      </c>
      <c r="F2306" t="str">
        <f>""</f>
        <v/>
      </c>
      <c r="H2306" t="str">
        <f t="shared" si="47"/>
        <v>BCBS PAYABLE</v>
      </c>
    </row>
    <row r="2307" spans="5:8" x14ac:dyDescent="0.25">
      <c r="E2307" t="str">
        <f>""</f>
        <v/>
      </c>
      <c r="F2307" t="str">
        <f>""</f>
        <v/>
      </c>
      <c r="H2307" t="str">
        <f t="shared" si="47"/>
        <v>BCBS PAYABLE</v>
      </c>
    </row>
    <row r="2308" spans="5:8" x14ac:dyDescent="0.25">
      <c r="E2308" t="str">
        <f>""</f>
        <v/>
      </c>
      <c r="F2308" t="str">
        <f>""</f>
        <v/>
      </c>
      <c r="H2308" t="str">
        <f t="shared" si="47"/>
        <v>BCBS PAYABLE</v>
      </c>
    </row>
    <row r="2309" spans="5:8" x14ac:dyDescent="0.25">
      <c r="E2309" t="str">
        <f>""</f>
        <v/>
      </c>
      <c r="F2309" t="str">
        <f>""</f>
        <v/>
      </c>
      <c r="H2309" t="str">
        <f t="shared" si="47"/>
        <v>BCBS PAYABLE</v>
      </c>
    </row>
    <row r="2310" spans="5:8" x14ac:dyDescent="0.25">
      <c r="E2310" t="str">
        <f>""</f>
        <v/>
      </c>
      <c r="F2310" t="str">
        <f>""</f>
        <v/>
      </c>
      <c r="H2310" t="str">
        <f t="shared" si="47"/>
        <v>BCBS PAYABLE</v>
      </c>
    </row>
    <row r="2311" spans="5:8" x14ac:dyDescent="0.25">
      <c r="E2311" t="str">
        <f>""</f>
        <v/>
      </c>
      <c r="F2311" t="str">
        <f>""</f>
        <v/>
      </c>
      <c r="H2311" t="str">
        <f t="shared" si="47"/>
        <v>BCBS PAYABLE</v>
      </c>
    </row>
    <row r="2312" spans="5:8" x14ac:dyDescent="0.25">
      <c r="E2312" t="str">
        <f>""</f>
        <v/>
      </c>
      <c r="F2312" t="str">
        <f>""</f>
        <v/>
      </c>
      <c r="H2312" t="str">
        <f t="shared" si="47"/>
        <v>BCBS PAYABLE</v>
      </c>
    </row>
    <row r="2313" spans="5:8" x14ac:dyDescent="0.25">
      <c r="E2313" t="str">
        <f>""</f>
        <v/>
      </c>
      <c r="F2313" t="str">
        <f>""</f>
        <v/>
      </c>
      <c r="H2313" t="str">
        <f t="shared" si="47"/>
        <v>BCBS PAYABLE</v>
      </c>
    </row>
    <row r="2314" spans="5:8" x14ac:dyDescent="0.25">
      <c r="E2314" t="str">
        <f>""</f>
        <v/>
      </c>
      <c r="F2314" t="str">
        <f>""</f>
        <v/>
      </c>
      <c r="H2314" t="str">
        <f t="shared" si="47"/>
        <v>BCBS PAYABLE</v>
      </c>
    </row>
    <row r="2315" spans="5:8" x14ac:dyDescent="0.25">
      <c r="E2315" t="str">
        <f>""</f>
        <v/>
      </c>
      <c r="F2315" t="str">
        <f>""</f>
        <v/>
      </c>
      <c r="H2315" t="str">
        <f t="shared" si="47"/>
        <v>BCBS PAYABLE</v>
      </c>
    </row>
    <row r="2316" spans="5:8" x14ac:dyDescent="0.25">
      <c r="E2316" t="str">
        <f>""</f>
        <v/>
      </c>
      <c r="F2316" t="str">
        <f>""</f>
        <v/>
      </c>
      <c r="H2316" t="str">
        <f t="shared" si="47"/>
        <v>BCBS PAYABLE</v>
      </c>
    </row>
    <row r="2317" spans="5:8" x14ac:dyDescent="0.25">
      <c r="E2317" t="str">
        <f>""</f>
        <v/>
      </c>
      <c r="F2317" t="str">
        <f>""</f>
        <v/>
      </c>
      <c r="H2317" t="str">
        <f t="shared" si="47"/>
        <v>BCBS PAYABLE</v>
      </c>
    </row>
    <row r="2318" spans="5:8" x14ac:dyDescent="0.25">
      <c r="E2318" t="str">
        <f>"2EO201912113948"</f>
        <v>2EO201912113948</v>
      </c>
      <c r="F2318" t="str">
        <f>"BCBS PAYABLE"</f>
        <v>BCBS PAYABLE</v>
      </c>
      <c r="G2318" s="2">
        <v>4314.4399999999996</v>
      </c>
      <c r="H2318" t="str">
        <f t="shared" si="47"/>
        <v>BCBS PAYABLE</v>
      </c>
    </row>
    <row r="2319" spans="5:8" x14ac:dyDescent="0.25">
      <c r="E2319" t="str">
        <f>"2EO201912244290"</f>
        <v>2EO201912244290</v>
      </c>
      <c r="F2319" t="str">
        <f>"BCBS PAYABLE"</f>
        <v>BCBS PAYABLE</v>
      </c>
      <c r="G2319" s="2">
        <v>101223.4</v>
      </c>
      <c r="H2319" t="str">
        <f t="shared" si="47"/>
        <v>BCBS PAYABLE</v>
      </c>
    </row>
    <row r="2320" spans="5:8" x14ac:dyDescent="0.25">
      <c r="E2320" t="str">
        <f>""</f>
        <v/>
      </c>
      <c r="F2320" t="str">
        <f>""</f>
        <v/>
      </c>
      <c r="H2320" t="str">
        <f t="shared" si="47"/>
        <v>BCBS PAYABLE</v>
      </c>
    </row>
    <row r="2321" spans="5:8" x14ac:dyDescent="0.25">
      <c r="E2321" t="str">
        <f>""</f>
        <v/>
      </c>
      <c r="F2321" t="str">
        <f>""</f>
        <v/>
      </c>
      <c r="H2321" t="str">
        <f t="shared" ref="H2321:H2384" si="48">"BCBS PAYABLE"</f>
        <v>BCBS PAYABLE</v>
      </c>
    </row>
    <row r="2322" spans="5:8" x14ac:dyDescent="0.25">
      <c r="E2322" t="str">
        <f>""</f>
        <v/>
      </c>
      <c r="F2322" t="str">
        <f>""</f>
        <v/>
      </c>
      <c r="H2322" t="str">
        <f t="shared" si="48"/>
        <v>BCBS PAYABLE</v>
      </c>
    </row>
    <row r="2323" spans="5:8" x14ac:dyDescent="0.25">
      <c r="E2323" t="str">
        <f>""</f>
        <v/>
      </c>
      <c r="F2323" t="str">
        <f>""</f>
        <v/>
      </c>
      <c r="H2323" t="str">
        <f t="shared" si="48"/>
        <v>BCBS PAYABLE</v>
      </c>
    </row>
    <row r="2324" spans="5:8" x14ac:dyDescent="0.25">
      <c r="E2324" t="str">
        <f>""</f>
        <v/>
      </c>
      <c r="F2324" t="str">
        <f>""</f>
        <v/>
      </c>
      <c r="H2324" t="str">
        <f t="shared" si="48"/>
        <v>BCBS PAYABLE</v>
      </c>
    </row>
    <row r="2325" spans="5:8" x14ac:dyDescent="0.25">
      <c r="E2325" t="str">
        <f>""</f>
        <v/>
      </c>
      <c r="F2325" t="str">
        <f>""</f>
        <v/>
      </c>
      <c r="H2325" t="str">
        <f t="shared" si="48"/>
        <v>BCBS PAYABLE</v>
      </c>
    </row>
    <row r="2326" spans="5:8" x14ac:dyDescent="0.25">
      <c r="E2326" t="str">
        <f>""</f>
        <v/>
      </c>
      <c r="F2326" t="str">
        <f>""</f>
        <v/>
      </c>
      <c r="H2326" t="str">
        <f t="shared" si="48"/>
        <v>BCBS PAYABLE</v>
      </c>
    </row>
    <row r="2327" spans="5:8" x14ac:dyDescent="0.25">
      <c r="E2327" t="str">
        <f>""</f>
        <v/>
      </c>
      <c r="F2327" t="str">
        <f>""</f>
        <v/>
      </c>
      <c r="H2327" t="str">
        <f t="shared" si="48"/>
        <v>BCBS PAYABLE</v>
      </c>
    </row>
    <row r="2328" spans="5:8" x14ac:dyDescent="0.25">
      <c r="E2328" t="str">
        <f>""</f>
        <v/>
      </c>
      <c r="F2328" t="str">
        <f>""</f>
        <v/>
      </c>
      <c r="H2328" t="str">
        <f t="shared" si="48"/>
        <v>BCBS PAYABLE</v>
      </c>
    </row>
    <row r="2329" spans="5:8" x14ac:dyDescent="0.25">
      <c r="E2329" t="str">
        <f>""</f>
        <v/>
      </c>
      <c r="F2329" t="str">
        <f>""</f>
        <v/>
      </c>
      <c r="H2329" t="str">
        <f t="shared" si="48"/>
        <v>BCBS PAYABLE</v>
      </c>
    </row>
    <row r="2330" spans="5:8" x14ac:dyDescent="0.25">
      <c r="E2330" t="str">
        <f>""</f>
        <v/>
      </c>
      <c r="F2330" t="str">
        <f>""</f>
        <v/>
      </c>
      <c r="H2330" t="str">
        <f t="shared" si="48"/>
        <v>BCBS PAYABLE</v>
      </c>
    </row>
    <row r="2331" spans="5:8" x14ac:dyDescent="0.25">
      <c r="E2331" t="str">
        <f>""</f>
        <v/>
      </c>
      <c r="F2331" t="str">
        <f>""</f>
        <v/>
      </c>
      <c r="H2331" t="str">
        <f t="shared" si="48"/>
        <v>BCBS PAYABLE</v>
      </c>
    </row>
    <row r="2332" spans="5:8" x14ac:dyDescent="0.25">
      <c r="E2332" t="str">
        <f>""</f>
        <v/>
      </c>
      <c r="F2332" t="str">
        <f>""</f>
        <v/>
      </c>
      <c r="H2332" t="str">
        <f t="shared" si="48"/>
        <v>BCBS PAYABLE</v>
      </c>
    </row>
    <row r="2333" spans="5:8" x14ac:dyDescent="0.25">
      <c r="E2333" t="str">
        <f>""</f>
        <v/>
      </c>
      <c r="F2333" t="str">
        <f>""</f>
        <v/>
      </c>
      <c r="H2333" t="str">
        <f t="shared" si="48"/>
        <v>BCBS PAYABLE</v>
      </c>
    </row>
    <row r="2334" spans="5:8" x14ac:dyDescent="0.25">
      <c r="E2334" t="str">
        <f>""</f>
        <v/>
      </c>
      <c r="F2334" t="str">
        <f>""</f>
        <v/>
      </c>
      <c r="H2334" t="str">
        <f t="shared" si="48"/>
        <v>BCBS PAYABLE</v>
      </c>
    </row>
    <row r="2335" spans="5:8" x14ac:dyDescent="0.25">
      <c r="E2335" t="str">
        <f>""</f>
        <v/>
      </c>
      <c r="F2335" t="str">
        <f>""</f>
        <v/>
      </c>
      <c r="H2335" t="str">
        <f t="shared" si="48"/>
        <v>BCBS PAYABLE</v>
      </c>
    </row>
    <row r="2336" spans="5:8" x14ac:dyDescent="0.25">
      <c r="E2336" t="str">
        <f>""</f>
        <v/>
      </c>
      <c r="F2336" t="str">
        <f>""</f>
        <v/>
      </c>
      <c r="H2336" t="str">
        <f t="shared" si="48"/>
        <v>BCBS PAYABLE</v>
      </c>
    </row>
    <row r="2337" spans="5:8" x14ac:dyDescent="0.25">
      <c r="E2337" t="str">
        <f>""</f>
        <v/>
      </c>
      <c r="F2337" t="str">
        <f>""</f>
        <v/>
      </c>
      <c r="H2337" t="str">
        <f t="shared" si="48"/>
        <v>BCBS PAYABLE</v>
      </c>
    </row>
    <row r="2338" spans="5:8" x14ac:dyDescent="0.25">
      <c r="E2338" t="str">
        <f>""</f>
        <v/>
      </c>
      <c r="F2338" t="str">
        <f>""</f>
        <v/>
      </c>
      <c r="H2338" t="str">
        <f t="shared" si="48"/>
        <v>BCBS PAYABLE</v>
      </c>
    </row>
    <row r="2339" spans="5:8" x14ac:dyDescent="0.25">
      <c r="E2339" t="str">
        <f>""</f>
        <v/>
      </c>
      <c r="F2339" t="str">
        <f>""</f>
        <v/>
      </c>
      <c r="H2339" t="str">
        <f t="shared" si="48"/>
        <v>BCBS PAYABLE</v>
      </c>
    </row>
    <row r="2340" spans="5:8" x14ac:dyDescent="0.25">
      <c r="E2340" t="str">
        <f>""</f>
        <v/>
      </c>
      <c r="F2340" t="str">
        <f>""</f>
        <v/>
      </c>
      <c r="H2340" t="str">
        <f t="shared" si="48"/>
        <v>BCBS PAYABLE</v>
      </c>
    </row>
    <row r="2341" spans="5:8" x14ac:dyDescent="0.25">
      <c r="E2341" t="str">
        <f>""</f>
        <v/>
      </c>
      <c r="F2341" t="str">
        <f>""</f>
        <v/>
      </c>
      <c r="H2341" t="str">
        <f t="shared" si="48"/>
        <v>BCBS PAYABLE</v>
      </c>
    </row>
    <row r="2342" spans="5:8" x14ac:dyDescent="0.25">
      <c r="E2342" t="str">
        <f>""</f>
        <v/>
      </c>
      <c r="F2342" t="str">
        <f>""</f>
        <v/>
      </c>
      <c r="H2342" t="str">
        <f t="shared" si="48"/>
        <v>BCBS PAYABLE</v>
      </c>
    </row>
    <row r="2343" spans="5:8" x14ac:dyDescent="0.25">
      <c r="E2343" t="str">
        <f>""</f>
        <v/>
      </c>
      <c r="F2343" t="str">
        <f>""</f>
        <v/>
      </c>
      <c r="H2343" t="str">
        <f t="shared" si="48"/>
        <v>BCBS PAYABLE</v>
      </c>
    </row>
    <row r="2344" spans="5:8" x14ac:dyDescent="0.25">
      <c r="E2344" t="str">
        <f>""</f>
        <v/>
      </c>
      <c r="F2344" t="str">
        <f>""</f>
        <v/>
      </c>
      <c r="H2344" t="str">
        <f t="shared" si="48"/>
        <v>BCBS PAYABLE</v>
      </c>
    </row>
    <row r="2345" spans="5:8" x14ac:dyDescent="0.25">
      <c r="E2345" t="str">
        <f>""</f>
        <v/>
      </c>
      <c r="F2345" t="str">
        <f>""</f>
        <v/>
      </c>
      <c r="H2345" t="str">
        <f t="shared" si="48"/>
        <v>BCBS PAYABLE</v>
      </c>
    </row>
    <row r="2346" spans="5:8" x14ac:dyDescent="0.25">
      <c r="E2346" t="str">
        <f>""</f>
        <v/>
      </c>
      <c r="F2346" t="str">
        <f>""</f>
        <v/>
      </c>
      <c r="H2346" t="str">
        <f t="shared" si="48"/>
        <v>BCBS PAYABLE</v>
      </c>
    </row>
    <row r="2347" spans="5:8" x14ac:dyDescent="0.25">
      <c r="E2347" t="str">
        <f>""</f>
        <v/>
      </c>
      <c r="F2347" t="str">
        <f>""</f>
        <v/>
      </c>
      <c r="H2347" t="str">
        <f t="shared" si="48"/>
        <v>BCBS PAYABLE</v>
      </c>
    </row>
    <row r="2348" spans="5:8" x14ac:dyDescent="0.25">
      <c r="E2348" t="str">
        <f>""</f>
        <v/>
      </c>
      <c r="F2348" t="str">
        <f>""</f>
        <v/>
      </c>
      <c r="H2348" t="str">
        <f t="shared" si="48"/>
        <v>BCBS PAYABLE</v>
      </c>
    </row>
    <row r="2349" spans="5:8" x14ac:dyDescent="0.25">
      <c r="E2349" t="str">
        <f>""</f>
        <v/>
      </c>
      <c r="F2349" t="str">
        <f>""</f>
        <v/>
      </c>
      <c r="H2349" t="str">
        <f t="shared" si="48"/>
        <v>BCBS PAYABLE</v>
      </c>
    </row>
    <row r="2350" spans="5:8" x14ac:dyDescent="0.25">
      <c r="E2350" t="str">
        <f>""</f>
        <v/>
      </c>
      <c r="F2350" t="str">
        <f>""</f>
        <v/>
      </c>
      <c r="H2350" t="str">
        <f t="shared" si="48"/>
        <v>BCBS PAYABLE</v>
      </c>
    </row>
    <row r="2351" spans="5:8" x14ac:dyDescent="0.25">
      <c r="E2351" t="str">
        <f>""</f>
        <v/>
      </c>
      <c r="F2351" t="str">
        <f>""</f>
        <v/>
      </c>
      <c r="H2351" t="str">
        <f t="shared" si="48"/>
        <v>BCBS PAYABLE</v>
      </c>
    </row>
    <row r="2352" spans="5:8" x14ac:dyDescent="0.25">
      <c r="E2352" t="str">
        <f>""</f>
        <v/>
      </c>
      <c r="F2352" t="str">
        <f>""</f>
        <v/>
      </c>
      <c r="H2352" t="str">
        <f t="shared" si="48"/>
        <v>BCBS PAYABLE</v>
      </c>
    </row>
    <row r="2353" spans="5:8" x14ac:dyDescent="0.25">
      <c r="E2353" t="str">
        <f>""</f>
        <v/>
      </c>
      <c r="F2353" t="str">
        <f>""</f>
        <v/>
      </c>
      <c r="H2353" t="str">
        <f t="shared" si="48"/>
        <v>BCBS PAYABLE</v>
      </c>
    </row>
    <row r="2354" spans="5:8" x14ac:dyDescent="0.25">
      <c r="E2354" t="str">
        <f>""</f>
        <v/>
      </c>
      <c r="F2354" t="str">
        <f>""</f>
        <v/>
      </c>
      <c r="H2354" t="str">
        <f t="shared" si="48"/>
        <v>BCBS PAYABLE</v>
      </c>
    </row>
    <row r="2355" spans="5:8" x14ac:dyDescent="0.25">
      <c r="E2355" t="str">
        <f>""</f>
        <v/>
      </c>
      <c r="F2355" t="str">
        <f>""</f>
        <v/>
      </c>
      <c r="H2355" t="str">
        <f t="shared" si="48"/>
        <v>BCBS PAYABLE</v>
      </c>
    </row>
    <row r="2356" spans="5:8" x14ac:dyDescent="0.25">
      <c r="E2356" t="str">
        <f>""</f>
        <v/>
      </c>
      <c r="F2356" t="str">
        <f>""</f>
        <v/>
      </c>
      <c r="H2356" t="str">
        <f t="shared" si="48"/>
        <v>BCBS PAYABLE</v>
      </c>
    </row>
    <row r="2357" spans="5:8" x14ac:dyDescent="0.25">
      <c r="E2357" t="str">
        <f>""</f>
        <v/>
      </c>
      <c r="F2357" t="str">
        <f>""</f>
        <v/>
      </c>
      <c r="H2357" t="str">
        <f t="shared" si="48"/>
        <v>BCBS PAYABLE</v>
      </c>
    </row>
    <row r="2358" spans="5:8" x14ac:dyDescent="0.25">
      <c r="E2358" t="str">
        <f>""</f>
        <v/>
      </c>
      <c r="F2358" t="str">
        <f>""</f>
        <v/>
      </c>
      <c r="H2358" t="str">
        <f t="shared" si="48"/>
        <v>BCBS PAYABLE</v>
      </c>
    </row>
    <row r="2359" spans="5:8" x14ac:dyDescent="0.25">
      <c r="E2359" t="str">
        <f>""</f>
        <v/>
      </c>
      <c r="F2359" t="str">
        <f>""</f>
        <v/>
      </c>
      <c r="H2359" t="str">
        <f t="shared" si="48"/>
        <v>BCBS PAYABLE</v>
      </c>
    </row>
    <row r="2360" spans="5:8" x14ac:dyDescent="0.25">
      <c r="E2360" t="str">
        <f>""</f>
        <v/>
      </c>
      <c r="F2360" t="str">
        <f>""</f>
        <v/>
      </c>
      <c r="H2360" t="str">
        <f t="shared" si="48"/>
        <v>BCBS PAYABLE</v>
      </c>
    </row>
    <row r="2361" spans="5:8" x14ac:dyDescent="0.25">
      <c r="E2361" t="str">
        <f>""</f>
        <v/>
      </c>
      <c r="F2361" t="str">
        <f>""</f>
        <v/>
      </c>
      <c r="H2361" t="str">
        <f t="shared" si="48"/>
        <v>BCBS PAYABLE</v>
      </c>
    </row>
    <row r="2362" spans="5:8" x14ac:dyDescent="0.25">
      <c r="E2362" t="str">
        <f>""</f>
        <v/>
      </c>
      <c r="F2362" t="str">
        <f>""</f>
        <v/>
      </c>
      <c r="H2362" t="str">
        <f t="shared" si="48"/>
        <v>BCBS PAYABLE</v>
      </c>
    </row>
    <row r="2363" spans="5:8" x14ac:dyDescent="0.25">
      <c r="E2363" t="str">
        <f>""</f>
        <v/>
      </c>
      <c r="F2363" t="str">
        <f>""</f>
        <v/>
      </c>
      <c r="H2363" t="str">
        <f t="shared" si="48"/>
        <v>BCBS PAYABLE</v>
      </c>
    </row>
    <row r="2364" spans="5:8" x14ac:dyDescent="0.25">
      <c r="E2364" t="str">
        <f>""</f>
        <v/>
      </c>
      <c r="F2364" t="str">
        <f>""</f>
        <v/>
      </c>
      <c r="H2364" t="str">
        <f t="shared" si="48"/>
        <v>BCBS PAYABLE</v>
      </c>
    </row>
    <row r="2365" spans="5:8" x14ac:dyDescent="0.25">
      <c r="E2365" t="str">
        <f>""</f>
        <v/>
      </c>
      <c r="F2365" t="str">
        <f>""</f>
        <v/>
      </c>
      <c r="H2365" t="str">
        <f t="shared" si="48"/>
        <v>BCBS PAYABLE</v>
      </c>
    </row>
    <row r="2366" spans="5:8" x14ac:dyDescent="0.25">
      <c r="E2366" t="str">
        <f>"2EO201912244291"</f>
        <v>2EO201912244291</v>
      </c>
      <c r="F2366" t="str">
        <f>"BCBS PAYABLE"</f>
        <v>BCBS PAYABLE</v>
      </c>
      <c r="G2366" s="2">
        <v>4314.4399999999996</v>
      </c>
      <c r="H2366" t="str">
        <f t="shared" si="48"/>
        <v>BCBS PAYABLE</v>
      </c>
    </row>
    <row r="2367" spans="5:8" x14ac:dyDescent="0.25">
      <c r="E2367" t="str">
        <f>"2ES201912113947"</f>
        <v>2ES201912113947</v>
      </c>
      <c r="F2367" t="str">
        <f>"BCBS PAYABLE"</f>
        <v>BCBS PAYABLE</v>
      </c>
      <c r="G2367" s="2">
        <v>15306.2</v>
      </c>
      <c r="H2367" t="str">
        <f t="shared" si="48"/>
        <v>BCBS PAYABLE</v>
      </c>
    </row>
    <row r="2368" spans="5:8" x14ac:dyDescent="0.25">
      <c r="E2368" t="str">
        <f>""</f>
        <v/>
      </c>
      <c r="F2368" t="str">
        <f>""</f>
        <v/>
      </c>
      <c r="H2368" t="str">
        <f t="shared" si="48"/>
        <v>BCBS PAYABLE</v>
      </c>
    </row>
    <row r="2369" spans="5:8" x14ac:dyDescent="0.25">
      <c r="E2369" t="str">
        <f>""</f>
        <v/>
      </c>
      <c r="F2369" t="str">
        <f>""</f>
        <v/>
      </c>
      <c r="H2369" t="str">
        <f t="shared" si="48"/>
        <v>BCBS PAYABLE</v>
      </c>
    </row>
    <row r="2370" spans="5:8" x14ac:dyDescent="0.25">
      <c r="E2370" t="str">
        <f>""</f>
        <v/>
      </c>
      <c r="F2370" t="str">
        <f>""</f>
        <v/>
      </c>
      <c r="H2370" t="str">
        <f t="shared" si="48"/>
        <v>BCBS PAYABLE</v>
      </c>
    </row>
    <row r="2371" spans="5:8" x14ac:dyDescent="0.25">
      <c r="E2371" t="str">
        <f>""</f>
        <v/>
      </c>
      <c r="F2371" t="str">
        <f>""</f>
        <v/>
      </c>
      <c r="H2371" t="str">
        <f t="shared" si="48"/>
        <v>BCBS PAYABLE</v>
      </c>
    </row>
    <row r="2372" spans="5:8" x14ac:dyDescent="0.25">
      <c r="E2372" t="str">
        <f>""</f>
        <v/>
      </c>
      <c r="F2372" t="str">
        <f>""</f>
        <v/>
      </c>
      <c r="H2372" t="str">
        <f t="shared" si="48"/>
        <v>BCBS PAYABLE</v>
      </c>
    </row>
    <row r="2373" spans="5:8" x14ac:dyDescent="0.25">
      <c r="E2373" t="str">
        <f>""</f>
        <v/>
      </c>
      <c r="F2373" t="str">
        <f>""</f>
        <v/>
      </c>
      <c r="H2373" t="str">
        <f t="shared" si="48"/>
        <v>BCBS PAYABLE</v>
      </c>
    </row>
    <row r="2374" spans="5:8" x14ac:dyDescent="0.25">
      <c r="E2374" t="str">
        <f>""</f>
        <v/>
      </c>
      <c r="F2374" t="str">
        <f>""</f>
        <v/>
      </c>
      <c r="H2374" t="str">
        <f t="shared" si="48"/>
        <v>BCBS PAYABLE</v>
      </c>
    </row>
    <row r="2375" spans="5:8" x14ac:dyDescent="0.25">
      <c r="E2375" t="str">
        <f>""</f>
        <v/>
      </c>
      <c r="F2375" t="str">
        <f>""</f>
        <v/>
      </c>
      <c r="H2375" t="str">
        <f t="shared" si="48"/>
        <v>BCBS PAYABLE</v>
      </c>
    </row>
    <row r="2376" spans="5:8" x14ac:dyDescent="0.25">
      <c r="E2376" t="str">
        <f>""</f>
        <v/>
      </c>
      <c r="F2376" t="str">
        <f>""</f>
        <v/>
      </c>
      <c r="H2376" t="str">
        <f t="shared" si="48"/>
        <v>BCBS PAYABLE</v>
      </c>
    </row>
    <row r="2377" spans="5:8" x14ac:dyDescent="0.25">
      <c r="E2377" t="str">
        <f>""</f>
        <v/>
      </c>
      <c r="F2377" t="str">
        <f>""</f>
        <v/>
      </c>
      <c r="H2377" t="str">
        <f t="shared" si="48"/>
        <v>BCBS PAYABLE</v>
      </c>
    </row>
    <row r="2378" spans="5:8" x14ac:dyDescent="0.25">
      <c r="E2378" t="str">
        <f>""</f>
        <v/>
      </c>
      <c r="F2378" t="str">
        <f>""</f>
        <v/>
      </c>
      <c r="H2378" t="str">
        <f t="shared" si="48"/>
        <v>BCBS PAYABLE</v>
      </c>
    </row>
    <row r="2379" spans="5:8" x14ac:dyDescent="0.25">
      <c r="E2379" t="str">
        <f>""</f>
        <v/>
      </c>
      <c r="F2379" t="str">
        <f>""</f>
        <v/>
      </c>
      <c r="H2379" t="str">
        <f t="shared" si="48"/>
        <v>BCBS PAYABLE</v>
      </c>
    </row>
    <row r="2380" spans="5:8" x14ac:dyDescent="0.25">
      <c r="E2380" t="str">
        <f>""</f>
        <v/>
      </c>
      <c r="F2380" t="str">
        <f>""</f>
        <v/>
      </c>
      <c r="H2380" t="str">
        <f t="shared" si="48"/>
        <v>BCBS PAYABLE</v>
      </c>
    </row>
    <row r="2381" spans="5:8" x14ac:dyDescent="0.25">
      <c r="E2381" t="str">
        <f>""</f>
        <v/>
      </c>
      <c r="F2381" t="str">
        <f>""</f>
        <v/>
      </c>
      <c r="H2381" t="str">
        <f t="shared" si="48"/>
        <v>BCBS PAYABLE</v>
      </c>
    </row>
    <row r="2382" spans="5:8" x14ac:dyDescent="0.25">
      <c r="E2382" t="str">
        <f>"2ES201912244290"</f>
        <v>2ES201912244290</v>
      </c>
      <c r="F2382" t="str">
        <f>"BCBS PAYABLE"</f>
        <v>BCBS PAYABLE</v>
      </c>
      <c r="G2382" s="2">
        <v>15306.2</v>
      </c>
      <c r="H2382" t="str">
        <f t="shared" si="48"/>
        <v>BCBS PAYABLE</v>
      </c>
    </row>
    <row r="2383" spans="5:8" x14ac:dyDescent="0.25">
      <c r="E2383" t="str">
        <f>""</f>
        <v/>
      </c>
      <c r="F2383" t="str">
        <f>""</f>
        <v/>
      </c>
      <c r="H2383" t="str">
        <f t="shared" si="48"/>
        <v>BCBS PAYABLE</v>
      </c>
    </row>
    <row r="2384" spans="5:8" x14ac:dyDescent="0.25">
      <c r="E2384" t="str">
        <f>""</f>
        <v/>
      </c>
      <c r="F2384" t="str">
        <f>""</f>
        <v/>
      </c>
      <c r="H2384" t="str">
        <f t="shared" si="48"/>
        <v>BCBS PAYABLE</v>
      </c>
    </row>
    <row r="2385" spans="1:8" x14ac:dyDescent="0.25">
      <c r="E2385" t="str">
        <f>""</f>
        <v/>
      </c>
      <c r="F2385" t="str">
        <f>""</f>
        <v/>
      </c>
      <c r="H2385" t="str">
        <f t="shared" ref="H2385:H2396" si="49">"BCBS PAYABLE"</f>
        <v>BCBS PAYABLE</v>
      </c>
    </row>
    <row r="2386" spans="1:8" x14ac:dyDescent="0.25">
      <c r="E2386" t="str">
        <f>""</f>
        <v/>
      </c>
      <c r="F2386" t="str">
        <f>""</f>
        <v/>
      </c>
      <c r="H2386" t="str">
        <f t="shared" si="49"/>
        <v>BCBS PAYABLE</v>
      </c>
    </row>
    <row r="2387" spans="1:8" x14ac:dyDescent="0.25">
      <c r="E2387" t="str">
        <f>""</f>
        <v/>
      </c>
      <c r="F2387" t="str">
        <f>""</f>
        <v/>
      </c>
      <c r="H2387" t="str">
        <f t="shared" si="49"/>
        <v>BCBS PAYABLE</v>
      </c>
    </row>
    <row r="2388" spans="1:8" x14ac:dyDescent="0.25">
      <c r="E2388" t="str">
        <f>""</f>
        <v/>
      </c>
      <c r="F2388" t="str">
        <f>""</f>
        <v/>
      </c>
      <c r="H2388" t="str">
        <f t="shared" si="49"/>
        <v>BCBS PAYABLE</v>
      </c>
    </row>
    <row r="2389" spans="1:8" x14ac:dyDescent="0.25">
      <c r="E2389" t="str">
        <f>""</f>
        <v/>
      </c>
      <c r="F2389" t="str">
        <f>""</f>
        <v/>
      </c>
      <c r="H2389" t="str">
        <f t="shared" si="49"/>
        <v>BCBS PAYABLE</v>
      </c>
    </row>
    <row r="2390" spans="1:8" x14ac:dyDescent="0.25">
      <c r="E2390" t="str">
        <f>""</f>
        <v/>
      </c>
      <c r="F2390" t="str">
        <f>""</f>
        <v/>
      </c>
      <c r="H2390" t="str">
        <f t="shared" si="49"/>
        <v>BCBS PAYABLE</v>
      </c>
    </row>
    <row r="2391" spans="1:8" x14ac:dyDescent="0.25">
      <c r="E2391" t="str">
        <f>""</f>
        <v/>
      </c>
      <c r="F2391" t="str">
        <f>""</f>
        <v/>
      </c>
      <c r="H2391" t="str">
        <f t="shared" si="49"/>
        <v>BCBS PAYABLE</v>
      </c>
    </row>
    <row r="2392" spans="1:8" x14ac:dyDescent="0.25">
      <c r="E2392" t="str">
        <f>""</f>
        <v/>
      </c>
      <c r="F2392" t="str">
        <f>""</f>
        <v/>
      </c>
      <c r="H2392" t="str">
        <f t="shared" si="49"/>
        <v>BCBS PAYABLE</v>
      </c>
    </row>
    <row r="2393" spans="1:8" x14ac:dyDescent="0.25">
      <c r="E2393" t="str">
        <f>""</f>
        <v/>
      </c>
      <c r="F2393" t="str">
        <f>""</f>
        <v/>
      </c>
      <c r="H2393" t="str">
        <f t="shared" si="49"/>
        <v>BCBS PAYABLE</v>
      </c>
    </row>
    <row r="2394" spans="1:8" x14ac:dyDescent="0.25">
      <c r="E2394" t="str">
        <f>""</f>
        <v/>
      </c>
      <c r="F2394" t="str">
        <f>""</f>
        <v/>
      </c>
      <c r="H2394" t="str">
        <f t="shared" si="49"/>
        <v>BCBS PAYABLE</v>
      </c>
    </row>
    <row r="2395" spans="1:8" x14ac:dyDescent="0.25">
      <c r="E2395" t="str">
        <f>""</f>
        <v/>
      </c>
      <c r="F2395" t="str">
        <f>""</f>
        <v/>
      </c>
      <c r="H2395" t="str">
        <f t="shared" si="49"/>
        <v>BCBS PAYABLE</v>
      </c>
    </row>
    <row r="2396" spans="1:8" x14ac:dyDescent="0.25">
      <c r="E2396" t="str">
        <f>""</f>
        <v/>
      </c>
      <c r="F2396" t="str">
        <f>""</f>
        <v/>
      </c>
      <c r="H2396" t="str">
        <f t="shared" si="49"/>
        <v>BCBS PAYABLE</v>
      </c>
    </row>
    <row r="2397" spans="1:8" x14ac:dyDescent="0.25">
      <c r="A2397" t="s">
        <v>566</v>
      </c>
      <c r="B2397">
        <v>297</v>
      </c>
      <c r="C2397" s="2">
        <v>12100.98</v>
      </c>
      <c r="D2397" s="1">
        <v>43812</v>
      </c>
      <c r="E2397" t="str">
        <f>"FSA201912113947"</f>
        <v>FSA201912113947</v>
      </c>
      <c r="F2397" t="str">
        <f>"TASC FSA"</f>
        <v>TASC FSA</v>
      </c>
      <c r="G2397" s="2">
        <v>7587.38</v>
      </c>
      <c r="H2397" t="str">
        <f>"TASC FSA"</f>
        <v>TASC FSA</v>
      </c>
    </row>
    <row r="2398" spans="1:8" x14ac:dyDescent="0.25">
      <c r="E2398" t="str">
        <f>"FSA201912113948"</f>
        <v>FSA201912113948</v>
      </c>
      <c r="F2398" t="str">
        <f>"TASC FSA"</f>
        <v>TASC FSA</v>
      </c>
      <c r="G2398" s="2">
        <v>445.4</v>
      </c>
      <c r="H2398" t="str">
        <f>"TASC FSA"</f>
        <v>TASC FSA</v>
      </c>
    </row>
    <row r="2399" spans="1:8" x14ac:dyDescent="0.25">
      <c r="E2399" t="str">
        <f>"FSC201912113947"</f>
        <v>FSC201912113947</v>
      </c>
      <c r="F2399" t="str">
        <f>"TASC DEPENDENT CARE"</f>
        <v>TASC DEPENDENT CARE</v>
      </c>
      <c r="G2399" s="2">
        <v>470</v>
      </c>
      <c r="H2399" t="str">
        <f>"TASC DEPENDENT CARE"</f>
        <v>TASC DEPENDENT CARE</v>
      </c>
    </row>
    <row r="2400" spans="1:8" x14ac:dyDescent="0.25">
      <c r="E2400" t="str">
        <f>"FSF201912113947"</f>
        <v>FSF201912113947</v>
      </c>
      <c r="F2400" t="str">
        <f>"TASC - FSA  FEES"</f>
        <v>TASC - FSA  FEES</v>
      </c>
      <c r="G2400" s="2">
        <v>250.2</v>
      </c>
      <c r="H2400" t="str">
        <f t="shared" ref="H2400:H2439" si="50">"TASC - FSA  FEES"</f>
        <v>TASC - FSA  FEES</v>
      </c>
    </row>
    <row r="2401" spans="5:8" x14ac:dyDescent="0.25">
      <c r="E2401" t="str">
        <f>""</f>
        <v/>
      </c>
      <c r="F2401" t="str">
        <f>""</f>
        <v/>
      </c>
      <c r="H2401" t="str">
        <f t="shared" si="50"/>
        <v>TASC - FSA  FEES</v>
      </c>
    </row>
    <row r="2402" spans="5:8" x14ac:dyDescent="0.25">
      <c r="E2402" t="str">
        <f>""</f>
        <v/>
      </c>
      <c r="F2402" t="str">
        <f>""</f>
        <v/>
      </c>
      <c r="H2402" t="str">
        <f t="shared" si="50"/>
        <v>TASC - FSA  FEES</v>
      </c>
    </row>
    <row r="2403" spans="5:8" x14ac:dyDescent="0.25">
      <c r="E2403" t="str">
        <f>""</f>
        <v/>
      </c>
      <c r="F2403" t="str">
        <f>""</f>
        <v/>
      </c>
      <c r="H2403" t="str">
        <f t="shared" si="50"/>
        <v>TASC - FSA  FEES</v>
      </c>
    </row>
    <row r="2404" spans="5:8" x14ac:dyDescent="0.25">
      <c r="E2404" t="str">
        <f>""</f>
        <v/>
      </c>
      <c r="F2404" t="str">
        <f>""</f>
        <v/>
      </c>
      <c r="H2404" t="str">
        <f t="shared" si="50"/>
        <v>TASC - FSA  FEES</v>
      </c>
    </row>
    <row r="2405" spans="5:8" x14ac:dyDescent="0.25">
      <c r="E2405" t="str">
        <f>""</f>
        <v/>
      </c>
      <c r="F2405" t="str">
        <f>""</f>
        <v/>
      </c>
      <c r="H2405" t="str">
        <f t="shared" si="50"/>
        <v>TASC - FSA  FEES</v>
      </c>
    </row>
    <row r="2406" spans="5:8" x14ac:dyDescent="0.25">
      <c r="E2406" t="str">
        <f>""</f>
        <v/>
      </c>
      <c r="F2406" t="str">
        <f>""</f>
        <v/>
      </c>
      <c r="H2406" t="str">
        <f t="shared" si="50"/>
        <v>TASC - FSA  FEES</v>
      </c>
    </row>
    <row r="2407" spans="5:8" x14ac:dyDescent="0.25">
      <c r="E2407" t="str">
        <f>""</f>
        <v/>
      </c>
      <c r="F2407" t="str">
        <f>""</f>
        <v/>
      </c>
      <c r="H2407" t="str">
        <f t="shared" si="50"/>
        <v>TASC - FSA  FEES</v>
      </c>
    </row>
    <row r="2408" spans="5:8" x14ac:dyDescent="0.25">
      <c r="E2408" t="str">
        <f>""</f>
        <v/>
      </c>
      <c r="F2408" t="str">
        <f>""</f>
        <v/>
      </c>
      <c r="H2408" t="str">
        <f t="shared" si="50"/>
        <v>TASC - FSA  FEES</v>
      </c>
    </row>
    <row r="2409" spans="5:8" x14ac:dyDescent="0.25">
      <c r="E2409" t="str">
        <f>""</f>
        <v/>
      </c>
      <c r="F2409" t="str">
        <f>""</f>
        <v/>
      </c>
      <c r="H2409" t="str">
        <f t="shared" si="50"/>
        <v>TASC - FSA  FEES</v>
      </c>
    </row>
    <row r="2410" spans="5:8" x14ac:dyDescent="0.25">
      <c r="E2410" t="str">
        <f>""</f>
        <v/>
      </c>
      <c r="F2410" t="str">
        <f>""</f>
        <v/>
      </c>
      <c r="H2410" t="str">
        <f t="shared" si="50"/>
        <v>TASC - FSA  FEES</v>
      </c>
    </row>
    <row r="2411" spans="5:8" x14ac:dyDescent="0.25">
      <c r="E2411" t="str">
        <f>""</f>
        <v/>
      </c>
      <c r="F2411" t="str">
        <f>""</f>
        <v/>
      </c>
      <c r="H2411" t="str">
        <f t="shared" si="50"/>
        <v>TASC - FSA  FEES</v>
      </c>
    </row>
    <row r="2412" spans="5:8" x14ac:dyDescent="0.25">
      <c r="E2412" t="str">
        <f>""</f>
        <v/>
      </c>
      <c r="F2412" t="str">
        <f>""</f>
        <v/>
      </c>
      <c r="H2412" t="str">
        <f t="shared" si="50"/>
        <v>TASC - FSA  FEES</v>
      </c>
    </row>
    <row r="2413" spans="5:8" x14ac:dyDescent="0.25">
      <c r="E2413" t="str">
        <f>""</f>
        <v/>
      </c>
      <c r="F2413" t="str">
        <f>""</f>
        <v/>
      </c>
      <c r="H2413" t="str">
        <f t="shared" si="50"/>
        <v>TASC - FSA  FEES</v>
      </c>
    </row>
    <row r="2414" spans="5:8" x14ac:dyDescent="0.25">
      <c r="E2414" t="str">
        <f>""</f>
        <v/>
      </c>
      <c r="F2414" t="str">
        <f>""</f>
        <v/>
      </c>
      <c r="H2414" t="str">
        <f t="shared" si="50"/>
        <v>TASC - FSA  FEES</v>
      </c>
    </row>
    <row r="2415" spans="5:8" x14ac:dyDescent="0.25">
      <c r="E2415" t="str">
        <f>""</f>
        <v/>
      </c>
      <c r="F2415" t="str">
        <f>""</f>
        <v/>
      </c>
      <c r="H2415" t="str">
        <f t="shared" si="50"/>
        <v>TASC - FSA  FEES</v>
      </c>
    </row>
    <row r="2416" spans="5:8" x14ac:dyDescent="0.25">
      <c r="E2416" t="str">
        <f>""</f>
        <v/>
      </c>
      <c r="F2416" t="str">
        <f>""</f>
        <v/>
      </c>
      <c r="H2416" t="str">
        <f t="shared" si="50"/>
        <v>TASC - FSA  FEES</v>
      </c>
    </row>
    <row r="2417" spans="5:8" x14ac:dyDescent="0.25">
      <c r="E2417" t="str">
        <f>""</f>
        <v/>
      </c>
      <c r="F2417" t="str">
        <f>""</f>
        <v/>
      </c>
      <c r="H2417" t="str">
        <f t="shared" si="50"/>
        <v>TASC - FSA  FEES</v>
      </c>
    </row>
    <row r="2418" spans="5:8" x14ac:dyDescent="0.25">
      <c r="E2418" t="str">
        <f>""</f>
        <v/>
      </c>
      <c r="F2418" t="str">
        <f>""</f>
        <v/>
      </c>
      <c r="H2418" t="str">
        <f t="shared" si="50"/>
        <v>TASC - FSA  FEES</v>
      </c>
    </row>
    <row r="2419" spans="5:8" x14ac:dyDescent="0.25">
      <c r="E2419" t="str">
        <f>""</f>
        <v/>
      </c>
      <c r="F2419" t="str">
        <f>""</f>
        <v/>
      </c>
      <c r="H2419" t="str">
        <f t="shared" si="50"/>
        <v>TASC - FSA  FEES</v>
      </c>
    </row>
    <row r="2420" spans="5:8" x14ac:dyDescent="0.25">
      <c r="E2420" t="str">
        <f>""</f>
        <v/>
      </c>
      <c r="F2420" t="str">
        <f>""</f>
        <v/>
      </c>
      <c r="H2420" t="str">
        <f t="shared" si="50"/>
        <v>TASC - FSA  FEES</v>
      </c>
    </row>
    <row r="2421" spans="5:8" x14ac:dyDescent="0.25">
      <c r="E2421" t="str">
        <f>""</f>
        <v/>
      </c>
      <c r="F2421" t="str">
        <f>""</f>
        <v/>
      </c>
      <c r="H2421" t="str">
        <f t="shared" si="50"/>
        <v>TASC - FSA  FEES</v>
      </c>
    </row>
    <row r="2422" spans="5:8" x14ac:dyDescent="0.25">
      <c r="E2422" t="str">
        <f>""</f>
        <v/>
      </c>
      <c r="F2422" t="str">
        <f>""</f>
        <v/>
      </c>
      <c r="H2422" t="str">
        <f t="shared" si="50"/>
        <v>TASC - FSA  FEES</v>
      </c>
    </row>
    <row r="2423" spans="5:8" x14ac:dyDescent="0.25">
      <c r="E2423" t="str">
        <f>""</f>
        <v/>
      </c>
      <c r="F2423" t="str">
        <f>""</f>
        <v/>
      </c>
      <c r="H2423" t="str">
        <f t="shared" si="50"/>
        <v>TASC - FSA  FEES</v>
      </c>
    </row>
    <row r="2424" spans="5:8" x14ac:dyDescent="0.25">
      <c r="E2424" t="str">
        <f>""</f>
        <v/>
      </c>
      <c r="F2424" t="str">
        <f>""</f>
        <v/>
      </c>
      <c r="H2424" t="str">
        <f t="shared" si="50"/>
        <v>TASC - FSA  FEES</v>
      </c>
    </row>
    <row r="2425" spans="5:8" x14ac:dyDescent="0.25">
      <c r="E2425" t="str">
        <f>""</f>
        <v/>
      </c>
      <c r="F2425" t="str">
        <f>""</f>
        <v/>
      </c>
      <c r="H2425" t="str">
        <f t="shared" si="50"/>
        <v>TASC - FSA  FEES</v>
      </c>
    </row>
    <row r="2426" spans="5:8" x14ac:dyDescent="0.25">
      <c r="E2426" t="str">
        <f>""</f>
        <v/>
      </c>
      <c r="F2426" t="str">
        <f>""</f>
        <v/>
      </c>
      <c r="H2426" t="str">
        <f t="shared" si="50"/>
        <v>TASC - FSA  FEES</v>
      </c>
    </row>
    <row r="2427" spans="5:8" x14ac:dyDescent="0.25">
      <c r="E2427" t="str">
        <f>""</f>
        <v/>
      </c>
      <c r="F2427" t="str">
        <f>""</f>
        <v/>
      </c>
      <c r="H2427" t="str">
        <f t="shared" si="50"/>
        <v>TASC - FSA  FEES</v>
      </c>
    </row>
    <row r="2428" spans="5:8" x14ac:dyDescent="0.25">
      <c r="E2428" t="str">
        <f>""</f>
        <v/>
      </c>
      <c r="F2428" t="str">
        <f>""</f>
        <v/>
      </c>
      <c r="H2428" t="str">
        <f t="shared" si="50"/>
        <v>TASC - FSA  FEES</v>
      </c>
    </row>
    <row r="2429" spans="5:8" x14ac:dyDescent="0.25">
      <c r="E2429" t="str">
        <f>""</f>
        <v/>
      </c>
      <c r="F2429" t="str">
        <f>""</f>
        <v/>
      </c>
      <c r="H2429" t="str">
        <f t="shared" si="50"/>
        <v>TASC - FSA  FEES</v>
      </c>
    </row>
    <row r="2430" spans="5:8" x14ac:dyDescent="0.25">
      <c r="E2430" t="str">
        <f>""</f>
        <v/>
      </c>
      <c r="F2430" t="str">
        <f>""</f>
        <v/>
      </c>
      <c r="H2430" t="str">
        <f t="shared" si="50"/>
        <v>TASC - FSA  FEES</v>
      </c>
    </row>
    <row r="2431" spans="5:8" x14ac:dyDescent="0.25">
      <c r="E2431" t="str">
        <f>""</f>
        <v/>
      </c>
      <c r="F2431" t="str">
        <f>""</f>
        <v/>
      </c>
      <c r="H2431" t="str">
        <f t="shared" si="50"/>
        <v>TASC - FSA  FEES</v>
      </c>
    </row>
    <row r="2432" spans="5:8" x14ac:dyDescent="0.25">
      <c r="E2432" t="str">
        <f>""</f>
        <v/>
      </c>
      <c r="F2432" t="str">
        <f>""</f>
        <v/>
      </c>
      <c r="H2432" t="str">
        <f t="shared" si="50"/>
        <v>TASC - FSA  FEES</v>
      </c>
    </row>
    <row r="2433" spans="5:8" x14ac:dyDescent="0.25">
      <c r="E2433" t="str">
        <f>""</f>
        <v/>
      </c>
      <c r="F2433" t="str">
        <f>""</f>
        <v/>
      </c>
      <c r="H2433" t="str">
        <f t="shared" si="50"/>
        <v>TASC - FSA  FEES</v>
      </c>
    </row>
    <row r="2434" spans="5:8" x14ac:dyDescent="0.25">
      <c r="E2434" t="str">
        <f>""</f>
        <v/>
      </c>
      <c r="F2434" t="str">
        <f>""</f>
        <v/>
      </c>
      <c r="H2434" t="str">
        <f t="shared" si="50"/>
        <v>TASC - FSA  FEES</v>
      </c>
    </row>
    <row r="2435" spans="5:8" x14ac:dyDescent="0.25">
      <c r="E2435" t="str">
        <f>""</f>
        <v/>
      </c>
      <c r="F2435" t="str">
        <f>""</f>
        <v/>
      </c>
      <c r="H2435" t="str">
        <f t="shared" si="50"/>
        <v>TASC - FSA  FEES</v>
      </c>
    </row>
    <row r="2436" spans="5:8" x14ac:dyDescent="0.25">
      <c r="E2436" t="str">
        <f>""</f>
        <v/>
      </c>
      <c r="F2436" t="str">
        <f>""</f>
        <v/>
      </c>
      <c r="H2436" t="str">
        <f t="shared" si="50"/>
        <v>TASC - FSA  FEES</v>
      </c>
    </row>
    <row r="2437" spans="5:8" x14ac:dyDescent="0.25">
      <c r="E2437" t="str">
        <f>""</f>
        <v/>
      </c>
      <c r="F2437" t="str">
        <f>""</f>
        <v/>
      </c>
      <c r="H2437" t="str">
        <f t="shared" si="50"/>
        <v>TASC - FSA  FEES</v>
      </c>
    </row>
    <row r="2438" spans="5:8" x14ac:dyDescent="0.25">
      <c r="E2438" t="str">
        <f>""</f>
        <v/>
      </c>
      <c r="F2438" t="str">
        <f>""</f>
        <v/>
      </c>
      <c r="H2438" t="str">
        <f t="shared" si="50"/>
        <v>TASC - FSA  FEES</v>
      </c>
    </row>
    <row r="2439" spans="5:8" x14ac:dyDescent="0.25">
      <c r="E2439" t="str">
        <f>"FSF201912113948"</f>
        <v>FSF201912113948</v>
      </c>
      <c r="F2439" t="str">
        <f>"TASC - FSA  FEES"</f>
        <v>TASC - FSA  FEES</v>
      </c>
      <c r="G2439" s="2">
        <v>12.6</v>
      </c>
      <c r="H2439" t="str">
        <f t="shared" si="50"/>
        <v>TASC - FSA  FEES</v>
      </c>
    </row>
    <row r="2440" spans="5:8" x14ac:dyDescent="0.25">
      <c r="E2440" t="str">
        <f>"HRA201912113947"</f>
        <v>HRA201912113947</v>
      </c>
      <c r="F2440" t="str">
        <f>"TASC HRA"</f>
        <v>TASC HRA</v>
      </c>
      <c r="G2440" s="2">
        <v>2500.1999999999998</v>
      </c>
      <c r="H2440" t="str">
        <f>"TASC HRA"</f>
        <v>TASC HRA</v>
      </c>
    </row>
    <row r="2441" spans="5:8" x14ac:dyDescent="0.25">
      <c r="E2441" t="str">
        <f>""</f>
        <v/>
      </c>
      <c r="F2441" t="str">
        <f>""</f>
        <v/>
      </c>
      <c r="H2441" t="str">
        <f>"TASC HRA"</f>
        <v>TASC HRA</v>
      </c>
    </row>
    <row r="2442" spans="5:8" x14ac:dyDescent="0.25">
      <c r="E2442" t="str">
        <f>""</f>
        <v/>
      </c>
      <c r="F2442" t="str">
        <f>""</f>
        <v/>
      </c>
      <c r="H2442" t="str">
        <f>"TASC HRA"</f>
        <v>TASC HRA</v>
      </c>
    </row>
    <row r="2443" spans="5:8" x14ac:dyDescent="0.25">
      <c r="E2443" t="str">
        <f>""</f>
        <v/>
      </c>
      <c r="F2443" t="str">
        <f>""</f>
        <v/>
      </c>
      <c r="H2443" t="str">
        <f>"TASC HRA"</f>
        <v>TASC HRA</v>
      </c>
    </row>
    <row r="2444" spans="5:8" x14ac:dyDescent="0.25">
      <c r="E2444" t="str">
        <f>"HRF201912113947"</f>
        <v>HRF201912113947</v>
      </c>
      <c r="F2444" t="str">
        <f>"TASC - HRA FEES"</f>
        <v>TASC - HRA FEES</v>
      </c>
      <c r="G2444" s="2">
        <v>804.6</v>
      </c>
      <c r="H2444" t="str">
        <f t="shared" ref="H2444:H2475" si="51">"TASC - HRA FEES"</f>
        <v>TASC - HRA FEES</v>
      </c>
    </row>
    <row r="2445" spans="5:8" x14ac:dyDescent="0.25">
      <c r="E2445" t="str">
        <f>""</f>
        <v/>
      </c>
      <c r="F2445" t="str">
        <f>""</f>
        <v/>
      </c>
      <c r="H2445" t="str">
        <f t="shared" si="51"/>
        <v>TASC - HRA FEES</v>
      </c>
    </row>
    <row r="2446" spans="5:8" x14ac:dyDescent="0.25">
      <c r="E2446" t="str">
        <f>""</f>
        <v/>
      </c>
      <c r="F2446" t="str">
        <f>""</f>
        <v/>
      </c>
      <c r="H2446" t="str">
        <f t="shared" si="51"/>
        <v>TASC - HRA FEES</v>
      </c>
    </row>
    <row r="2447" spans="5:8" x14ac:dyDescent="0.25">
      <c r="E2447" t="str">
        <f>""</f>
        <v/>
      </c>
      <c r="F2447" t="str">
        <f>""</f>
        <v/>
      </c>
      <c r="H2447" t="str">
        <f t="shared" si="51"/>
        <v>TASC - HRA FEES</v>
      </c>
    </row>
    <row r="2448" spans="5:8" x14ac:dyDescent="0.25">
      <c r="E2448" t="str">
        <f>""</f>
        <v/>
      </c>
      <c r="F2448" t="str">
        <f>""</f>
        <v/>
      </c>
      <c r="H2448" t="str">
        <f t="shared" si="51"/>
        <v>TASC - HRA FEES</v>
      </c>
    </row>
    <row r="2449" spans="5:8" x14ac:dyDescent="0.25">
      <c r="E2449" t="str">
        <f>""</f>
        <v/>
      </c>
      <c r="F2449" t="str">
        <f>""</f>
        <v/>
      </c>
      <c r="H2449" t="str">
        <f t="shared" si="51"/>
        <v>TASC - HRA FEES</v>
      </c>
    </row>
    <row r="2450" spans="5:8" x14ac:dyDescent="0.25">
      <c r="E2450" t="str">
        <f>""</f>
        <v/>
      </c>
      <c r="F2450" t="str">
        <f>""</f>
        <v/>
      </c>
      <c r="H2450" t="str">
        <f t="shared" si="51"/>
        <v>TASC - HRA FEES</v>
      </c>
    </row>
    <row r="2451" spans="5:8" x14ac:dyDescent="0.25">
      <c r="E2451" t="str">
        <f>""</f>
        <v/>
      </c>
      <c r="F2451" t="str">
        <f>""</f>
        <v/>
      </c>
      <c r="H2451" t="str">
        <f t="shared" si="51"/>
        <v>TASC - HRA FEES</v>
      </c>
    </row>
    <row r="2452" spans="5:8" x14ac:dyDescent="0.25">
      <c r="E2452" t="str">
        <f>""</f>
        <v/>
      </c>
      <c r="F2452" t="str">
        <f>""</f>
        <v/>
      </c>
      <c r="H2452" t="str">
        <f t="shared" si="51"/>
        <v>TASC - HRA FEES</v>
      </c>
    </row>
    <row r="2453" spans="5:8" x14ac:dyDescent="0.25">
      <c r="E2453" t="str">
        <f>""</f>
        <v/>
      </c>
      <c r="F2453" t="str">
        <f>""</f>
        <v/>
      </c>
      <c r="H2453" t="str">
        <f t="shared" si="51"/>
        <v>TASC - HRA FEES</v>
      </c>
    </row>
    <row r="2454" spans="5:8" x14ac:dyDescent="0.25">
      <c r="E2454" t="str">
        <f>""</f>
        <v/>
      </c>
      <c r="F2454" t="str">
        <f>""</f>
        <v/>
      </c>
      <c r="H2454" t="str">
        <f t="shared" si="51"/>
        <v>TASC - HRA FEES</v>
      </c>
    </row>
    <row r="2455" spans="5:8" x14ac:dyDescent="0.25">
      <c r="E2455" t="str">
        <f>""</f>
        <v/>
      </c>
      <c r="F2455" t="str">
        <f>""</f>
        <v/>
      </c>
      <c r="H2455" t="str">
        <f t="shared" si="51"/>
        <v>TASC - HRA FEES</v>
      </c>
    </row>
    <row r="2456" spans="5:8" x14ac:dyDescent="0.25">
      <c r="E2456" t="str">
        <f>""</f>
        <v/>
      </c>
      <c r="F2456" t="str">
        <f>""</f>
        <v/>
      </c>
      <c r="H2456" t="str">
        <f t="shared" si="51"/>
        <v>TASC - HRA FEES</v>
      </c>
    </row>
    <row r="2457" spans="5:8" x14ac:dyDescent="0.25">
      <c r="E2457" t="str">
        <f>""</f>
        <v/>
      </c>
      <c r="F2457" t="str">
        <f>""</f>
        <v/>
      </c>
      <c r="H2457" t="str">
        <f t="shared" si="51"/>
        <v>TASC - HRA FEES</v>
      </c>
    </row>
    <row r="2458" spans="5:8" x14ac:dyDescent="0.25">
      <c r="E2458" t="str">
        <f>""</f>
        <v/>
      </c>
      <c r="F2458" t="str">
        <f>""</f>
        <v/>
      </c>
      <c r="H2458" t="str">
        <f t="shared" si="51"/>
        <v>TASC - HRA FEES</v>
      </c>
    </row>
    <row r="2459" spans="5:8" x14ac:dyDescent="0.25">
      <c r="E2459" t="str">
        <f>""</f>
        <v/>
      </c>
      <c r="F2459" t="str">
        <f>""</f>
        <v/>
      </c>
      <c r="H2459" t="str">
        <f t="shared" si="51"/>
        <v>TASC - HRA FEES</v>
      </c>
    </row>
    <row r="2460" spans="5:8" x14ac:dyDescent="0.25">
      <c r="E2460" t="str">
        <f>""</f>
        <v/>
      </c>
      <c r="F2460" t="str">
        <f>""</f>
        <v/>
      </c>
      <c r="H2460" t="str">
        <f t="shared" si="51"/>
        <v>TASC - HRA FEES</v>
      </c>
    </row>
    <row r="2461" spans="5:8" x14ac:dyDescent="0.25">
      <c r="E2461" t="str">
        <f>""</f>
        <v/>
      </c>
      <c r="F2461" t="str">
        <f>""</f>
        <v/>
      </c>
      <c r="H2461" t="str">
        <f t="shared" si="51"/>
        <v>TASC - HRA FEES</v>
      </c>
    </row>
    <row r="2462" spans="5:8" x14ac:dyDescent="0.25">
      <c r="E2462" t="str">
        <f>""</f>
        <v/>
      </c>
      <c r="F2462" t="str">
        <f>""</f>
        <v/>
      </c>
      <c r="H2462" t="str">
        <f t="shared" si="51"/>
        <v>TASC - HRA FEES</v>
      </c>
    </row>
    <row r="2463" spans="5:8" x14ac:dyDescent="0.25">
      <c r="E2463" t="str">
        <f>""</f>
        <v/>
      </c>
      <c r="F2463" t="str">
        <f>""</f>
        <v/>
      </c>
      <c r="H2463" t="str">
        <f t="shared" si="51"/>
        <v>TASC - HRA FEES</v>
      </c>
    </row>
    <row r="2464" spans="5:8" x14ac:dyDescent="0.25">
      <c r="E2464" t="str">
        <f>""</f>
        <v/>
      </c>
      <c r="F2464" t="str">
        <f>""</f>
        <v/>
      </c>
      <c r="H2464" t="str">
        <f t="shared" si="51"/>
        <v>TASC - HRA FEES</v>
      </c>
    </row>
    <row r="2465" spans="5:8" x14ac:dyDescent="0.25">
      <c r="E2465" t="str">
        <f>""</f>
        <v/>
      </c>
      <c r="F2465" t="str">
        <f>""</f>
        <v/>
      </c>
      <c r="H2465" t="str">
        <f t="shared" si="51"/>
        <v>TASC - HRA FEES</v>
      </c>
    </row>
    <row r="2466" spans="5:8" x14ac:dyDescent="0.25">
      <c r="E2466" t="str">
        <f>""</f>
        <v/>
      </c>
      <c r="F2466" t="str">
        <f>""</f>
        <v/>
      </c>
      <c r="H2466" t="str">
        <f t="shared" si="51"/>
        <v>TASC - HRA FEES</v>
      </c>
    </row>
    <row r="2467" spans="5:8" x14ac:dyDescent="0.25">
      <c r="E2467" t="str">
        <f>""</f>
        <v/>
      </c>
      <c r="F2467" t="str">
        <f>""</f>
        <v/>
      </c>
      <c r="H2467" t="str">
        <f t="shared" si="51"/>
        <v>TASC - HRA FEES</v>
      </c>
    </row>
    <row r="2468" spans="5:8" x14ac:dyDescent="0.25">
      <c r="E2468" t="str">
        <f>""</f>
        <v/>
      </c>
      <c r="F2468" t="str">
        <f>""</f>
        <v/>
      </c>
      <c r="H2468" t="str">
        <f t="shared" si="51"/>
        <v>TASC - HRA FEES</v>
      </c>
    </row>
    <row r="2469" spans="5:8" x14ac:dyDescent="0.25">
      <c r="E2469" t="str">
        <f>""</f>
        <v/>
      </c>
      <c r="F2469" t="str">
        <f>""</f>
        <v/>
      </c>
      <c r="H2469" t="str">
        <f t="shared" si="51"/>
        <v>TASC - HRA FEES</v>
      </c>
    </row>
    <row r="2470" spans="5:8" x14ac:dyDescent="0.25">
      <c r="E2470" t="str">
        <f>""</f>
        <v/>
      </c>
      <c r="F2470" t="str">
        <f>""</f>
        <v/>
      </c>
      <c r="H2470" t="str">
        <f t="shared" si="51"/>
        <v>TASC - HRA FEES</v>
      </c>
    </row>
    <row r="2471" spans="5:8" x14ac:dyDescent="0.25">
      <c r="E2471" t="str">
        <f>""</f>
        <v/>
      </c>
      <c r="F2471" t="str">
        <f>""</f>
        <v/>
      </c>
      <c r="H2471" t="str">
        <f t="shared" si="51"/>
        <v>TASC - HRA FEES</v>
      </c>
    </row>
    <row r="2472" spans="5:8" x14ac:dyDescent="0.25">
      <c r="E2472" t="str">
        <f>""</f>
        <v/>
      </c>
      <c r="F2472" t="str">
        <f>""</f>
        <v/>
      </c>
      <c r="H2472" t="str">
        <f t="shared" si="51"/>
        <v>TASC - HRA FEES</v>
      </c>
    </row>
    <row r="2473" spans="5:8" x14ac:dyDescent="0.25">
      <c r="E2473" t="str">
        <f>""</f>
        <v/>
      </c>
      <c r="F2473" t="str">
        <f>""</f>
        <v/>
      </c>
      <c r="H2473" t="str">
        <f t="shared" si="51"/>
        <v>TASC - HRA FEES</v>
      </c>
    </row>
    <row r="2474" spans="5:8" x14ac:dyDescent="0.25">
      <c r="E2474" t="str">
        <f>""</f>
        <v/>
      </c>
      <c r="F2474" t="str">
        <f>""</f>
        <v/>
      </c>
      <c r="H2474" t="str">
        <f t="shared" si="51"/>
        <v>TASC - HRA FEES</v>
      </c>
    </row>
    <row r="2475" spans="5:8" x14ac:dyDescent="0.25">
      <c r="E2475" t="str">
        <f>""</f>
        <v/>
      </c>
      <c r="F2475" t="str">
        <f>""</f>
        <v/>
      </c>
      <c r="H2475" t="str">
        <f t="shared" si="51"/>
        <v>TASC - HRA FEES</v>
      </c>
    </row>
    <row r="2476" spans="5:8" x14ac:dyDescent="0.25">
      <c r="E2476" t="str">
        <f>""</f>
        <v/>
      </c>
      <c r="F2476" t="str">
        <f>""</f>
        <v/>
      </c>
      <c r="H2476" t="str">
        <f t="shared" ref="H2476:H2495" si="52">"TASC - HRA FEES"</f>
        <v>TASC - HRA FEES</v>
      </c>
    </row>
    <row r="2477" spans="5:8" x14ac:dyDescent="0.25">
      <c r="E2477" t="str">
        <f>""</f>
        <v/>
      </c>
      <c r="F2477" t="str">
        <f>""</f>
        <v/>
      </c>
      <c r="H2477" t="str">
        <f t="shared" si="52"/>
        <v>TASC - HRA FEES</v>
      </c>
    </row>
    <row r="2478" spans="5:8" x14ac:dyDescent="0.25">
      <c r="E2478" t="str">
        <f>""</f>
        <v/>
      </c>
      <c r="F2478" t="str">
        <f>""</f>
        <v/>
      </c>
      <c r="H2478" t="str">
        <f t="shared" si="52"/>
        <v>TASC - HRA FEES</v>
      </c>
    </row>
    <row r="2479" spans="5:8" x14ac:dyDescent="0.25">
      <c r="E2479" t="str">
        <f>""</f>
        <v/>
      </c>
      <c r="F2479" t="str">
        <f>""</f>
        <v/>
      </c>
      <c r="H2479" t="str">
        <f t="shared" si="52"/>
        <v>TASC - HRA FEES</v>
      </c>
    </row>
    <row r="2480" spans="5:8" x14ac:dyDescent="0.25">
      <c r="E2480" t="str">
        <f>""</f>
        <v/>
      </c>
      <c r="F2480" t="str">
        <f>""</f>
        <v/>
      </c>
      <c r="H2480" t="str">
        <f t="shared" si="52"/>
        <v>TASC - HRA FEES</v>
      </c>
    </row>
    <row r="2481" spans="1:8" x14ac:dyDescent="0.25">
      <c r="E2481" t="str">
        <f>""</f>
        <v/>
      </c>
      <c r="F2481" t="str">
        <f>""</f>
        <v/>
      </c>
      <c r="H2481" t="str">
        <f t="shared" si="52"/>
        <v>TASC - HRA FEES</v>
      </c>
    </row>
    <row r="2482" spans="1:8" x14ac:dyDescent="0.25">
      <c r="E2482" t="str">
        <f>""</f>
        <v/>
      </c>
      <c r="F2482" t="str">
        <f>""</f>
        <v/>
      </c>
      <c r="H2482" t="str">
        <f t="shared" si="52"/>
        <v>TASC - HRA FEES</v>
      </c>
    </row>
    <row r="2483" spans="1:8" x14ac:dyDescent="0.25">
      <c r="E2483" t="str">
        <f>""</f>
        <v/>
      </c>
      <c r="F2483" t="str">
        <f>""</f>
        <v/>
      </c>
      <c r="H2483" t="str">
        <f t="shared" si="52"/>
        <v>TASC - HRA FEES</v>
      </c>
    </row>
    <row r="2484" spans="1:8" x14ac:dyDescent="0.25">
      <c r="E2484" t="str">
        <f>""</f>
        <v/>
      </c>
      <c r="F2484" t="str">
        <f>""</f>
        <v/>
      </c>
      <c r="H2484" t="str">
        <f t="shared" si="52"/>
        <v>TASC - HRA FEES</v>
      </c>
    </row>
    <row r="2485" spans="1:8" x14ac:dyDescent="0.25">
      <c r="E2485" t="str">
        <f>""</f>
        <v/>
      </c>
      <c r="F2485" t="str">
        <f>""</f>
        <v/>
      </c>
      <c r="H2485" t="str">
        <f t="shared" si="52"/>
        <v>TASC - HRA FEES</v>
      </c>
    </row>
    <row r="2486" spans="1:8" x14ac:dyDescent="0.25">
      <c r="E2486" t="str">
        <f>""</f>
        <v/>
      </c>
      <c r="F2486" t="str">
        <f>""</f>
        <v/>
      </c>
      <c r="H2486" t="str">
        <f t="shared" si="52"/>
        <v>TASC - HRA FEES</v>
      </c>
    </row>
    <row r="2487" spans="1:8" x14ac:dyDescent="0.25">
      <c r="E2487" t="str">
        <f>""</f>
        <v/>
      </c>
      <c r="F2487" t="str">
        <f>""</f>
        <v/>
      </c>
      <c r="H2487" t="str">
        <f t="shared" si="52"/>
        <v>TASC - HRA FEES</v>
      </c>
    </row>
    <row r="2488" spans="1:8" x14ac:dyDescent="0.25">
      <c r="E2488" t="str">
        <f>""</f>
        <v/>
      </c>
      <c r="F2488" t="str">
        <f>""</f>
        <v/>
      </c>
      <c r="H2488" t="str">
        <f t="shared" si="52"/>
        <v>TASC - HRA FEES</v>
      </c>
    </row>
    <row r="2489" spans="1:8" x14ac:dyDescent="0.25">
      <c r="E2489" t="str">
        <f>""</f>
        <v/>
      </c>
      <c r="F2489" t="str">
        <f>""</f>
        <v/>
      </c>
      <c r="H2489" t="str">
        <f t="shared" si="52"/>
        <v>TASC - HRA FEES</v>
      </c>
    </row>
    <row r="2490" spans="1:8" x14ac:dyDescent="0.25">
      <c r="E2490" t="str">
        <f>""</f>
        <v/>
      </c>
      <c r="F2490" t="str">
        <f>""</f>
        <v/>
      </c>
      <c r="H2490" t="str">
        <f t="shared" si="52"/>
        <v>TASC - HRA FEES</v>
      </c>
    </row>
    <row r="2491" spans="1:8" x14ac:dyDescent="0.25">
      <c r="E2491" t="str">
        <f>""</f>
        <v/>
      </c>
      <c r="F2491" t="str">
        <f>""</f>
        <v/>
      </c>
      <c r="H2491" t="str">
        <f t="shared" si="52"/>
        <v>TASC - HRA FEES</v>
      </c>
    </row>
    <row r="2492" spans="1:8" x14ac:dyDescent="0.25">
      <c r="E2492" t="str">
        <f>""</f>
        <v/>
      </c>
      <c r="F2492" t="str">
        <f>""</f>
        <v/>
      </c>
      <c r="H2492" t="str">
        <f t="shared" si="52"/>
        <v>TASC - HRA FEES</v>
      </c>
    </row>
    <row r="2493" spans="1:8" x14ac:dyDescent="0.25">
      <c r="E2493" t="str">
        <f>""</f>
        <v/>
      </c>
      <c r="F2493" t="str">
        <f>""</f>
        <v/>
      </c>
      <c r="H2493" t="str">
        <f t="shared" si="52"/>
        <v>TASC - HRA FEES</v>
      </c>
    </row>
    <row r="2494" spans="1:8" x14ac:dyDescent="0.25">
      <c r="E2494" t="str">
        <f>""</f>
        <v/>
      </c>
      <c r="F2494" t="str">
        <f>""</f>
        <v/>
      </c>
      <c r="H2494" t="str">
        <f t="shared" si="52"/>
        <v>TASC - HRA FEES</v>
      </c>
    </row>
    <row r="2495" spans="1:8" x14ac:dyDescent="0.25">
      <c r="E2495" t="str">
        <f>"HRF201912113948"</f>
        <v>HRF201912113948</v>
      </c>
      <c r="F2495" t="str">
        <f>"TASC - HRA FEES"</f>
        <v>TASC - HRA FEES</v>
      </c>
      <c r="G2495" s="2">
        <v>30.6</v>
      </c>
      <c r="H2495" t="str">
        <f t="shared" si="52"/>
        <v>TASC - HRA FEES</v>
      </c>
    </row>
    <row r="2496" spans="1:8" x14ac:dyDescent="0.25">
      <c r="A2496" t="s">
        <v>566</v>
      </c>
      <c r="B2496">
        <v>326</v>
      </c>
      <c r="C2496" s="2">
        <v>12090.18</v>
      </c>
      <c r="D2496" s="1">
        <v>43826</v>
      </c>
      <c r="E2496" t="str">
        <f>"FSA201912244290"</f>
        <v>FSA201912244290</v>
      </c>
      <c r="F2496" t="str">
        <f>"TASC FSA"</f>
        <v>TASC FSA</v>
      </c>
      <c r="G2496" s="2">
        <v>7587.38</v>
      </c>
      <c r="H2496" t="str">
        <f>"TASC FSA"</f>
        <v>TASC FSA</v>
      </c>
    </row>
    <row r="2497" spans="5:8" x14ac:dyDescent="0.25">
      <c r="E2497" t="str">
        <f>"FSA201912244291"</f>
        <v>FSA201912244291</v>
      </c>
      <c r="F2497" t="str">
        <f>"TASC FSA"</f>
        <v>TASC FSA</v>
      </c>
      <c r="G2497" s="2">
        <v>445.4</v>
      </c>
      <c r="H2497" t="str">
        <f>"TASC FSA"</f>
        <v>TASC FSA</v>
      </c>
    </row>
    <row r="2498" spans="5:8" x14ac:dyDescent="0.25">
      <c r="E2498" t="str">
        <f>"FSC201912244290"</f>
        <v>FSC201912244290</v>
      </c>
      <c r="F2498" t="str">
        <f>"TASC DEPENDENT CARE"</f>
        <v>TASC DEPENDENT CARE</v>
      </c>
      <c r="G2498" s="2">
        <v>470</v>
      </c>
      <c r="H2498" t="str">
        <f>"TASC DEPENDENT CARE"</f>
        <v>TASC DEPENDENT CARE</v>
      </c>
    </row>
    <row r="2499" spans="5:8" x14ac:dyDescent="0.25">
      <c r="E2499" t="str">
        <f>"FSF201912244290"</f>
        <v>FSF201912244290</v>
      </c>
      <c r="F2499" t="str">
        <f>"TASC - FSA  FEES"</f>
        <v>TASC - FSA  FEES</v>
      </c>
      <c r="G2499" s="2">
        <v>250.2</v>
      </c>
      <c r="H2499" t="str">
        <f t="shared" ref="H2499:H2538" si="53">"TASC - FSA  FEES"</f>
        <v>TASC - FSA  FEES</v>
      </c>
    </row>
    <row r="2500" spans="5:8" x14ac:dyDescent="0.25">
      <c r="E2500" t="str">
        <f>""</f>
        <v/>
      </c>
      <c r="F2500" t="str">
        <f>""</f>
        <v/>
      </c>
      <c r="H2500" t="str">
        <f t="shared" si="53"/>
        <v>TASC - FSA  FEES</v>
      </c>
    </row>
    <row r="2501" spans="5:8" x14ac:dyDescent="0.25">
      <c r="E2501" t="str">
        <f>""</f>
        <v/>
      </c>
      <c r="F2501" t="str">
        <f>""</f>
        <v/>
      </c>
      <c r="H2501" t="str">
        <f t="shared" si="53"/>
        <v>TASC - FSA  FEES</v>
      </c>
    </row>
    <row r="2502" spans="5:8" x14ac:dyDescent="0.25">
      <c r="E2502" t="str">
        <f>""</f>
        <v/>
      </c>
      <c r="F2502" t="str">
        <f>""</f>
        <v/>
      </c>
      <c r="H2502" t="str">
        <f t="shared" si="53"/>
        <v>TASC - FSA  FEES</v>
      </c>
    </row>
    <row r="2503" spans="5:8" x14ac:dyDescent="0.25">
      <c r="E2503" t="str">
        <f>""</f>
        <v/>
      </c>
      <c r="F2503" t="str">
        <f>""</f>
        <v/>
      </c>
      <c r="H2503" t="str">
        <f t="shared" si="53"/>
        <v>TASC - FSA  FEES</v>
      </c>
    </row>
    <row r="2504" spans="5:8" x14ac:dyDescent="0.25">
      <c r="E2504" t="str">
        <f>""</f>
        <v/>
      </c>
      <c r="F2504" t="str">
        <f>""</f>
        <v/>
      </c>
      <c r="H2504" t="str">
        <f t="shared" si="53"/>
        <v>TASC - FSA  FEES</v>
      </c>
    </row>
    <row r="2505" spans="5:8" x14ac:dyDescent="0.25">
      <c r="E2505" t="str">
        <f>""</f>
        <v/>
      </c>
      <c r="F2505" t="str">
        <f>""</f>
        <v/>
      </c>
      <c r="H2505" t="str">
        <f t="shared" si="53"/>
        <v>TASC - FSA  FEES</v>
      </c>
    </row>
    <row r="2506" spans="5:8" x14ac:dyDescent="0.25">
      <c r="E2506" t="str">
        <f>""</f>
        <v/>
      </c>
      <c r="F2506" t="str">
        <f>""</f>
        <v/>
      </c>
      <c r="H2506" t="str">
        <f t="shared" si="53"/>
        <v>TASC - FSA  FEES</v>
      </c>
    </row>
    <row r="2507" spans="5:8" x14ac:dyDescent="0.25">
      <c r="E2507" t="str">
        <f>""</f>
        <v/>
      </c>
      <c r="F2507" t="str">
        <f>""</f>
        <v/>
      </c>
      <c r="H2507" t="str">
        <f t="shared" si="53"/>
        <v>TASC - FSA  FEES</v>
      </c>
    </row>
    <row r="2508" spans="5:8" x14ac:dyDescent="0.25">
      <c r="E2508" t="str">
        <f>""</f>
        <v/>
      </c>
      <c r="F2508" t="str">
        <f>""</f>
        <v/>
      </c>
      <c r="H2508" t="str">
        <f t="shared" si="53"/>
        <v>TASC - FSA  FEES</v>
      </c>
    </row>
    <row r="2509" spans="5:8" x14ac:dyDescent="0.25">
      <c r="E2509" t="str">
        <f>""</f>
        <v/>
      </c>
      <c r="F2509" t="str">
        <f>""</f>
        <v/>
      </c>
      <c r="H2509" t="str">
        <f t="shared" si="53"/>
        <v>TASC - FSA  FEES</v>
      </c>
    </row>
    <row r="2510" spans="5:8" x14ac:dyDescent="0.25">
      <c r="E2510" t="str">
        <f>""</f>
        <v/>
      </c>
      <c r="F2510" t="str">
        <f>""</f>
        <v/>
      </c>
      <c r="H2510" t="str">
        <f t="shared" si="53"/>
        <v>TASC - FSA  FEES</v>
      </c>
    </row>
    <row r="2511" spans="5:8" x14ac:dyDescent="0.25">
      <c r="E2511" t="str">
        <f>""</f>
        <v/>
      </c>
      <c r="F2511" t="str">
        <f>""</f>
        <v/>
      </c>
      <c r="H2511" t="str">
        <f t="shared" si="53"/>
        <v>TASC - FSA  FEES</v>
      </c>
    </row>
    <row r="2512" spans="5:8" x14ac:dyDescent="0.25">
      <c r="E2512" t="str">
        <f>""</f>
        <v/>
      </c>
      <c r="F2512" t="str">
        <f>""</f>
        <v/>
      </c>
      <c r="H2512" t="str">
        <f t="shared" si="53"/>
        <v>TASC - FSA  FEES</v>
      </c>
    </row>
    <row r="2513" spans="5:8" x14ac:dyDescent="0.25">
      <c r="E2513" t="str">
        <f>""</f>
        <v/>
      </c>
      <c r="F2513" t="str">
        <f>""</f>
        <v/>
      </c>
      <c r="H2513" t="str">
        <f t="shared" si="53"/>
        <v>TASC - FSA  FEES</v>
      </c>
    </row>
    <row r="2514" spans="5:8" x14ac:dyDescent="0.25">
      <c r="E2514" t="str">
        <f>""</f>
        <v/>
      </c>
      <c r="F2514" t="str">
        <f>""</f>
        <v/>
      </c>
      <c r="H2514" t="str">
        <f t="shared" si="53"/>
        <v>TASC - FSA  FEES</v>
      </c>
    </row>
    <row r="2515" spans="5:8" x14ac:dyDescent="0.25">
      <c r="E2515" t="str">
        <f>""</f>
        <v/>
      </c>
      <c r="F2515" t="str">
        <f>""</f>
        <v/>
      </c>
      <c r="H2515" t="str">
        <f t="shared" si="53"/>
        <v>TASC - FSA  FEES</v>
      </c>
    </row>
    <row r="2516" spans="5:8" x14ac:dyDescent="0.25">
      <c r="E2516" t="str">
        <f>""</f>
        <v/>
      </c>
      <c r="F2516" t="str">
        <f>""</f>
        <v/>
      </c>
      <c r="H2516" t="str">
        <f t="shared" si="53"/>
        <v>TASC - FSA  FEES</v>
      </c>
    </row>
    <row r="2517" spans="5:8" x14ac:dyDescent="0.25">
      <c r="E2517" t="str">
        <f>""</f>
        <v/>
      </c>
      <c r="F2517" t="str">
        <f>""</f>
        <v/>
      </c>
      <c r="H2517" t="str">
        <f t="shared" si="53"/>
        <v>TASC - FSA  FEES</v>
      </c>
    </row>
    <row r="2518" spans="5:8" x14ac:dyDescent="0.25">
      <c r="E2518" t="str">
        <f>""</f>
        <v/>
      </c>
      <c r="F2518" t="str">
        <f>""</f>
        <v/>
      </c>
      <c r="H2518" t="str">
        <f t="shared" si="53"/>
        <v>TASC - FSA  FEES</v>
      </c>
    </row>
    <row r="2519" spans="5:8" x14ac:dyDescent="0.25">
      <c r="E2519" t="str">
        <f>""</f>
        <v/>
      </c>
      <c r="F2519" t="str">
        <f>""</f>
        <v/>
      </c>
      <c r="H2519" t="str">
        <f t="shared" si="53"/>
        <v>TASC - FSA  FEES</v>
      </c>
    </row>
    <row r="2520" spans="5:8" x14ac:dyDescent="0.25">
      <c r="E2520" t="str">
        <f>""</f>
        <v/>
      </c>
      <c r="F2520" t="str">
        <f>""</f>
        <v/>
      </c>
      <c r="H2520" t="str">
        <f t="shared" si="53"/>
        <v>TASC - FSA  FEES</v>
      </c>
    </row>
    <row r="2521" spans="5:8" x14ac:dyDescent="0.25">
      <c r="E2521" t="str">
        <f>""</f>
        <v/>
      </c>
      <c r="F2521" t="str">
        <f>""</f>
        <v/>
      </c>
      <c r="H2521" t="str">
        <f t="shared" si="53"/>
        <v>TASC - FSA  FEES</v>
      </c>
    </row>
    <row r="2522" spans="5:8" x14ac:dyDescent="0.25">
      <c r="E2522" t="str">
        <f>""</f>
        <v/>
      </c>
      <c r="F2522" t="str">
        <f>""</f>
        <v/>
      </c>
      <c r="H2522" t="str">
        <f t="shared" si="53"/>
        <v>TASC - FSA  FEES</v>
      </c>
    </row>
    <row r="2523" spans="5:8" x14ac:dyDescent="0.25">
      <c r="E2523" t="str">
        <f>""</f>
        <v/>
      </c>
      <c r="F2523" t="str">
        <f>""</f>
        <v/>
      </c>
      <c r="H2523" t="str">
        <f t="shared" si="53"/>
        <v>TASC - FSA  FEES</v>
      </c>
    </row>
    <row r="2524" spans="5:8" x14ac:dyDescent="0.25">
      <c r="E2524" t="str">
        <f>""</f>
        <v/>
      </c>
      <c r="F2524" t="str">
        <f>""</f>
        <v/>
      </c>
      <c r="H2524" t="str">
        <f t="shared" si="53"/>
        <v>TASC - FSA  FEES</v>
      </c>
    </row>
    <row r="2525" spans="5:8" x14ac:dyDescent="0.25">
      <c r="E2525" t="str">
        <f>""</f>
        <v/>
      </c>
      <c r="F2525" t="str">
        <f>""</f>
        <v/>
      </c>
      <c r="H2525" t="str">
        <f t="shared" si="53"/>
        <v>TASC - FSA  FEES</v>
      </c>
    </row>
    <row r="2526" spans="5:8" x14ac:dyDescent="0.25">
      <c r="E2526" t="str">
        <f>""</f>
        <v/>
      </c>
      <c r="F2526" t="str">
        <f>""</f>
        <v/>
      </c>
      <c r="H2526" t="str">
        <f t="shared" si="53"/>
        <v>TASC - FSA  FEES</v>
      </c>
    </row>
    <row r="2527" spans="5:8" x14ac:dyDescent="0.25">
      <c r="E2527" t="str">
        <f>""</f>
        <v/>
      </c>
      <c r="F2527" t="str">
        <f>""</f>
        <v/>
      </c>
      <c r="H2527" t="str">
        <f t="shared" si="53"/>
        <v>TASC - FSA  FEES</v>
      </c>
    </row>
    <row r="2528" spans="5:8" x14ac:dyDescent="0.25">
      <c r="E2528" t="str">
        <f>""</f>
        <v/>
      </c>
      <c r="F2528" t="str">
        <f>""</f>
        <v/>
      </c>
      <c r="H2528" t="str">
        <f t="shared" si="53"/>
        <v>TASC - FSA  FEES</v>
      </c>
    </row>
    <row r="2529" spans="5:8" x14ac:dyDescent="0.25">
      <c r="E2529" t="str">
        <f>""</f>
        <v/>
      </c>
      <c r="F2529" t="str">
        <f>""</f>
        <v/>
      </c>
      <c r="H2529" t="str">
        <f t="shared" si="53"/>
        <v>TASC - FSA  FEES</v>
      </c>
    </row>
    <row r="2530" spans="5:8" x14ac:dyDescent="0.25">
      <c r="E2530" t="str">
        <f>""</f>
        <v/>
      </c>
      <c r="F2530" t="str">
        <f>""</f>
        <v/>
      </c>
      <c r="H2530" t="str">
        <f t="shared" si="53"/>
        <v>TASC - FSA  FEES</v>
      </c>
    </row>
    <row r="2531" spans="5:8" x14ac:dyDescent="0.25">
      <c r="E2531" t="str">
        <f>""</f>
        <v/>
      </c>
      <c r="F2531" t="str">
        <f>""</f>
        <v/>
      </c>
      <c r="H2531" t="str">
        <f t="shared" si="53"/>
        <v>TASC - FSA  FEES</v>
      </c>
    </row>
    <row r="2532" spans="5:8" x14ac:dyDescent="0.25">
      <c r="E2532" t="str">
        <f>""</f>
        <v/>
      </c>
      <c r="F2532" t="str">
        <f>""</f>
        <v/>
      </c>
      <c r="H2532" t="str">
        <f t="shared" si="53"/>
        <v>TASC - FSA  FEES</v>
      </c>
    </row>
    <row r="2533" spans="5:8" x14ac:dyDescent="0.25">
      <c r="E2533" t="str">
        <f>""</f>
        <v/>
      </c>
      <c r="F2533" t="str">
        <f>""</f>
        <v/>
      </c>
      <c r="H2533" t="str">
        <f t="shared" si="53"/>
        <v>TASC - FSA  FEES</v>
      </c>
    </row>
    <row r="2534" spans="5:8" x14ac:dyDescent="0.25">
      <c r="E2534" t="str">
        <f>""</f>
        <v/>
      </c>
      <c r="F2534" t="str">
        <f>""</f>
        <v/>
      </c>
      <c r="H2534" t="str">
        <f t="shared" si="53"/>
        <v>TASC - FSA  FEES</v>
      </c>
    </row>
    <row r="2535" spans="5:8" x14ac:dyDescent="0.25">
      <c r="E2535" t="str">
        <f>""</f>
        <v/>
      </c>
      <c r="F2535" t="str">
        <f>""</f>
        <v/>
      </c>
      <c r="H2535" t="str">
        <f t="shared" si="53"/>
        <v>TASC - FSA  FEES</v>
      </c>
    </row>
    <row r="2536" spans="5:8" x14ac:dyDescent="0.25">
      <c r="E2536" t="str">
        <f>""</f>
        <v/>
      </c>
      <c r="F2536" t="str">
        <f>""</f>
        <v/>
      </c>
      <c r="H2536" t="str">
        <f t="shared" si="53"/>
        <v>TASC - FSA  FEES</v>
      </c>
    </row>
    <row r="2537" spans="5:8" x14ac:dyDescent="0.25">
      <c r="E2537" t="str">
        <f>""</f>
        <v/>
      </c>
      <c r="F2537" t="str">
        <f>""</f>
        <v/>
      </c>
      <c r="H2537" t="str">
        <f t="shared" si="53"/>
        <v>TASC - FSA  FEES</v>
      </c>
    </row>
    <row r="2538" spans="5:8" x14ac:dyDescent="0.25">
      <c r="E2538" t="str">
        <f>"FSF201912244291"</f>
        <v>FSF201912244291</v>
      </c>
      <c r="F2538" t="str">
        <f>"TASC - FSA  FEES"</f>
        <v>TASC - FSA  FEES</v>
      </c>
      <c r="G2538" s="2">
        <v>12.6</v>
      </c>
      <c r="H2538" t="str">
        <f t="shared" si="53"/>
        <v>TASC - FSA  FEES</v>
      </c>
    </row>
    <row r="2539" spans="5:8" x14ac:dyDescent="0.25">
      <c r="E2539" t="str">
        <f>"HRA201912244290"</f>
        <v>HRA201912244290</v>
      </c>
      <c r="F2539" t="str">
        <f>"TASC HRA"</f>
        <v>TASC HRA</v>
      </c>
      <c r="G2539" s="2">
        <v>2500.1999999999998</v>
      </c>
      <c r="H2539" t="str">
        <f>"TASC HRA"</f>
        <v>TASC HRA</v>
      </c>
    </row>
    <row r="2540" spans="5:8" x14ac:dyDescent="0.25">
      <c r="E2540" t="str">
        <f>""</f>
        <v/>
      </c>
      <c r="F2540" t="str">
        <f>""</f>
        <v/>
      </c>
      <c r="H2540" t="str">
        <f>"TASC HRA"</f>
        <v>TASC HRA</v>
      </c>
    </row>
    <row r="2541" spans="5:8" x14ac:dyDescent="0.25">
      <c r="E2541" t="str">
        <f>""</f>
        <v/>
      </c>
      <c r="F2541" t="str">
        <f>""</f>
        <v/>
      </c>
      <c r="H2541" t="str">
        <f>"TASC HRA"</f>
        <v>TASC HRA</v>
      </c>
    </row>
    <row r="2542" spans="5:8" x14ac:dyDescent="0.25">
      <c r="E2542" t="str">
        <f>""</f>
        <v/>
      </c>
      <c r="F2542" t="str">
        <f>""</f>
        <v/>
      </c>
      <c r="H2542" t="str">
        <f>"TASC HRA"</f>
        <v>TASC HRA</v>
      </c>
    </row>
    <row r="2543" spans="5:8" x14ac:dyDescent="0.25">
      <c r="E2543" t="str">
        <f>"HRF201912244290"</f>
        <v>HRF201912244290</v>
      </c>
      <c r="F2543" t="str">
        <f>"TASC - HRA FEES"</f>
        <v>TASC - HRA FEES</v>
      </c>
      <c r="G2543" s="2">
        <v>793.8</v>
      </c>
      <c r="H2543" t="str">
        <f t="shared" ref="H2543:H2574" si="54">"TASC - HRA FEES"</f>
        <v>TASC - HRA FEES</v>
      </c>
    </row>
    <row r="2544" spans="5:8" x14ac:dyDescent="0.25">
      <c r="E2544" t="str">
        <f>""</f>
        <v/>
      </c>
      <c r="F2544" t="str">
        <f>""</f>
        <v/>
      </c>
      <c r="H2544" t="str">
        <f t="shared" si="54"/>
        <v>TASC - HRA FEES</v>
      </c>
    </row>
    <row r="2545" spans="5:8" x14ac:dyDescent="0.25">
      <c r="E2545" t="str">
        <f>""</f>
        <v/>
      </c>
      <c r="F2545" t="str">
        <f>""</f>
        <v/>
      </c>
      <c r="H2545" t="str">
        <f t="shared" si="54"/>
        <v>TASC - HRA FEES</v>
      </c>
    </row>
    <row r="2546" spans="5:8" x14ac:dyDescent="0.25">
      <c r="E2546" t="str">
        <f>""</f>
        <v/>
      </c>
      <c r="F2546" t="str">
        <f>""</f>
        <v/>
      </c>
      <c r="H2546" t="str">
        <f t="shared" si="54"/>
        <v>TASC - HRA FEES</v>
      </c>
    </row>
    <row r="2547" spans="5:8" x14ac:dyDescent="0.25">
      <c r="E2547" t="str">
        <f>""</f>
        <v/>
      </c>
      <c r="F2547" t="str">
        <f>""</f>
        <v/>
      </c>
      <c r="H2547" t="str">
        <f t="shared" si="54"/>
        <v>TASC - HRA FEES</v>
      </c>
    </row>
    <row r="2548" spans="5:8" x14ac:dyDescent="0.25">
      <c r="E2548" t="str">
        <f>""</f>
        <v/>
      </c>
      <c r="F2548" t="str">
        <f>""</f>
        <v/>
      </c>
      <c r="H2548" t="str">
        <f t="shared" si="54"/>
        <v>TASC - HRA FEES</v>
      </c>
    </row>
    <row r="2549" spans="5:8" x14ac:dyDescent="0.25">
      <c r="E2549" t="str">
        <f>""</f>
        <v/>
      </c>
      <c r="F2549" t="str">
        <f>""</f>
        <v/>
      </c>
      <c r="H2549" t="str">
        <f t="shared" si="54"/>
        <v>TASC - HRA FEES</v>
      </c>
    </row>
    <row r="2550" spans="5:8" x14ac:dyDescent="0.25">
      <c r="E2550" t="str">
        <f>""</f>
        <v/>
      </c>
      <c r="F2550" t="str">
        <f>""</f>
        <v/>
      </c>
      <c r="H2550" t="str">
        <f t="shared" si="54"/>
        <v>TASC - HRA FEES</v>
      </c>
    </row>
    <row r="2551" spans="5:8" x14ac:dyDescent="0.25">
      <c r="E2551" t="str">
        <f>""</f>
        <v/>
      </c>
      <c r="F2551" t="str">
        <f>""</f>
        <v/>
      </c>
      <c r="H2551" t="str">
        <f t="shared" si="54"/>
        <v>TASC - HRA FEES</v>
      </c>
    </row>
    <row r="2552" spans="5:8" x14ac:dyDescent="0.25">
      <c r="E2552" t="str">
        <f>""</f>
        <v/>
      </c>
      <c r="F2552" t="str">
        <f>""</f>
        <v/>
      </c>
      <c r="H2552" t="str">
        <f t="shared" si="54"/>
        <v>TASC - HRA FEES</v>
      </c>
    </row>
    <row r="2553" spans="5:8" x14ac:dyDescent="0.25">
      <c r="E2553" t="str">
        <f>""</f>
        <v/>
      </c>
      <c r="F2553" t="str">
        <f>""</f>
        <v/>
      </c>
      <c r="H2553" t="str">
        <f t="shared" si="54"/>
        <v>TASC - HRA FEES</v>
      </c>
    </row>
    <row r="2554" spans="5:8" x14ac:dyDescent="0.25">
      <c r="E2554" t="str">
        <f>""</f>
        <v/>
      </c>
      <c r="F2554" t="str">
        <f>""</f>
        <v/>
      </c>
      <c r="H2554" t="str">
        <f t="shared" si="54"/>
        <v>TASC - HRA FEES</v>
      </c>
    </row>
    <row r="2555" spans="5:8" x14ac:dyDescent="0.25">
      <c r="E2555" t="str">
        <f>""</f>
        <v/>
      </c>
      <c r="F2555" t="str">
        <f>""</f>
        <v/>
      </c>
      <c r="H2555" t="str">
        <f t="shared" si="54"/>
        <v>TASC - HRA FEES</v>
      </c>
    </row>
    <row r="2556" spans="5:8" x14ac:dyDescent="0.25">
      <c r="E2556" t="str">
        <f>""</f>
        <v/>
      </c>
      <c r="F2556" t="str">
        <f>""</f>
        <v/>
      </c>
      <c r="H2556" t="str">
        <f t="shared" si="54"/>
        <v>TASC - HRA FEES</v>
      </c>
    </row>
    <row r="2557" spans="5:8" x14ac:dyDescent="0.25">
      <c r="E2557" t="str">
        <f>""</f>
        <v/>
      </c>
      <c r="F2557" t="str">
        <f>""</f>
        <v/>
      </c>
      <c r="H2557" t="str">
        <f t="shared" si="54"/>
        <v>TASC - HRA FEES</v>
      </c>
    </row>
    <row r="2558" spans="5:8" x14ac:dyDescent="0.25">
      <c r="E2558" t="str">
        <f>""</f>
        <v/>
      </c>
      <c r="F2558" t="str">
        <f>""</f>
        <v/>
      </c>
      <c r="H2558" t="str">
        <f t="shared" si="54"/>
        <v>TASC - HRA FEES</v>
      </c>
    </row>
    <row r="2559" spans="5:8" x14ac:dyDescent="0.25">
      <c r="E2559" t="str">
        <f>""</f>
        <v/>
      </c>
      <c r="F2559" t="str">
        <f>""</f>
        <v/>
      </c>
      <c r="H2559" t="str">
        <f t="shared" si="54"/>
        <v>TASC - HRA FEES</v>
      </c>
    </row>
    <row r="2560" spans="5:8" x14ac:dyDescent="0.25">
      <c r="E2560" t="str">
        <f>""</f>
        <v/>
      </c>
      <c r="F2560" t="str">
        <f>""</f>
        <v/>
      </c>
      <c r="H2560" t="str">
        <f t="shared" si="54"/>
        <v>TASC - HRA FEES</v>
      </c>
    </row>
    <row r="2561" spans="5:8" x14ac:dyDescent="0.25">
      <c r="E2561" t="str">
        <f>""</f>
        <v/>
      </c>
      <c r="F2561" t="str">
        <f>""</f>
        <v/>
      </c>
      <c r="H2561" t="str">
        <f t="shared" si="54"/>
        <v>TASC - HRA FEES</v>
      </c>
    </row>
    <row r="2562" spans="5:8" x14ac:dyDescent="0.25">
      <c r="E2562" t="str">
        <f>""</f>
        <v/>
      </c>
      <c r="F2562" t="str">
        <f>""</f>
        <v/>
      </c>
      <c r="H2562" t="str">
        <f t="shared" si="54"/>
        <v>TASC - HRA FEES</v>
      </c>
    </row>
    <row r="2563" spans="5:8" x14ac:dyDescent="0.25">
      <c r="E2563" t="str">
        <f>""</f>
        <v/>
      </c>
      <c r="F2563" t="str">
        <f>""</f>
        <v/>
      </c>
      <c r="H2563" t="str">
        <f t="shared" si="54"/>
        <v>TASC - HRA FEES</v>
      </c>
    </row>
    <row r="2564" spans="5:8" x14ac:dyDescent="0.25">
      <c r="E2564" t="str">
        <f>""</f>
        <v/>
      </c>
      <c r="F2564" t="str">
        <f>""</f>
        <v/>
      </c>
      <c r="H2564" t="str">
        <f t="shared" si="54"/>
        <v>TASC - HRA FEES</v>
      </c>
    </row>
    <row r="2565" spans="5:8" x14ac:dyDescent="0.25">
      <c r="E2565" t="str">
        <f>""</f>
        <v/>
      </c>
      <c r="F2565" t="str">
        <f>""</f>
        <v/>
      </c>
      <c r="H2565" t="str">
        <f t="shared" si="54"/>
        <v>TASC - HRA FEES</v>
      </c>
    </row>
    <row r="2566" spans="5:8" x14ac:dyDescent="0.25">
      <c r="E2566" t="str">
        <f>""</f>
        <v/>
      </c>
      <c r="F2566" t="str">
        <f>""</f>
        <v/>
      </c>
      <c r="H2566" t="str">
        <f t="shared" si="54"/>
        <v>TASC - HRA FEES</v>
      </c>
    </row>
    <row r="2567" spans="5:8" x14ac:dyDescent="0.25">
      <c r="E2567" t="str">
        <f>""</f>
        <v/>
      </c>
      <c r="F2567" t="str">
        <f>""</f>
        <v/>
      </c>
      <c r="H2567" t="str">
        <f t="shared" si="54"/>
        <v>TASC - HRA FEES</v>
      </c>
    </row>
    <row r="2568" spans="5:8" x14ac:dyDescent="0.25">
      <c r="E2568" t="str">
        <f>""</f>
        <v/>
      </c>
      <c r="F2568" t="str">
        <f>""</f>
        <v/>
      </c>
      <c r="H2568" t="str">
        <f t="shared" si="54"/>
        <v>TASC - HRA FEES</v>
      </c>
    </row>
    <row r="2569" spans="5:8" x14ac:dyDescent="0.25">
      <c r="E2569" t="str">
        <f>""</f>
        <v/>
      </c>
      <c r="F2569" t="str">
        <f>""</f>
        <v/>
      </c>
      <c r="H2569" t="str">
        <f t="shared" si="54"/>
        <v>TASC - HRA FEES</v>
      </c>
    </row>
    <row r="2570" spans="5:8" x14ac:dyDescent="0.25">
      <c r="E2570" t="str">
        <f>""</f>
        <v/>
      </c>
      <c r="F2570" t="str">
        <f>""</f>
        <v/>
      </c>
      <c r="H2570" t="str">
        <f t="shared" si="54"/>
        <v>TASC - HRA FEES</v>
      </c>
    </row>
    <row r="2571" spans="5:8" x14ac:dyDescent="0.25">
      <c r="E2571" t="str">
        <f>""</f>
        <v/>
      </c>
      <c r="F2571" t="str">
        <f>""</f>
        <v/>
      </c>
      <c r="H2571" t="str">
        <f t="shared" si="54"/>
        <v>TASC - HRA FEES</v>
      </c>
    </row>
    <row r="2572" spans="5:8" x14ac:dyDescent="0.25">
      <c r="E2572" t="str">
        <f>""</f>
        <v/>
      </c>
      <c r="F2572" t="str">
        <f>""</f>
        <v/>
      </c>
      <c r="H2572" t="str">
        <f t="shared" si="54"/>
        <v>TASC - HRA FEES</v>
      </c>
    </row>
    <row r="2573" spans="5:8" x14ac:dyDescent="0.25">
      <c r="E2573" t="str">
        <f>""</f>
        <v/>
      </c>
      <c r="F2573" t="str">
        <f>""</f>
        <v/>
      </c>
      <c r="H2573" t="str">
        <f t="shared" si="54"/>
        <v>TASC - HRA FEES</v>
      </c>
    </row>
    <row r="2574" spans="5:8" x14ac:dyDescent="0.25">
      <c r="E2574" t="str">
        <f>""</f>
        <v/>
      </c>
      <c r="F2574" t="str">
        <f>""</f>
        <v/>
      </c>
      <c r="H2574" t="str">
        <f t="shared" si="54"/>
        <v>TASC - HRA FEES</v>
      </c>
    </row>
    <row r="2575" spans="5:8" x14ac:dyDescent="0.25">
      <c r="E2575" t="str">
        <f>""</f>
        <v/>
      </c>
      <c r="F2575" t="str">
        <f>""</f>
        <v/>
      </c>
      <c r="H2575" t="str">
        <f t="shared" ref="H2575:H2594" si="55">"TASC - HRA FEES"</f>
        <v>TASC - HRA FEES</v>
      </c>
    </row>
    <row r="2576" spans="5:8" x14ac:dyDescent="0.25">
      <c r="E2576" t="str">
        <f>""</f>
        <v/>
      </c>
      <c r="F2576" t="str">
        <f>""</f>
        <v/>
      </c>
      <c r="H2576" t="str">
        <f t="shared" si="55"/>
        <v>TASC - HRA FEES</v>
      </c>
    </row>
    <row r="2577" spans="5:8" x14ac:dyDescent="0.25">
      <c r="E2577" t="str">
        <f>""</f>
        <v/>
      </c>
      <c r="F2577" t="str">
        <f>""</f>
        <v/>
      </c>
      <c r="H2577" t="str">
        <f t="shared" si="55"/>
        <v>TASC - HRA FEES</v>
      </c>
    </row>
    <row r="2578" spans="5:8" x14ac:dyDescent="0.25">
      <c r="E2578" t="str">
        <f>""</f>
        <v/>
      </c>
      <c r="F2578" t="str">
        <f>""</f>
        <v/>
      </c>
      <c r="H2578" t="str">
        <f t="shared" si="55"/>
        <v>TASC - HRA FEES</v>
      </c>
    </row>
    <row r="2579" spans="5:8" x14ac:dyDescent="0.25">
      <c r="E2579" t="str">
        <f>""</f>
        <v/>
      </c>
      <c r="F2579" t="str">
        <f>""</f>
        <v/>
      </c>
      <c r="H2579" t="str">
        <f t="shared" si="55"/>
        <v>TASC - HRA FEES</v>
      </c>
    </row>
    <row r="2580" spans="5:8" x14ac:dyDescent="0.25">
      <c r="E2580" t="str">
        <f>""</f>
        <v/>
      </c>
      <c r="F2580" t="str">
        <f>""</f>
        <v/>
      </c>
      <c r="H2580" t="str">
        <f t="shared" si="55"/>
        <v>TASC - HRA FEES</v>
      </c>
    </row>
    <row r="2581" spans="5:8" x14ac:dyDescent="0.25">
      <c r="E2581" t="str">
        <f>""</f>
        <v/>
      </c>
      <c r="F2581" t="str">
        <f>""</f>
        <v/>
      </c>
      <c r="H2581" t="str">
        <f t="shared" si="55"/>
        <v>TASC - HRA FEES</v>
      </c>
    </row>
    <row r="2582" spans="5:8" x14ac:dyDescent="0.25">
      <c r="E2582" t="str">
        <f>""</f>
        <v/>
      </c>
      <c r="F2582" t="str">
        <f>""</f>
        <v/>
      </c>
      <c r="H2582" t="str">
        <f t="shared" si="55"/>
        <v>TASC - HRA FEES</v>
      </c>
    </row>
    <row r="2583" spans="5:8" x14ac:dyDescent="0.25">
      <c r="E2583" t="str">
        <f>""</f>
        <v/>
      </c>
      <c r="F2583" t="str">
        <f>""</f>
        <v/>
      </c>
      <c r="H2583" t="str">
        <f t="shared" si="55"/>
        <v>TASC - HRA FEES</v>
      </c>
    </row>
    <row r="2584" spans="5:8" x14ac:dyDescent="0.25">
      <c r="E2584" t="str">
        <f>""</f>
        <v/>
      </c>
      <c r="F2584" t="str">
        <f>""</f>
        <v/>
      </c>
      <c r="H2584" t="str">
        <f t="shared" si="55"/>
        <v>TASC - HRA FEES</v>
      </c>
    </row>
    <row r="2585" spans="5:8" x14ac:dyDescent="0.25">
      <c r="E2585" t="str">
        <f>""</f>
        <v/>
      </c>
      <c r="F2585" t="str">
        <f>""</f>
        <v/>
      </c>
      <c r="H2585" t="str">
        <f t="shared" si="55"/>
        <v>TASC - HRA FEES</v>
      </c>
    </row>
    <row r="2586" spans="5:8" x14ac:dyDescent="0.25">
      <c r="E2586" t="str">
        <f>""</f>
        <v/>
      </c>
      <c r="F2586" t="str">
        <f>""</f>
        <v/>
      </c>
      <c r="H2586" t="str">
        <f t="shared" si="55"/>
        <v>TASC - HRA FEES</v>
      </c>
    </row>
    <row r="2587" spans="5:8" x14ac:dyDescent="0.25">
      <c r="E2587" t="str">
        <f>""</f>
        <v/>
      </c>
      <c r="F2587" t="str">
        <f>""</f>
        <v/>
      </c>
      <c r="H2587" t="str">
        <f t="shared" si="55"/>
        <v>TASC - HRA FEES</v>
      </c>
    </row>
    <row r="2588" spans="5:8" x14ac:dyDescent="0.25">
      <c r="E2588" t="str">
        <f>""</f>
        <v/>
      </c>
      <c r="F2588" t="str">
        <f>""</f>
        <v/>
      </c>
      <c r="H2588" t="str">
        <f t="shared" si="55"/>
        <v>TASC - HRA FEES</v>
      </c>
    </row>
    <row r="2589" spans="5:8" x14ac:dyDescent="0.25">
      <c r="E2589" t="str">
        <f>""</f>
        <v/>
      </c>
      <c r="F2589" t="str">
        <f>""</f>
        <v/>
      </c>
      <c r="H2589" t="str">
        <f t="shared" si="55"/>
        <v>TASC - HRA FEES</v>
      </c>
    </row>
    <row r="2590" spans="5:8" x14ac:dyDescent="0.25">
      <c r="E2590" t="str">
        <f>""</f>
        <v/>
      </c>
      <c r="F2590" t="str">
        <f>""</f>
        <v/>
      </c>
      <c r="H2590" t="str">
        <f t="shared" si="55"/>
        <v>TASC - HRA FEES</v>
      </c>
    </row>
    <row r="2591" spans="5:8" x14ac:dyDescent="0.25">
      <c r="E2591" t="str">
        <f>""</f>
        <v/>
      </c>
      <c r="F2591" t="str">
        <f>""</f>
        <v/>
      </c>
      <c r="H2591" t="str">
        <f t="shared" si="55"/>
        <v>TASC - HRA FEES</v>
      </c>
    </row>
    <row r="2592" spans="5:8" x14ac:dyDescent="0.25">
      <c r="E2592" t="str">
        <f>""</f>
        <v/>
      </c>
      <c r="F2592" t="str">
        <f>""</f>
        <v/>
      </c>
      <c r="H2592" t="str">
        <f t="shared" si="55"/>
        <v>TASC - HRA FEES</v>
      </c>
    </row>
    <row r="2593" spans="1:8" x14ac:dyDescent="0.25">
      <c r="E2593" t="str">
        <f>""</f>
        <v/>
      </c>
      <c r="F2593" t="str">
        <f>""</f>
        <v/>
      </c>
      <c r="H2593" t="str">
        <f t="shared" si="55"/>
        <v>TASC - HRA FEES</v>
      </c>
    </row>
    <row r="2594" spans="1:8" x14ac:dyDescent="0.25">
      <c r="E2594" t="str">
        <f>"HRF201912244291"</f>
        <v>HRF201912244291</v>
      </c>
      <c r="F2594" t="str">
        <f>"TASC - HRA FEES"</f>
        <v>TASC - HRA FEES</v>
      </c>
      <c r="G2594" s="2">
        <v>30.6</v>
      </c>
      <c r="H2594" t="str">
        <f t="shared" si="55"/>
        <v>TASC - HRA FEES</v>
      </c>
    </row>
    <row r="2595" spans="1:8" x14ac:dyDescent="0.25">
      <c r="A2595" t="s">
        <v>567</v>
      </c>
      <c r="B2595">
        <v>296</v>
      </c>
      <c r="C2595" s="2">
        <v>5405.4</v>
      </c>
      <c r="D2595" s="1">
        <v>43812</v>
      </c>
      <c r="E2595" t="str">
        <f>"C18201912113948"</f>
        <v>C18201912113948</v>
      </c>
      <c r="F2595" t="str">
        <f>"CAUSE# 0011635329"</f>
        <v>CAUSE# 0011635329</v>
      </c>
      <c r="G2595" s="2">
        <v>603.23</v>
      </c>
      <c r="H2595" t="str">
        <f>"CAUSE# 0011635329"</f>
        <v>CAUSE# 0011635329</v>
      </c>
    </row>
    <row r="2596" spans="1:8" x14ac:dyDescent="0.25">
      <c r="E2596" t="str">
        <f>"C2 201912113948"</f>
        <v>C2 201912113948</v>
      </c>
      <c r="F2596" t="str">
        <f>"0012982132CCL7445"</f>
        <v>0012982132CCL7445</v>
      </c>
      <c r="G2596" s="2">
        <v>692.31</v>
      </c>
      <c r="H2596" t="str">
        <f>"0012982132CCL7445"</f>
        <v>0012982132CCL7445</v>
      </c>
    </row>
    <row r="2597" spans="1:8" x14ac:dyDescent="0.25">
      <c r="E2597" t="str">
        <f>"C20201912113947"</f>
        <v>C20201912113947</v>
      </c>
      <c r="F2597" t="str">
        <f>"001003981107-12252"</f>
        <v>001003981107-12252</v>
      </c>
      <c r="G2597" s="2">
        <v>115.39</v>
      </c>
      <c r="H2597" t="str">
        <f>"001003981107-12252"</f>
        <v>001003981107-12252</v>
      </c>
    </row>
    <row r="2598" spans="1:8" x14ac:dyDescent="0.25">
      <c r="E2598" t="str">
        <f>"C42201912113947"</f>
        <v>C42201912113947</v>
      </c>
      <c r="F2598" t="str">
        <f>"001236769211-14410"</f>
        <v>001236769211-14410</v>
      </c>
      <c r="G2598" s="2">
        <v>230.31</v>
      </c>
      <c r="H2598" t="str">
        <f>"001236769211-14410"</f>
        <v>001236769211-14410</v>
      </c>
    </row>
    <row r="2599" spans="1:8" x14ac:dyDescent="0.25">
      <c r="E2599" t="str">
        <f>"C46201912113947"</f>
        <v>C46201912113947</v>
      </c>
      <c r="F2599" t="str">
        <f>"CAUSE# 11-14911"</f>
        <v>CAUSE# 11-14911</v>
      </c>
      <c r="G2599" s="2">
        <v>238.62</v>
      </c>
      <c r="H2599" t="str">
        <f>"CAUSE# 11-14911"</f>
        <v>CAUSE# 11-14911</v>
      </c>
    </row>
    <row r="2600" spans="1:8" x14ac:dyDescent="0.25">
      <c r="E2600" t="str">
        <f>"C53201912113947"</f>
        <v>C53201912113947</v>
      </c>
      <c r="F2600" t="str">
        <f>"0012453366"</f>
        <v>0012453366</v>
      </c>
      <c r="G2600" s="2">
        <v>138.46</v>
      </c>
      <c r="H2600" t="str">
        <f>"0012453366"</f>
        <v>0012453366</v>
      </c>
    </row>
    <row r="2601" spans="1:8" x14ac:dyDescent="0.25">
      <c r="E2601" t="str">
        <f>"C60201912113947"</f>
        <v>C60201912113947</v>
      </c>
      <c r="F2601" t="str">
        <f>"00130730762012V300"</f>
        <v>00130730762012V300</v>
      </c>
      <c r="G2601" s="2">
        <v>399.32</v>
      </c>
      <c r="H2601" t="str">
        <f>"00130730762012V300"</f>
        <v>00130730762012V300</v>
      </c>
    </row>
    <row r="2602" spans="1:8" x14ac:dyDescent="0.25">
      <c r="E2602" t="str">
        <f>"C62201912113947"</f>
        <v>C62201912113947</v>
      </c>
      <c r="F2602" t="str">
        <f>"# 0012128865"</f>
        <v># 0012128865</v>
      </c>
      <c r="G2602" s="2">
        <v>243.23</v>
      </c>
      <c r="H2602" t="str">
        <f>"# 0012128865"</f>
        <v># 0012128865</v>
      </c>
    </row>
    <row r="2603" spans="1:8" x14ac:dyDescent="0.25">
      <c r="E2603" t="str">
        <f>"C66201912113947"</f>
        <v>C66201912113947</v>
      </c>
      <c r="F2603" t="str">
        <f>"# 0012871801"</f>
        <v># 0012871801</v>
      </c>
      <c r="G2603" s="2">
        <v>90</v>
      </c>
      <c r="H2603" t="str">
        <f>"# 0012871801"</f>
        <v># 0012871801</v>
      </c>
    </row>
    <row r="2604" spans="1:8" x14ac:dyDescent="0.25">
      <c r="E2604" t="str">
        <f>"C67201912113947"</f>
        <v>C67201912113947</v>
      </c>
      <c r="F2604" t="str">
        <f>"13154657"</f>
        <v>13154657</v>
      </c>
      <c r="G2604" s="2">
        <v>101.99</v>
      </c>
      <c r="H2604" t="str">
        <f>"13154657"</f>
        <v>13154657</v>
      </c>
    </row>
    <row r="2605" spans="1:8" x14ac:dyDescent="0.25">
      <c r="E2605" t="str">
        <f>"C69201912113947"</f>
        <v>C69201912113947</v>
      </c>
      <c r="F2605" t="str">
        <f>"0012046911423672"</f>
        <v>0012046911423672</v>
      </c>
      <c r="G2605" s="2">
        <v>187.38</v>
      </c>
      <c r="H2605" t="str">
        <f>"0012046911423672"</f>
        <v>0012046911423672</v>
      </c>
    </row>
    <row r="2606" spans="1:8" x14ac:dyDescent="0.25">
      <c r="E2606" t="str">
        <f>"C70201912113947"</f>
        <v>C70201912113947</v>
      </c>
      <c r="F2606" t="str">
        <f>"00136881334235026"</f>
        <v>00136881334235026</v>
      </c>
      <c r="G2606" s="2">
        <v>195.15</v>
      </c>
      <c r="H2606" t="str">
        <f>"00136881334235026"</f>
        <v>00136881334235026</v>
      </c>
    </row>
    <row r="2607" spans="1:8" x14ac:dyDescent="0.25">
      <c r="E2607" t="str">
        <f>"C71201912113947"</f>
        <v>C71201912113947</v>
      </c>
      <c r="F2607" t="str">
        <f>"00137390532018V215"</f>
        <v>00137390532018V215</v>
      </c>
      <c r="G2607" s="2">
        <v>264</v>
      </c>
      <c r="H2607" t="str">
        <f>"00137390532018V215"</f>
        <v>00137390532018V215</v>
      </c>
    </row>
    <row r="2608" spans="1:8" x14ac:dyDescent="0.25">
      <c r="E2608" t="str">
        <f>"C72201912113947"</f>
        <v>C72201912113947</v>
      </c>
      <c r="F2608" t="str">
        <f>"0012797601C20130529B"</f>
        <v>0012797601C20130529B</v>
      </c>
      <c r="G2608" s="2">
        <v>241.85</v>
      </c>
      <c r="H2608" t="str">
        <f>"0012797601C20130529B"</f>
        <v>0012797601C20130529B</v>
      </c>
    </row>
    <row r="2609" spans="1:8" x14ac:dyDescent="0.25">
      <c r="E2609" t="str">
        <f>"C78201912113947"</f>
        <v>C78201912113947</v>
      </c>
      <c r="F2609" t="str">
        <f>"00105115972005106221"</f>
        <v>00105115972005106221</v>
      </c>
      <c r="G2609" s="2">
        <v>144.68</v>
      </c>
      <c r="H2609" t="str">
        <f>"00105115972005106221"</f>
        <v>00105115972005106221</v>
      </c>
    </row>
    <row r="2610" spans="1:8" x14ac:dyDescent="0.25">
      <c r="E2610" t="str">
        <f>"C79201912113947"</f>
        <v>C79201912113947</v>
      </c>
      <c r="F2610" t="str">
        <f>"0013045733S146091FLB"</f>
        <v>0013045733S146091FLB</v>
      </c>
      <c r="G2610" s="2">
        <v>197.08</v>
      </c>
      <c r="H2610" t="str">
        <f>"0013045733S146091FLB"</f>
        <v>0013045733S146091FLB</v>
      </c>
    </row>
    <row r="2611" spans="1:8" x14ac:dyDescent="0.25">
      <c r="E2611" t="str">
        <f>"C81201912113947"</f>
        <v>C81201912113947</v>
      </c>
      <c r="F2611" t="str">
        <f>"00123916889200232472"</f>
        <v>00123916889200232472</v>
      </c>
      <c r="G2611" s="2">
        <v>109.85</v>
      </c>
      <c r="H2611" t="str">
        <f>"00123916889200232472"</f>
        <v>00123916889200232472</v>
      </c>
    </row>
    <row r="2612" spans="1:8" x14ac:dyDescent="0.25">
      <c r="E2612" t="str">
        <f>"C82201912113947"</f>
        <v>C82201912113947</v>
      </c>
      <c r="F2612" t="str">
        <f>"0009476377203172B"</f>
        <v>0009476377203172B</v>
      </c>
      <c r="G2612" s="2">
        <v>46.15</v>
      </c>
      <c r="H2612" t="str">
        <f>"0009476377203172B"</f>
        <v>0009476377203172B</v>
      </c>
    </row>
    <row r="2613" spans="1:8" x14ac:dyDescent="0.25">
      <c r="E2613" t="str">
        <f>"C83201912113947"</f>
        <v>C83201912113947</v>
      </c>
      <c r="F2613" t="str">
        <f>"0013096953150533"</f>
        <v>0013096953150533</v>
      </c>
      <c r="G2613" s="2">
        <v>346.15</v>
      </c>
      <c r="H2613" t="str">
        <f>"0013096953150533"</f>
        <v>0013096953150533</v>
      </c>
    </row>
    <row r="2614" spans="1:8" x14ac:dyDescent="0.25">
      <c r="E2614" t="str">
        <f>"C84201912113947"</f>
        <v>C84201912113947</v>
      </c>
      <c r="F2614" t="str">
        <f>"00128499834232566"</f>
        <v>00128499834232566</v>
      </c>
      <c r="G2614" s="2">
        <v>439.94</v>
      </c>
      <c r="H2614" t="str">
        <f>"00128499834232566"</f>
        <v>00128499834232566</v>
      </c>
    </row>
    <row r="2615" spans="1:8" x14ac:dyDescent="0.25">
      <c r="E2615" t="str">
        <f>"C85201912113947"</f>
        <v>C85201912113947</v>
      </c>
      <c r="F2615" t="str">
        <f>"0012469425201770874"</f>
        <v>0012469425201770874</v>
      </c>
      <c r="G2615" s="2">
        <v>138.46</v>
      </c>
      <c r="H2615" t="str">
        <f>"0012469425201770874"</f>
        <v>0012469425201770874</v>
      </c>
    </row>
    <row r="2616" spans="1:8" x14ac:dyDescent="0.25">
      <c r="E2616" t="str">
        <f>"C86201912113947"</f>
        <v>C86201912113947</v>
      </c>
      <c r="F2616" t="str">
        <f>"0013854015101285F"</f>
        <v>0013854015101285F</v>
      </c>
      <c r="G2616" s="2">
        <v>241.85</v>
      </c>
      <c r="H2616" t="str">
        <f>"0013854015101285F"</f>
        <v>0013854015101285F</v>
      </c>
    </row>
    <row r="2617" spans="1:8" x14ac:dyDescent="0.25">
      <c r="A2617" t="s">
        <v>567</v>
      </c>
      <c r="B2617">
        <v>325</v>
      </c>
      <c r="C2617" s="2">
        <v>5405.4</v>
      </c>
      <c r="D2617" s="1">
        <v>43826</v>
      </c>
      <c r="E2617" t="str">
        <f>"C18201912244291"</f>
        <v>C18201912244291</v>
      </c>
      <c r="F2617" t="str">
        <f>"CAUSE# 0011635329"</f>
        <v>CAUSE# 0011635329</v>
      </c>
      <c r="G2617" s="2">
        <v>603.23</v>
      </c>
      <c r="H2617" t="str">
        <f>"CAUSE# 0011635329"</f>
        <v>CAUSE# 0011635329</v>
      </c>
    </row>
    <row r="2618" spans="1:8" x14ac:dyDescent="0.25">
      <c r="E2618" t="str">
        <f>"C2 201912244291"</f>
        <v>C2 201912244291</v>
      </c>
      <c r="F2618" t="str">
        <f>"0012982132CCL7445"</f>
        <v>0012982132CCL7445</v>
      </c>
      <c r="G2618" s="2">
        <v>692.31</v>
      </c>
      <c r="H2618" t="str">
        <f>"0012982132CCL7445"</f>
        <v>0012982132CCL7445</v>
      </c>
    </row>
    <row r="2619" spans="1:8" x14ac:dyDescent="0.25">
      <c r="E2619" t="str">
        <f>"C20201912244290"</f>
        <v>C20201912244290</v>
      </c>
      <c r="F2619" t="str">
        <f>"001003981107-12252"</f>
        <v>001003981107-12252</v>
      </c>
      <c r="G2619" s="2">
        <v>115.39</v>
      </c>
      <c r="H2619" t="str">
        <f>"001003981107-12252"</f>
        <v>001003981107-12252</v>
      </c>
    </row>
    <row r="2620" spans="1:8" x14ac:dyDescent="0.25">
      <c r="E2620" t="str">
        <f>"C42201912244290"</f>
        <v>C42201912244290</v>
      </c>
      <c r="F2620" t="str">
        <f>"001236769211-14410"</f>
        <v>001236769211-14410</v>
      </c>
      <c r="G2620" s="2">
        <v>230.31</v>
      </c>
      <c r="H2620" t="str">
        <f>"001236769211-14410"</f>
        <v>001236769211-14410</v>
      </c>
    </row>
    <row r="2621" spans="1:8" x14ac:dyDescent="0.25">
      <c r="E2621" t="str">
        <f>"C46201912244290"</f>
        <v>C46201912244290</v>
      </c>
      <c r="F2621" t="str">
        <f>"CAUSE# 11-14911"</f>
        <v>CAUSE# 11-14911</v>
      </c>
      <c r="G2621" s="2">
        <v>238.62</v>
      </c>
      <c r="H2621" t="str">
        <f>"CAUSE# 11-14911"</f>
        <v>CAUSE# 11-14911</v>
      </c>
    </row>
    <row r="2622" spans="1:8" x14ac:dyDescent="0.25">
      <c r="E2622" t="str">
        <f>"C53201912244290"</f>
        <v>C53201912244290</v>
      </c>
      <c r="F2622" t="str">
        <f>"0012453366"</f>
        <v>0012453366</v>
      </c>
      <c r="G2622" s="2">
        <v>138.46</v>
      </c>
      <c r="H2622" t="str">
        <f>"0012453366"</f>
        <v>0012453366</v>
      </c>
    </row>
    <row r="2623" spans="1:8" x14ac:dyDescent="0.25">
      <c r="E2623" t="str">
        <f>"C60201912244290"</f>
        <v>C60201912244290</v>
      </c>
      <c r="F2623" t="str">
        <f>"00130730762012V300"</f>
        <v>00130730762012V300</v>
      </c>
      <c r="G2623" s="2">
        <v>399.32</v>
      </c>
      <c r="H2623" t="str">
        <f>"00130730762012V300"</f>
        <v>00130730762012V300</v>
      </c>
    </row>
    <row r="2624" spans="1:8" x14ac:dyDescent="0.25">
      <c r="E2624" t="str">
        <f>"C62201912244290"</f>
        <v>C62201912244290</v>
      </c>
      <c r="F2624" t="str">
        <f>"# 0012128865"</f>
        <v># 0012128865</v>
      </c>
      <c r="G2624" s="2">
        <v>243.23</v>
      </c>
      <c r="H2624" t="str">
        <f>"# 0012128865"</f>
        <v># 0012128865</v>
      </c>
    </row>
    <row r="2625" spans="1:8" x14ac:dyDescent="0.25">
      <c r="E2625" t="str">
        <f>"C66201912244290"</f>
        <v>C66201912244290</v>
      </c>
      <c r="F2625" t="str">
        <f>"# 0012871801"</f>
        <v># 0012871801</v>
      </c>
      <c r="G2625" s="2">
        <v>90</v>
      </c>
      <c r="H2625" t="str">
        <f>"# 0012871801"</f>
        <v># 0012871801</v>
      </c>
    </row>
    <row r="2626" spans="1:8" x14ac:dyDescent="0.25">
      <c r="E2626" t="str">
        <f>"C67201912244290"</f>
        <v>C67201912244290</v>
      </c>
      <c r="F2626" t="str">
        <f>"13154657"</f>
        <v>13154657</v>
      </c>
      <c r="G2626" s="2">
        <v>101.99</v>
      </c>
      <c r="H2626" t="str">
        <f>"13154657"</f>
        <v>13154657</v>
      </c>
    </row>
    <row r="2627" spans="1:8" x14ac:dyDescent="0.25">
      <c r="E2627" t="str">
        <f>"C69201912244290"</f>
        <v>C69201912244290</v>
      </c>
      <c r="F2627" t="str">
        <f>"0012046911423672"</f>
        <v>0012046911423672</v>
      </c>
      <c r="G2627" s="2">
        <v>187.38</v>
      </c>
      <c r="H2627" t="str">
        <f>"0012046911423672"</f>
        <v>0012046911423672</v>
      </c>
    </row>
    <row r="2628" spans="1:8" x14ac:dyDescent="0.25">
      <c r="E2628" t="str">
        <f>"C70201912244290"</f>
        <v>C70201912244290</v>
      </c>
      <c r="F2628" t="str">
        <f>"00136881334235026"</f>
        <v>00136881334235026</v>
      </c>
      <c r="G2628" s="2">
        <v>195.15</v>
      </c>
      <c r="H2628" t="str">
        <f>"00136881334235026"</f>
        <v>00136881334235026</v>
      </c>
    </row>
    <row r="2629" spans="1:8" x14ac:dyDescent="0.25">
      <c r="E2629" t="str">
        <f>"C71201912244290"</f>
        <v>C71201912244290</v>
      </c>
      <c r="F2629" t="str">
        <f>"00137390532018V215"</f>
        <v>00137390532018V215</v>
      </c>
      <c r="G2629" s="2">
        <v>264</v>
      </c>
      <c r="H2629" t="str">
        <f>"00137390532018V215"</f>
        <v>00137390532018V215</v>
      </c>
    </row>
    <row r="2630" spans="1:8" x14ac:dyDescent="0.25">
      <c r="E2630" t="str">
        <f>"C72201912244290"</f>
        <v>C72201912244290</v>
      </c>
      <c r="F2630" t="str">
        <f>"0012797601C20130529B"</f>
        <v>0012797601C20130529B</v>
      </c>
      <c r="G2630" s="2">
        <v>241.85</v>
      </c>
      <c r="H2630" t="str">
        <f>"0012797601C20130529B"</f>
        <v>0012797601C20130529B</v>
      </c>
    </row>
    <row r="2631" spans="1:8" x14ac:dyDescent="0.25">
      <c r="E2631" t="str">
        <f>"C78201912244290"</f>
        <v>C78201912244290</v>
      </c>
      <c r="F2631" t="str">
        <f>"00105115972005106221"</f>
        <v>00105115972005106221</v>
      </c>
      <c r="G2631" s="2">
        <v>144.68</v>
      </c>
      <c r="H2631" t="str">
        <f>"00105115972005106221"</f>
        <v>00105115972005106221</v>
      </c>
    </row>
    <row r="2632" spans="1:8" x14ac:dyDescent="0.25">
      <c r="E2632" t="str">
        <f>"C79201912244290"</f>
        <v>C79201912244290</v>
      </c>
      <c r="F2632" t="str">
        <f>"0013045733S146091FLB"</f>
        <v>0013045733S146091FLB</v>
      </c>
      <c r="G2632" s="2">
        <v>197.08</v>
      </c>
      <c r="H2632" t="str">
        <f>"0013045733S146091FLB"</f>
        <v>0013045733S146091FLB</v>
      </c>
    </row>
    <row r="2633" spans="1:8" x14ac:dyDescent="0.25">
      <c r="E2633" t="str">
        <f>"C81201912244290"</f>
        <v>C81201912244290</v>
      </c>
      <c r="F2633" t="str">
        <f>"00123916889200232472"</f>
        <v>00123916889200232472</v>
      </c>
      <c r="G2633" s="2">
        <v>109.85</v>
      </c>
      <c r="H2633" t="str">
        <f>"00123916889200232472"</f>
        <v>00123916889200232472</v>
      </c>
    </row>
    <row r="2634" spans="1:8" x14ac:dyDescent="0.25">
      <c r="E2634" t="str">
        <f>"C82201912244290"</f>
        <v>C82201912244290</v>
      </c>
      <c r="F2634" t="str">
        <f>"0009476377203172B"</f>
        <v>0009476377203172B</v>
      </c>
      <c r="G2634" s="2">
        <v>46.15</v>
      </c>
      <c r="H2634" t="str">
        <f>"0009476377203172B"</f>
        <v>0009476377203172B</v>
      </c>
    </row>
    <row r="2635" spans="1:8" x14ac:dyDescent="0.25">
      <c r="E2635" t="str">
        <f>"C83201912244290"</f>
        <v>C83201912244290</v>
      </c>
      <c r="F2635" t="str">
        <f>"0013096953150533"</f>
        <v>0013096953150533</v>
      </c>
      <c r="G2635" s="2">
        <v>346.15</v>
      </c>
      <c r="H2635" t="str">
        <f>"0013096953150533"</f>
        <v>0013096953150533</v>
      </c>
    </row>
    <row r="2636" spans="1:8" x14ac:dyDescent="0.25">
      <c r="E2636" t="str">
        <f>"C84201912244290"</f>
        <v>C84201912244290</v>
      </c>
      <c r="F2636" t="str">
        <f>"00128499834232566"</f>
        <v>00128499834232566</v>
      </c>
      <c r="G2636" s="2">
        <v>439.94</v>
      </c>
      <c r="H2636" t="str">
        <f>"00128499834232566"</f>
        <v>00128499834232566</v>
      </c>
    </row>
    <row r="2637" spans="1:8" x14ac:dyDescent="0.25">
      <c r="E2637" t="str">
        <f>"C85201912244290"</f>
        <v>C85201912244290</v>
      </c>
      <c r="F2637" t="str">
        <f>"0012469425201770874"</f>
        <v>0012469425201770874</v>
      </c>
      <c r="G2637" s="2">
        <v>138.46</v>
      </c>
      <c r="H2637" t="str">
        <f>"0012469425201770874"</f>
        <v>0012469425201770874</v>
      </c>
    </row>
    <row r="2638" spans="1:8" x14ac:dyDescent="0.25">
      <c r="E2638" t="str">
        <f>"C86201912244290"</f>
        <v>C86201912244290</v>
      </c>
      <c r="F2638" t="str">
        <f>"0013854015101285F"</f>
        <v>0013854015101285F</v>
      </c>
      <c r="G2638" s="2">
        <v>241.85</v>
      </c>
      <c r="H2638" t="str">
        <f>"0013854015101285F"</f>
        <v>0013854015101285F</v>
      </c>
    </row>
    <row r="2639" spans="1:8" x14ac:dyDescent="0.25">
      <c r="A2639" t="s">
        <v>568</v>
      </c>
      <c r="B2639">
        <v>327</v>
      </c>
      <c r="C2639" s="2">
        <v>367116.65</v>
      </c>
      <c r="D2639" s="1">
        <v>43826</v>
      </c>
      <c r="E2639" t="str">
        <f>"RET201912113947"</f>
        <v>RET201912113947</v>
      </c>
      <c r="F2639" t="str">
        <f>"TEXAS COUNTY &amp; DISTRICT RET"</f>
        <v>TEXAS COUNTY &amp; DISTRICT RET</v>
      </c>
      <c r="G2639" s="2">
        <v>169253.26</v>
      </c>
      <c r="H2639" t="str">
        <f t="shared" ref="H2639:H2670" si="56">"TEXAS COUNTY &amp; DISTRICT RET"</f>
        <v>TEXAS COUNTY &amp; DISTRICT RET</v>
      </c>
    </row>
    <row r="2640" spans="1:8" x14ac:dyDescent="0.25">
      <c r="E2640" t="str">
        <f>""</f>
        <v/>
      </c>
      <c r="F2640" t="str">
        <f>""</f>
        <v/>
      </c>
      <c r="H2640" t="str">
        <f t="shared" si="56"/>
        <v>TEXAS COUNTY &amp; DISTRICT RET</v>
      </c>
    </row>
    <row r="2641" spans="5:8" x14ac:dyDescent="0.25">
      <c r="E2641" t="str">
        <f>""</f>
        <v/>
      </c>
      <c r="F2641" t="str">
        <f>""</f>
        <v/>
      </c>
      <c r="H2641" t="str">
        <f t="shared" si="56"/>
        <v>TEXAS COUNTY &amp; DISTRICT RET</v>
      </c>
    </row>
    <row r="2642" spans="5:8" x14ac:dyDescent="0.25">
      <c r="E2642" t="str">
        <f>""</f>
        <v/>
      </c>
      <c r="F2642" t="str">
        <f>""</f>
        <v/>
      </c>
      <c r="H2642" t="str">
        <f t="shared" si="56"/>
        <v>TEXAS COUNTY &amp; DISTRICT RET</v>
      </c>
    </row>
    <row r="2643" spans="5:8" x14ac:dyDescent="0.25">
      <c r="E2643" t="str">
        <f>""</f>
        <v/>
      </c>
      <c r="F2643" t="str">
        <f>""</f>
        <v/>
      </c>
      <c r="H2643" t="str">
        <f t="shared" si="56"/>
        <v>TEXAS COUNTY &amp; DISTRICT RET</v>
      </c>
    </row>
    <row r="2644" spans="5:8" x14ac:dyDescent="0.25">
      <c r="E2644" t="str">
        <f>""</f>
        <v/>
      </c>
      <c r="F2644" t="str">
        <f>""</f>
        <v/>
      </c>
      <c r="H2644" t="str">
        <f t="shared" si="56"/>
        <v>TEXAS COUNTY &amp; DISTRICT RET</v>
      </c>
    </row>
    <row r="2645" spans="5:8" x14ac:dyDescent="0.25">
      <c r="E2645" t="str">
        <f>""</f>
        <v/>
      </c>
      <c r="F2645" t="str">
        <f>""</f>
        <v/>
      </c>
      <c r="H2645" t="str">
        <f t="shared" si="56"/>
        <v>TEXAS COUNTY &amp; DISTRICT RET</v>
      </c>
    </row>
    <row r="2646" spans="5:8" x14ac:dyDescent="0.25">
      <c r="E2646" t="str">
        <f>""</f>
        <v/>
      </c>
      <c r="F2646" t="str">
        <f>""</f>
        <v/>
      </c>
      <c r="H2646" t="str">
        <f t="shared" si="56"/>
        <v>TEXAS COUNTY &amp; DISTRICT RET</v>
      </c>
    </row>
    <row r="2647" spans="5:8" x14ac:dyDescent="0.25">
      <c r="E2647" t="str">
        <f>""</f>
        <v/>
      </c>
      <c r="F2647" t="str">
        <f>""</f>
        <v/>
      </c>
      <c r="H2647" t="str">
        <f t="shared" si="56"/>
        <v>TEXAS COUNTY &amp; DISTRICT RET</v>
      </c>
    </row>
    <row r="2648" spans="5:8" x14ac:dyDescent="0.25">
      <c r="E2648" t="str">
        <f>""</f>
        <v/>
      </c>
      <c r="F2648" t="str">
        <f>""</f>
        <v/>
      </c>
      <c r="H2648" t="str">
        <f t="shared" si="56"/>
        <v>TEXAS COUNTY &amp; DISTRICT RET</v>
      </c>
    </row>
    <row r="2649" spans="5:8" x14ac:dyDescent="0.25">
      <c r="E2649" t="str">
        <f>""</f>
        <v/>
      </c>
      <c r="F2649" t="str">
        <f>""</f>
        <v/>
      </c>
      <c r="H2649" t="str">
        <f t="shared" si="56"/>
        <v>TEXAS COUNTY &amp; DISTRICT RET</v>
      </c>
    </row>
    <row r="2650" spans="5:8" x14ac:dyDescent="0.25">
      <c r="E2650" t="str">
        <f>""</f>
        <v/>
      </c>
      <c r="F2650" t="str">
        <f>""</f>
        <v/>
      </c>
      <c r="H2650" t="str">
        <f t="shared" si="56"/>
        <v>TEXAS COUNTY &amp; DISTRICT RET</v>
      </c>
    </row>
    <row r="2651" spans="5:8" x14ac:dyDescent="0.25">
      <c r="E2651" t="str">
        <f>""</f>
        <v/>
      </c>
      <c r="F2651" t="str">
        <f>""</f>
        <v/>
      </c>
      <c r="H2651" t="str">
        <f t="shared" si="56"/>
        <v>TEXAS COUNTY &amp; DISTRICT RET</v>
      </c>
    </row>
    <row r="2652" spans="5:8" x14ac:dyDescent="0.25">
      <c r="E2652" t="str">
        <f>""</f>
        <v/>
      </c>
      <c r="F2652" t="str">
        <f>""</f>
        <v/>
      </c>
      <c r="H2652" t="str">
        <f t="shared" si="56"/>
        <v>TEXAS COUNTY &amp; DISTRICT RET</v>
      </c>
    </row>
    <row r="2653" spans="5:8" x14ac:dyDescent="0.25">
      <c r="E2653" t="str">
        <f>""</f>
        <v/>
      </c>
      <c r="F2653" t="str">
        <f>""</f>
        <v/>
      </c>
      <c r="H2653" t="str">
        <f t="shared" si="56"/>
        <v>TEXAS COUNTY &amp; DISTRICT RET</v>
      </c>
    </row>
    <row r="2654" spans="5:8" x14ac:dyDescent="0.25">
      <c r="E2654" t="str">
        <f>""</f>
        <v/>
      </c>
      <c r="F2654" t="str">
        <f>""</f>
        <v/>
      </c>
      <c r="H2654" t="str">
        <f t="shared" si="56"/>
        <v>TEXAS COUNTY &amp; DISTRICT RET</v>
      </c>
    </row>
    <row r="2655" spans="5:8" x14ac:dyDescent="0.25">
      <c r="E2655" t="str">
        <f>""</f>
        <v/>
      </c>
      <c r="F2655" t="str">
        <f>""</f>
        <v/>
      </c>
      <c r="H2655" t="str">
        <f t="shared" si="56"/>
        <v>TEXAS COUNTY &amp; DISTRICT RET</v>
      </c>
    </row>
    <row r="2656" spans="5:8" x14ac:dyDescent="0.25">
      <c r="E2656" t="str">
        <f>""</f>
        <v/>
      </c>
      <c r="F2656" t="str">
        <f>""</f>
        <v/>
      </c>
      <c r="H2656" t="str">
        <f t="shared" si="56"/>
        <v>TEXAS COUNTY &amp; DISTRICT RET</v>
      </c>
    </row>
    <row r="2657" spans="5:8" x14ac:dyDescent="0.25">
      <c r="E2657" t="str">
        <f>""</f>
        <v/>
      </c>
      <c r="F2657" t="str">
        <f>""</f>
        <v/>
      </c>
      <c r="H2657" t="str">
        <f t="shared" si="56"/>
        <v>TEXAS COUNTY &amp; DISTRICT RET</v>
      </c>
    </row>
    <row r="2658" spans="5:8" x14ac:dyDescent="0.25">
      <c r="E2658" t="str">
        <f>""</f>
        <v/>
      </c>
      <c r="F2658" t="str">
        <f>""</f>
        <v/>
      </c>
      <c r="H2658" t="str">
        <f t="shared" si="56"/>
        <v>TEXAS COUNTY &amp; DISTRICT RET</v>
      </c>
    </row>
    <row r="2659" spans="5:8" x14ac:dyDescent="0.25">
      <c r="E2659" t="str">
        <f>""</f>
        <v/>
      </c>
      <c r="F2659" t="str">
        <f>""</f>
        <v/>
      </c>
      <c r="H2659" t="str">
        <f t="shared" si="56"/>
        <v>TEXAS COUNTY &amp; DISTRICT RET</v>
      </c>
    </row>
    <row r="2660" spans="5:8" x14ac:dyDescent="0.25">
      <c r="E2660" t="str">
        <f>""</f>
        <v/>
      </c>
      <c r="F2660" t="str">
        <f>""</f>
        <v/>
      </c>
      <c r="H2660" t="str">
        <f t="shared" si="56"/>
        <v>TEXAS COUNTY &amp; DISTRICT RET</v>
      </c>
    </row>
    <row r="2661" spans="5:8" x14ac:dyDescent="0.25">
      <c r="E2661" t="str">
        <f>""</f>
        <v/>
      </c>
      <c r="F2661" t="str">
        <f>""</f>
        <v/>
      </c>
      <c r="H2661" t="str">
        <f t="shared" si="56"/>
        <v>TEXAS COUNTY &amp; DISTRICT RET</v>
      </c>
    </row>
    <row r="2662" spans="5:8" x14ac:dyDescent="0.25">
      <c r="E2662" t="str">
        <f>""</f>
        <v/>
      </c>
      <c r="F2662" t="str">
        <f>""</f>
        <v/>
      </c>
      <c r="H2662" t="str">
        <f t="shared" si="56"/>
        <v>TEXAS COUNTY &amp; DISTRICT RET</v>
      </c>
    </row>
    <row r="2663" spans="5:8" x14ac:dyDescent="0.25">
      <c r="E2663" t="str">
        <f>""</f>
        <v/>
      </c>
      <c r="F2663" t="str">
        <f>""</f>
        <v/>
      </c>
      <c r="H2663" t="str">
        <f t="shared" si="56"/>
        <v>TEXAS COUNTY &amp; DISTRICT RET</v>
      </c>
    </row>
    <row r="2664" spans="5:8" x14ac:dyDescent="0.25">
      <c r="E2664" t="str">
        <f>""</f>
        <v/>
      </c>
      <c r="F2664" t="str">
        <f>""</f>
        <v/>
      </c>
      <c r="H2664" t="str">
        <f t="shared" si="56"/>
        <v>TEXAS COUNTY &amp; DISTRICT RET</v>
      </c>
    </row>
    <row r="2665" spans="5:8" x14ac:dyDescent="0.25">
      <c r="E2665" t="str">
        <f>""</f>
        <v/>
      </c>
      <c r="F2665" t="str">
        <f>""</f>
        <v/>
      </c>
      <c r="H2665" t="str">
        <f t="shared" si="56"/>
        <v>TEXAS COUNTY &amp; DISTRICT RET</v>
      </c>
    </row>
    <row r="2666" spans="5:8" x14ac:dyDescent="0.25">
      <c r="E2666" t="str">
        <f>""</f>
        <v/>
      </c>
      <c r="F2666" t="str">
        <f>""</f>
        <v/>
      </c>
      <c r="H2666" t="str">
        <f t="shared" si="56"/>
        <v>TEXAS COUNTY &amp; DISTRICT RET</v>
      </c>
    </row>
    <row r="2667" spans="5:8" x14ac:dyDescent="0.25">
      <c r="E2667" t="str">
        <f>""</f>
        <v/>
      </c>
      <c r="F2667" t="str">
        <f>""</f>
        <v/>
      </c>
      <c r="H2667" t="str">
        <f t="shared" si="56"/>
        <v>TEXAS COUNTY &amp; DISTRICT RET</v>
      </c>
    </row>
    <row r="2668" spans="5:8" x14ac:dyDescent="0.25">
      <c r="E2668" t="str">
        <f>""</f>
        <v/>
      </c>
      <c r="F2668" t="str">
        <f>""</f>
        <v/>
      </c>
      <c r="H2668" t="str">
        <f t="shared" si="56"/>
        <v>TEXAS COUNTY &amp; DISTRICT RET</v>
      </c>
    </row>
    <row r="2669" spans="5:8" x14ac:dyDescent="0.25">
      <c r="E2669" t="str">
        <f>""</f>
        <v/>
      </c>
      <c r="F2669" t="str">
        <f>""</f>
        <v/>
      </c>
      <c r="H2669" t="str">
        <f t="shared" si="56"/>
        <v>TEXAS COUNTY &amp; DISTRICT RET</v>
      </c>
    </row>
    <row r="2670" spans="5:8" x14ac:dyDescent="0.25">
      <c r="E2670" t="str">
        <f>""</f>
        <v/>
      </c>
      <c r="F2670" t="str">
        <f>""</f>
        <v/>
      </c>
      <c r="H2670" t="str">
        <f t="shared" si="56"/>
        <v>TEXAS COUNTY &amp; DISTRICT RET</v>
      </c>
    </row>
    <row r="2671" spans="5:8" x14ac:dyDescent="0.25">
      <c r="E2671" t="str">
        <f>""</f>
        <v/>
      </c>
      <c r="F2671" t="str">
        <f>""</f>
        <v/>
      </c>
      <c r="H2671" t="str">
        <f t="shared" ref="H2671:H2690" si="57">"TEXAS COUNTY &amp; DISTRICT RET"</f>
        <v>TEXAS COUNTY &amp; DISTRICT RET</v>
      </c>
    </row>
    <row r="2672" spans="5:8" x14ac:dyDescent="0.25">
      <c r="E2672" t="str">
        <f>""</f>
        <v/>
      </c>
      <c r="F2672" t="str">
        <f>""</f>
        <v/>
      </c>
      <c r="H2672" t="str">
        <f t="shared" si="57"/>
        <v>TEXAS COUNTY &amp; DISTRICT RET</v>
      </c>
    </row>
    <row r="2673" spans="5:8" x14ac:dyDescent="0.25">
      <c r="E2673" t="str">
        <f>""</f>
        <v/>
      </c>
      <c r="F2673" t="str">
        <f>""</f>
        <v/>
      </c>
      <c r="H2673" t="str">
        <f t="shared" si="57"/>
        <v>TEXAS COUNTY &amp; DISTRICT RET</v>
      </c>
    </row>
    <row r="2674" spans="5:8" x14ac:dyDescent="0.25">
      <c r="E2674" t="str">
        <f>""</f>
        <v/>
      </c>
      <c r="F2674" t="str">
        <f>""</f>
        <v/>
      </c>
      <c r="H2674" t="str">
        <f t="shared" si="57"/>
        <v>TEXAS COUNTY &amp; DISTRICT RET</v>
      </c>
    </row>
    <row r="2675" spans="5:8" x14ac:dyDescent="0.25">
      <c r="E2675" t="str">
        <f>""</f>
        <v/>
      </c>
      <c r="F2675" t="str">
        <f>""</f>
        <v/>
      </c>
      <c r="H2675" t="str">
        <f t="shared" si="57"/>
        <v>TEXAS COUNTY &amp; DISTRICT RET</v>
      </c>
    </row>
    <row r="2676" spans="5:8" x14ac:dyDescent="0.25">
      <c r="E2676" t="str">
        <f>""</f>
        <v/>
      </c>
      <c r="F2676" t="str">
        <f>""</f>
        <v/>
      </c>
      <c r="H2676" t="str">
        <f t="shared" si="57"/>
        <v>TEXAS COUNTY &amp; DISTRICT RET</v>
      </c>
    </row>
    <row r="2677" spans="5:8" x14ac:dyDescent="0.25">
      <c r="E2677" t="str">
        <f>""</f>
        <v/>
      </c>
      <c r="F2677" t="str">
        <f>""</f>
        <v/>
      </c>
      <c r="H2677" t="str">
        <f t="shared" si="57"/>
        <v>TEXAS COUNTY &amp; DISTRICT RET</v>
      </c>
    </row>
    <row r="2678" spans="5:8" x14ac:dyDescent="0.25">
      <c r="E2678" t="str">
        <f>""</f>
        <v/>
      </c>
      <c r="F2678" t="str">
        <f>""</f>
        <v/>
      </c>
      <c r="H2678" t="str">
        <f t="shared" si="57"/>
        <v>TEXAS COUNTY &amp; DISTRICT RET</v>
      </c>
    </row>
    <row r="2679" spans="5:8" x14ac:dyDescent="0.25">
      <c r="E2679" t="str">
        <f>""</f>
        <v/>
      </c>
      <c r="F2679" t="str">
        <f>""</f>
        <v/>
      </c>
      <c r="H2679" t="str">
        <f t="shared" si="57"/>
        <v>TEXAS COUNTY &amp; DISTRICT RET</v>
      </c>
    </row>
    <row r="2680" spans="5:8" x14ac:dyDescent="0.25">
      <c r="E2680" t="str">
        <f>""</f>
        <v/>
      </c>
      <c r="F2680" t="str">
        <f>""</f>
        <v/>
      </c>
      <c r="H2680" t="str">
        <f t="shared" si="57"/>
        <v>TEXAS COUNTY &amp; DISTRICT RET</v>
      </c>
    </row>
    <row r="2681" spans="5:8" x14ac:dyDescent="0.25">
      <c r="E2681" t="str">
        <f>""</f>
        <v/>
      </c>
      <c r="F2681" t="str">
        <f>""</f>
        <v/>
      </c>
      <c r="H2681" t="str">
        <f t="shared" si="57"/>
        <v>TEXAS COUNTY &amp; DISTRICT RET</v>
      </c>
    </row>
    <row r="2682" spans="5:8" x14ac:dyDescent="0.25">
      <c r="E2682" t="str">
        <f>""</f>
        <v/>
      </c>
      <c r="F2682" t="str">
        <f>""</f>
        <v/>
      </c>
      <c r="H2682" t="str">
        <f t="shared" si="57"/>
        <v>TEXAS COUNTY &amp; DISTRICT RET</v>
      </c>
    </row>
    <row r="2683" spans="5:8" x14ac:dyDescent="0.25">
      <c r="E2683" t="str">
        <f>""</f>
        <v/>
      </c>
      <c r="F2683" t="str">
        <f>""</f>
        <v/>
      </c>
      <c r="H2683" t="str">
        <f t="shared" si="57"/>
        <v>TEXAS COUNTY &amp; DISTRICT RET</v>
      </c>
    </row>
    <row r="2684" spans="5:8" x14ac:dyDescent="0.25">
      <c r="E2684" t="str">
        <f>""</f>
        <v/>
      </c>
      <c r="F2684" t="str">
        <f>""</f>
        <v/>
      </c>
      <c r="H2684" t="str">
        <f t="shared" si="57"/>
        <v>TEXAS COUNTY &amp; DISTRICT RET</v>
      </c>
    </row>
    <row r="2685" spans="5:8" x14ac:dyDescent="0.25">
      <c r="E2685" t="str">
        <f>""</f>
        <v/>
      </c>
      <c r="F2685" t="str">
        <f>""</f>
        <v/>
      </c>
      <c r="H2685" t="str">
        <f t="shared" si="57"/>
        <v>TEXAS COUNTY &amp; DISTRICT RET</v>
      </c>
    </row>
    <row r="2686" spans="5:8" x14ac:dyDescent="0.25">
      <c r="E2686" t="str">
        <f>""</f>
        <v/>
      </c>
      <c r="F2686" t="str">
        <f>""</f>
        <v/>
      </c>
      <c r="H2686" t="str">
        <f t="shared" si="57"/>
        <v>TEXAS COUNTY &amp; DISTRICT RET</v>
      </c>
    </row>
    <row r="2687" spans="5:8" x14ac:dyDescent="0.25">
      <c r="E2687" t="str">
        <f>""</f>
        <v/>
      </c>
      <c r="F2687" t="str">
        <f>""</f>
        <v/>
      </c>
      <c r="H2687" t="str">
        <f t="shared" si="57"/>
        <v>TEXAS COUNTY &amp; DISTRICT RET</v>
      </c>
    </row>
    <row r="2688" spans="5:8" x14ac:dyDescent="0.25">
      <c r="E2688" t="str">
        <f>""</f>
        <v/>
      </c>
      <c r="F2688" t="str">
        <f>""</f>
        <v/>
      </c>
      <c r="H2688" t="str">
        <f t="shared" si="57"/>
        <v>TEXAS COUNTY &amp; DISTRICT RET</v>
      </c>
    </row>
    <row r="2689" spans="5:8" x14ac:dyDescent="0.25">
      <c r="E2689" t="str">
        <f>""</f>
        <v/>
      </c>
      <c r="F2689" t="str">
        <f>""</f>
        <v/>
      </c>
      <c r="H2689" t="str">
        <f t="shared" si="57"/>
        <v>TEXAS COUNTY &amp; DISTRICT RET</v>
      </c>
    </row>
    <row r="2690" spans="5:8" x14ac:dyDescent="0.25">
      <c r="E2690" t="str">
        <f>""</f>
        <v/>
      </c>
      <c r="F2690" t="str">
        <f>""</f>
        <v/>
      </c>
      <c r="H2690" t="str">
        <f t="shared" si="57"/>
        <v>TEXAS COUNTY &amp; DISTRICT RET</v>
      </c>
    </row>
    <row r="2691" spans="5:8" x14ac:dyDescent="0.25">
      <c r="E2691" t="str">
        <f>"RET201912113948"</f>
        <v>RET201912113948</v>
      </c>
      <c r="F2691" t="str">
        <f>"TEXAS COUNTY  DISTRICT RET"</f>
        <v>TEXAS COUNTY  DISTRICT RET</v>
      </c>
      <c r="G2691" s="2">
        <v>6386.07</v>
      </c>
      <c r="H2691" t="str">
        <f>"TEXAS COUNTY  DISTRICT RET"</f>
        <v>TEXAS COUNTY  DISTRICT RET</v>
      </c>
    </row>
    <row r="2692" spans="5:8" x14ac:dyDescent="0.25">
      <c r="E2692" t="str">
        <f>""</f>
        <v/>
      </c>
      <c r="F2692" t="str">
        <f>""</f>
        <v/>
      </c>
      <c r="H2692" t="str">
        <f>"TEXAS COUNTY  DISTRICT RET"</f>
        <v>TEXAS COUNTY  DISTRICT RET</v>
      </c>
    </row>
    <row r="2693" spans="5:8" x14ac:dyDescent="0.25">
      <c r="E2693" t="str">
        <f>"RET201912113949"</f>
        <v>RET201912113949</v>
      </c>
      <c r="F2693" t="str">
        <f>"TEXAS COUNTY &amp; DISTRICT RET"</f>
        <v>TEXAS COUNTY &amp; DISTRICT RET</v>
      </c>
      <c r="G2693" s="2">
        <v>7234.72</v>
      </c>
      <c r="H2693" t="str">
        <f t="shared" ref="H2693:H2724" si="58">"TEXAS COUNTY &amp; DISTRICT RET"</f>
        <v>TEXAS COUNTY &amp; DISTRICT RET</v>
      </c>
    </row>
    <row r="2694" spans="5:8" x14ac:dyDescent="0.25">
      <c r="E2694" t="str">
        <f>""</f>
        <v/>
      </c>
      <c r="F2694" t="str">
        <f>""</f>
        <v/>
      </c>
      <c r="H2694" t="str">
        <f t="shared" si="58"/>
        <v>TEXAS COUNTY &amp; DISTRICT RET</v>
      </c>
    </row>
    <row r="2695" spans="5:8" x14ac:dyDescent="0.25">
      <c r="E2695" t="str">
        <f>"RET201912244290"</f>
        <v>RET201912244290</v>
      </c>
      <c r="F2695" t="str">
        <f>"TEXAS COUNTY &amp; DISTRICT RET"</f>
        <v>TEXAS COUNTY &amp; DISTRICT RET</v>
      </c>
      <c r="G2695" s="2">
        <v>170409.49</v>
      </c>
      <c r="H2695" t="str">
        <f t="shared" si="58"/>
        <v>TEXAS COUNTY &amp; DISTRICT RET</v>
      </c>
    </row>
    <row r="2696" spans="5:8" x14ac:dyDescent="0.25">
      <c r="E2696" t="str">
        <f>""</f>
        <v/>
      </c>
      <c r="F2696" t="str">
        <f>""</f>
        <v/>
      </c>
      <c r="H2696" t="str">
        <f t="shared" si="58"/>
        <v>TEXAS COUNTY &amp; DISTRICT RET</v>
      </c>
    </row>
    <row r="2697" spans="5:8" x14ac:dyDescent="0.25">
      <c r="E2697" t="str">
        <f>""</f>
        <v/>
      </c>
      <c r="F2697" t="str">
        <f>""</f>
        <v/>
      </c>
      <c r="H2697" t="str">
        <f t="shared" si="58"/>
        <v>TEXAS COUNTY &amp; DISTRICT RET</v>
      </c>
    </row>
    <row r="2698" spans="5:8" x14ac:dyDescent="0.25">
      <c r="E2698" t="str">
        <f>""</f>
        <v/>
      </c>
      <c r="F2698" t="str">
        <f>""</f>
        <v/>
      </c>
      <c r="H2698" t="str">
        <f t="shared" si="58"/>
        <v>TEXAS COUNTY &amp; DISTRICT RET</v>
      </c>
    </row>
    <row r="2699" spans="5:8" x14ac:dyDescent="0.25">
      <c r="E2699" t="str">
        <f>""</f>
        <v/>
      </c>
      <c r="F2699" t="str">
        <f>""</f>
        <v/>
      </c>
      <c r="H2699" t="str">
        <f t="shared" si="58"/>
        <v>TEXAS COUNTY &amp; DISTRICT RET</v>
      </c>
    </row>
    <row r="2700" spans="5:8" x14ac:dyDescent="0.25">
      <c r="E2700" t="str">
        <f>""</f>
        <v/>
      </c>
      <c r="F2700" t="str">
        <f>""</f>
        <v/>
      </c>
      <c r="H2700" t="str">
        <f t="shared" si="58"/>
        <v>TEXAS COUNTY &amp; DISTRICT RET</v>
      </c>
    </row>
    <row r="2701" spans="5:8" x14ac:dyDescent="0.25">
      <c r="E2701" t="str">
        <f>""</f>
        <v/>
      </c>
      <c r="F2701" t="str">
        <f>""</f>
        <v/>
      </c>
      <c r="H2701" t="str">
        <f t="shared" si="58"/>
        <v>TEXAS COUNTY &amp; DISTRICT RET</v>
      </c>
    </row>
    <row r="2702" spans="5:8" x14ac:dyDescent="0.25">
      <c r="E2702" t="str">
        <f>""</f>
        <v/>
      </c>
      <c r="F2702" t="str">
        <f>""</f>
        <v/>
      </c>
      <c r="H2702" t="str">
        <f t="shared" si="58"/>
        <v>TEXAS COUNTY &amp; DISTRICT RET</v>
      </c>
    </row>
    <row r="2703" spans="5:8" x14ac:dyDescent="0.25">
      <c r="E2703" t="str">
        <f>""</f>
        <v/>
      </c>
      <c r="F2703" t="str">
        <f>""</f>
        <v/>
      </c>
      <c r="H2703" t="str">
        <f t="shared" si="58"/>
        <v>TEXAS COUNTY &amp; DISTRICT RET</v>
      </c>
    </row>
    <row r="2704" spans="5:8" x14ac:dyDescent="0.25">
      <c r="E2704" t="str">
        <f>""</f>
        <v/>
      </c>
      <c r="F2704" t="str">
        <f>""</f>
        <v/>
      </c>
      <c r="H2704" t="str">
        <f t="shared" si="58"/>
        <v>TEXAS COUNTY &amp; DISTRICT RET</v>
      </c>
    </row>
    <row r="2705" spans="5:8" x14ac:dyDescent="0.25">
      <c r="E2705" t="str">
        <f>""</f>
        <v/>
      </c>
      <c r="F2705" t="str">
        <f>""</f>
        <v/>
      </c>
      <c r="H2705" t="str">
        <f t="shared" si="58"/>
        <v>TEXAS COUNTY &amp; DISTRICT RET</v>
      </c>
    </row>
    <row r="2706" spans="5:8" x14ac:dyDescent="0.25">
      <c r="E2706" t="str">
        <f>""</f>
        <v/>
      </c>
      <c r="F2706" t="str">
        <f>""</f>
        <v/>
      </c>
      <c r="H2706" t="str">
        <f t="shared" si="58"/>
        <v>TEXAS COUNTY &amp; DISTRICT RET</v>
      </c>
    </row>
    <row r="2707" spans="5:8" x14ac:dyDescent="0.25">
      <c r="E2707" t="str">
        <f>""</f>
        <v/>
      </c>
      <c r="F2707" t="str">
        <f>""</f>
        <v/>
      </c>
      <c r="H2707" t="str">
        <f t="shared" si="58"/>
        <v>TEXAS COUNTY &amp; DISTRICT RET</v>
      </c>
    </row>
    <row r="2708" spans="5:8" x14ac:dyDescent="0.25">
      <c r="E2708" t="str">
        <f>""</f>
        <v/>
      </c>
      <c r="F2708" t="str">
        <f>""</f>
        <v/>
      </c>
      <c r="H2708" t="str">
        <f t="shared" si="58"/>
        <v>TEXAS COUNTY &amp; DISTRICT RET</v>
      </c>
    </row>
    <row r="2709" spans="5:8" x14ac:dyDescent="0.25">
      <c r="E2709" t="str">
        <f>""</f>
        <v/>
      </c>
      <c r="F2709" t="str">
        <f>""</f>
        <v/>
      </c>
      <c r="H2709" t="str">
        <f t="shared" si="58"/>
        <v>TEXAS COUNTY &amp; DISTRICT RET</v>
      </c>
    </row>
    <row r="2710" spans="5:8" x14ac:dyDescent="0.25">
      <c r="E2710" t="str">
        <f>""</f>
        <v/>
      </c>
      <c r="F2710" t="str">
        <f>""</f>
        <v/>
      </c>
      <c r="H2710" t="str">
        <f t="shared" si="58"/>
        <v>TEXAS COUNTY &amp; DISTRICT RET</v>
      </c>
    </row>
    <row r="2711" spans="5:8" x14ac:dyDescent="0.25">
      <c r="E2711" t="str">
        <f>""</f>
        <v/>
      </c>
      <c r="F2711" t="str">
        <f>""</f>
        <v/>
      </c>
      <c r="H2711" t="str">
        <f t="shared" si="58"/>
        <v>TEXAS COUNTY &amp; DISTRICT RET</v>
      </c>
    </row>
    <row r="2712" spans="5:8" x14ac:dyDescent="0.25">
      <c r="E2712" t="str">
        <f>""</f>
        <v/>
      </c>
      <c r="F2712" t="str">
        <f>""</f>
        <v/>
      </c>
      <c r="H2712" t="str">
        <f t="shared" si="58"/>
        <v>TEXAS COUNTY &amp; DISTRICT RET</v>
      </c>
    </row>
    <row r="2713" spans="5:8" x14ac:dyDescent="0.25">
      <c r="E2713" t="str">
        <f>""</f>
        <v/>
      </c>
      <c r="F2713" t="str">
        <f>""</f>
        <v/>
      </c>
      <c r="H2713" t="str">
        <f t="shared" si="58"/>
        <v>TEXAS COUNTY &amp; DISTRICT RET</v>
      </c>
    </row>
    <row r="2714" spans="5:8" x14ac:dyDescent="0.25">
      <c r="E2714" t="str">
        <f>""</f>
        <v/>
      </c>
      <c r="F2714" t="str">
        <f>""</f>
        <v/>
      </c>
      <c r="H2714" t="str">
        <f t="shared" si="58"/>
        <v>TEXAS COUNTY &amp; DISTRICT RET</v>
      </c>
    </row>
    <row r="2715" spans="5:8" x14ac:dyDescent="0.25">
      <c r="E2715" t="str">
        <f>""</f>
        <v/>
      </c>
      <c r="F2715" t="str">
        <f>""</f>
        <v/>
      </c>
      <c r="H2715" t="str">
        <f t="shared" si="58"/>
        <v>TEXAS COUNTY &amp; DISTRICT RET</v>
      </c>
    </row>
    <row r="2716" spans="5:8" x14ac:dyDescent="0.25">
      <c r="E2716" t="str">
        <f>""</f>
        <v/>
      </c>
      <c r="F2716" t="str">
        <f>""</f>
        <v/>
      </c>
      <c r="H2716" t="str">
        <f t="shared" si="58"/>
        <v>TEXAS COUNTY &amp; DISTRICT RET</v>
      </c>
    </row>
    <row r="2717" spans="5:8" x14ac:dyDescent="0.25">
      <c r="E2717" t="str">
        <f>""</f>
        <v/>
      </c>
      <c r="F2717" t="str">
        <f>""</f>
        <v/>
      </c>
      <c r="H2717" t="str">
        <f t="shared" si="58"/>
        <v>TEXAS COUNTY &amp; DISTRICT RET</v>
      </c>
    </row>
    <row r="2718" spans="5:8" x14ac:dyDescent="0.25">
      <c r="E2718" t="str">
        <f>""</f>
        <v/>
      </c>
      <c r="F2718" t="str">
        <f>""</f>
        <v/>
      </c>
      <c r="H2718" t="str">
        <f t="shared" si="58"/>
        <v>TEXAS COUNTY &amp; DISTRICT RET</v>
      </c>
    </row>
    <row r="2719" spans="5:8" x14ac:dyDescent="0.25">
      <c r="E2719" t="str">
        <f>""</f>
        <v/>
      </c>
      <c r="F2719" t="str">
        <f>""</f>
        <v/>
      </c>
      <c r="H2719" t="str">
        <f t="shared" si="58"/>
        <v>TEXAS COUNTY &amp; DISTRICT RET</v>
      </c>
    </row>
    <row r="2720" spans="5:8" x14ac:dyDescent="0.25">
      <c r="E2720" t="str">
        <f>""</f>
        <v/>
      </c>
      <c r="F2720" t="str">
        <f>""</f>
        <v/>
      </c>
      <c r="H2720" t="str">
        <f t="shared" si="58"/>
        <v>TEXAS COUNTY &amp; DISTRICT RET</v>
      </c>
    </row>
    <row r="2721" spans="5:8" x14ac:dyDescent="0.25">
      <c r="E2721" t="str">
        <f>""</f>
        <v/>
      </c>
      <c r="F2721" t="str">
        <f>""</f>
        <v/>
      </c>
      <c r="H2721" t="str">
        <f t="shared" si="58"/>
        <v>TEXAS COUNTY &amp; DISTRICT RET</v>
      </c>
    </row>
    <row r="2722" spans="5:8" x14ac:dyDescent="0.25">
      <c r="E2722" t="str">
        <f>""</f>
        <v/>
      </c>
      <c r="F2722" t="str">
        <f>""</f>
        <v/>
      </c>
      <c r="H2722" t="str">
        <f t="shared" si="58"/>
        <v>TEXAS COUNTY &amp; DISTRICT RET</v>
      </c>
    </row>
    <row r="2723" spans="5:8" x14ac:dyDescent="0.25">
      <c r="E2723" t="str">
        <f>""</f>
        <v/>
      </c>
      <c r="F2723" t="str">
        <f>""</f>
        <v/>
      </c>
      <c r="H2723" t="str">
        <f t="shared" si="58"/>
        <v>TEXAS COUNTY &amp; DISTRICT RET</v>
      </c>
    </row>
    <row r="2724" spans="5:8" x14ac:dyDescent="0.25">
      <c r="E2724" t="str">
        <f>""</f>
        <v/>
      </c>
      <c r="F2724" t="str">
        <f>""</f>
        <v/>
      </c>
      <c r="H2724" t="str">
        <f t="shared" si="58"/>
        <v>TEXAS COUNTY &amp; DISTRICT RET</v>
      </c>
    </row>
    <row r="2725" spans="5:8" x14ac:dyDescent="0.25">
      <c r="E2725" t="str">
        <f>""</f>
        <v/>
      </c>
      <c r="F2725" t="str">
        <f>""</f>
        <v/>
      </c>
      <c r="H2725" t="str">
        <f t="shared" ref="H2725:H2746" si="59">"TEXAS COUNTY &amp; DISTRICT RET"</f>
        <v>TEXAS COUNTY &amp; DISTRICT RET</v>
      </c>
    </row>
    <row r="2726" spans="5:8" x14ac:dyDescent="0.25">
      <c r="E2726" t="str">
        <f>""</f>
        <v/>
      </c>
      <c r="F2726" t="str">
        <f>""</f>
        <v/>
      </c>
      <c r="H2726" t="str">
        <f t="shared" si="59"/>
        <v>TEXAS COUNTY &amp; DISTRICT RET</v>
      </c>
    </row>
    <row r="2727" spans="5:8" x14ac:dyDescent="0.25">
      <c r="E2727" t="str">
        <f>""</f>
        <v/>
      </c>
      <c r="F2727" t="str">
        <f>""</f>
        <v/>
      </c>
      <c r="H2727" t="str">
        <f t="shared" si="59"/>
        <v>TEXAS COUNTY &amp; DISTRICT RET</v>
      </c>
    </row>
    <row r="2728" spans="5:8" x14ac:dyDescent="0.25">
      <c r="E2728" t="str">
        <f>""</f>
        <v/>
      </c>
      <c r="F2728" t="str">
        <f>""</f>
        <v/>
      </c>
      <c r="H2728" t="str">
        <f t="shared" si="59"/>
        <v>TEXAS COUNTY &amp; DISTRICT RET</v>
      </c>
    </row>
    <row r="2729" spans="5:8" x14ac:dyDescent="0.25">
      <c r="E2729" t="str">
        <f>""</f>
        <v/>
      </c>
      <c r="F2729" t="str">
        <f>""</f>
        <v/>
      </c>
      <c r="H2729" t="str">
        <f t="shared" si="59"/>
        <v>TEXAS COUNTY &amp; DISTRICT RET</v>
      </c>
    </row>
    <row r="2730" spans="5:8" x14ac:dyDescent="0.25">
      <c r="E2730" t="str">
        <f>""</f>
        <v/>
      </c>
      <c r="F2730" t="str">
        <f>""</f>
        <v/>
      </c>
      <c r="H2730" t="str">
        <f t="shared" si="59"/>
        <v>TEXAS COUNTY &amp; DISTRICT RET</v>
      </c>
    </row>
    <row r="2731" spans="5:8" x14ac:dyDescent="0.25">
      <c r="E2731" t="str">
        <f>""</f>
        <v/>
      </c>
      <c r="F2731" t="str">
        <f>""</f>
        <v/>
      </c>
      <c r="H2731" t="str">
        <f t="shared" si="59"/>
        <v>TEXAS COUNTY &amp; DISTRICT RET</v>
      </c>
    </row>
    <row r="2732" spans="5:8" x14ac:dyDescent="0.25">
      <c r="E2732" t="str">
        <f>""</f>
        <v/>
      </c>
      <c r="F2732" t="str">
        <f>""</f>
        <v/>
      </c>
      <c r="H2732" t="str">
        <f t="shared" si="59"/>
        <v>TEXAS COUNTY &amp; DISTRICT RET</v>
      </c>
    </row>
    <row r="2733" spans="5:8" x14ac:dyDescent="0.25">
      <c r="E2733" t="str">
        <f>""</f>
        <v/>
      </c>
      <c r="F2733" t="str">
        <f>""</f>
        <v/>
      </c>
      <c r="H2733" t="str">
        <f t="shared" si="59"/>
        <v>TEXAS COUNTY &amp; DISTRICT RET</v>
      </c>
    </row>
    <row r="2734" spans="5:8" x14ac:dyDescent="0.25">
      <c r="E2734" t="str">
        <f>""</f>
        <v/>
      </c>
      <c r="F2734" t="str">
        <f>""</f>
        <v/>
      </c>
      <c r="H2734" t="str">
        <f t="shared" si="59"/>
        <v>TEXAS COUNTY &amp; DISTRICT RET</v>
      </c>
    </row>
    <row r="2735" spans="5:8" x14ac:dyDescent="0.25">
      <c r="E2735" t="str">
        <f>""</f>
        <v/>
      </c>
      <c r="F2735" t="str">
        <f>""</f>
        <v/>
      </c>
      <c r="H2735" t="str">
        <f t="shared" si="59"/>
        <v>TEXAS COUNTY &amp; DISTRICT RET</v>
      </c>
    </row>
    <row r="2736" spans="5:8" x14ac:dyDescent="0.25">
      <c r="E2736" t="str">
        <f>""</f>
        <v/>
      </c>
      <c r="F2736" t="str">
        <f>""</f>
        <v/>
      </c>
      <c r="H2736" t="str">
        <f t="shared" si="59"/>
        <v>TEXAS COUNTY &amp; DISTRICT RET</v>
      </c>
    </row>
    <row r="2737" spans="1:8" x14ac:dyDescent="0.25">
      <c r="E2737" t="str">
        <f>""</f>
        <v/>
      </c>
      <c r="F2737" t="str">
        <f>""</f>
        <v/>
      </c>
      <c r="H2737" t="str">
        <f t="shared" si="59"/>
        <v>TEXAS COUNTY &amp; DISTRICT RET</v>
      </c>
    </row>
    <row r="2738" spans="1:8" x14ac:dyDescent="0.25">
      <c r="E2738" t="str">
        <f>""</f>
        <v/>
      </c>
      <c r="F2738" t="str">
        <f>""</f>
        <v/>
      </c>
      <c r="H2738" t="str">
        <f t="shared" si="59"/>
        <v>TEXAS COUNTY &amp; DISTRICT RET</v>
      </c>
    </row>
    <row r="2739" spans="1:8" x14ac:dyDescent="0.25">
      <c r="E2739" t="str">
        <f>""</f>
        <v/>
      </c>
      <c r="F2739" t="str">
        <f>""</f>
        <v/>
      </c>
      <c r="H2739" t="str">
        <f t="shared" si="59"/>
        <v>TEXAS COUNTY &amp; DISTRICT RET</v>
      </c>
    </row>
    <row r="2740" spans="1:8" x14ac:dyDescent="0.25">
      <c r="E2740" t="str">
        <f>""</f>
        <v/>
      </c>
      <c r="F2740" t="str">
        <f>""</f>
        <v/>
      </c>
      <c r="H2740" t="str">
        <f t="shared" si="59"/>
        <v>TEXAS COUNTY &amp; DISTRICT RET</v>
      </c>
    </row>
    <row r="2741" spans="1:8" x14ac:dyDescent="0.25">
      <c r="E2741" t="str">
        <f>""</f>
        <v/>
      </c>
      <c r="F2741" t="str">
        <f>""</f>
        <v/>
      </c>
      <c r="H2741" t="str">
        <f t="shared" si="59"/>
        <v>TEXAS COUNTY &amp; DISTRICT RET</v>
      </c>
    </row>
    <row r="2742" spans="1:8" x14ac:dyDescent="0.25">
      <c r="E2742" t="str">
        <f>""</f>
        <v/>
      </c>
      <c r="F2742" t="str">
        <f>""</f>
        <v/>
      </c>
      <c r="H2742" t="str">
        <f t="shared" si="59"/>
        <v>TEXAS COUNTY &amp; DISTRICT RET</v>
      </c>
    </row>
    <row r="2743" spans="1:8" x14ac:dyDescent="0.25">
      <c r="E2743" t="str">
        <f>""</f>
        <v/>
      </c>
      <c r="F2743" t="str">
        <f>""</f>
        <v/>
      </c>
      <c r="H2743" t="str">
        <f t="shared" si="59"/>
        <v>TEXAS COUNTY &amp; DISTRICT RET</v>
      </c>
    </row>
    <row r="2744" spans="1:8" x14ac:dyDescent="0.25">
      <c r="E2744" t="str">
        <f>""</f>
        <v/>
      </c>
      <c r="F2744" t="str">
        <f>""</f>
        <v/>
      </c>
      <c r="H2744" t="str">
        <f t="shared" si="59"/>
        <v>TEXAS COUNTY &amp; DISTRICT RET</v>
      </c>
    </row>
    <row r="2745" spans="1:8" x14ac:dyDescent="0.25">
      <c r="E2745" t="str">
        <f>""</f>
        <v/>
      </c>
      <c r="F2745" t="str">
        <f>""</f>
        <v/>
      </c>
      <c r="H2745" t="str">
        <f t="shared" si="59"/>
        <v>TEXAS COUNTY &amp; DISTRICT RET</v>
      </c>
    </row>
    <row r="2746" spans="1:8" x14ac:dyDescent="0.25">
      <c r="E2746" t="str">
        <f>""</f>
        <v/>
      </c>
      <c r="F2746" t="str">
        <f>""</f>
        <v/>
      </c>
      <c r="H2746" t="str">
        <f t="shared" si="59"/>
        <v>TEXAS COUNTY &amp; DISTRICT RET</v>
      </c>
    </row>
    <row r="2747" spans="1:8" x14ac:dyDescent="0.25">
      <c r="E2747" t="str">
        <f>"RET201912244291"</f>
        <v>RET201912244291</v>
      </c>
      <c r="F2747" t="str">
        <f>"TEXAS COUNTY  DISTRICT RET"</f>
        <v>TEXAS COUNTY  DISTRICT RET</v>
      </c>
      <c r="G2747" s="2">
        <v>6411.87</v>
      </c>
      <c r="H2747" t="str">
        <f>"TEXAS COUNTY  DISTRICT RET"</f>
        <v>TEXAS COUNTY  DISTRICT RET</v>
      </c>
    </row>
    <row r="2748" spans="1:8" x14ac:dyDescent="0.25">
      <c r="E2748" t="str">
        <f>""</f>
        <v/>
      </c>
      <c r="F2748" t="str">
        <f>""</f>
        <v/>
      </c>
      <c r="H2748" t="str">
        <f>"TEXAS COUNTY  DISTRICT RET"</f>
        <v>TEXAS COUNTY  DISTRICT RET</v>
      </c>
    </row>
    <row r="2749" spans="1:8" x14ac:dyDescent="0.25">
      <c r="E2749" t="str">
        <f>"RET201912244292"</f>
        <v>RET201912244292</v>
      </c>
      <c r="F2749" t="str">
        <f>"TEXAS COUNTY &amp; DISTRICT RET"</f>
        <v>TEXAS COUNTY &amp; DISTRICT RET</v>
      </c>
      <c r="G2749" s="2">
        <v>7421.24</v>
      </c>
      <c r="H2749" t="str">
        <f>"TEXAS COUNTY &amp; DISTRICT RET"</f>
        <v>TEXAS COUNTY &amp; DISTRICT RET</v>
      </c>
    </row>
    <row r="2750" spans="1:8" x14ac:dyDescent="0.25">
      <c r="E2750" t="str">
        <f>""</f>
        <v/>
      </c>
      <c r="F2750" t="str">
        <f>""</f>
        <v/>
      </c>
      <c r="H2750" t="str">
        <f>"TEXAS COUNTY &amp; DISTRICT RET"</f>
        <v>TEXAS COUNTY &amp; DISTRICT RET</v>
      </c>
    </row>
    <row r="2751" spans="1:8" x14ac:dyDescent="0.25">
      <c r="A2751" t="s">
        <v>569</v>
      </c>
      <c r="B2751">
        <v>47751</v>
      </c>
      <c r="C2751" s="2">
        <v>1488</v>
      </c>
      <c r="D2751" s="1">
        <v>43826</v>
      </c>
      <c r="E2751" t="str">
        <f>"LEG201912113947"</f>
        <v>LEG201912113947</v>
      </c>
      <c r="F2751" t="str">
        <f>"TEXAS LEGAL PROTECTION PLAN"</f>
        <v>TEXAS LEGAL PROTECTION PLAN</v>
      </c>
      <c r="G2751" s="2">
        <v>264</v>
      </c>
      <c r="H2751" t="str">
        <f>"TEXAS LEGAL PROTECTION PLAN"</f>
        <v>TEXAS LEGAL PROTECTION PLAN</v>
      </c>
    </row>
    <row r="2752" spans="1:8" x14ac:dyDescent="0.25">
      <c r="E2752" t="str">
        <f>"LEG201912244290"</f>
        <v>LEG201912244290</v>
      </c>
      <c r="F2752" t="str">
        <f>"TEXAS LEGAL PROTECTION PLAN"</f>
        <v>TEXAS LEGAL PROTECTION PLAN</v>
      </c>
      <c r="G2752" s="2">
        <v>264</v>
      </c>
      <c r="H2752" t="str">
        <f>"TEXAS LEGAL PROTECTION PLAN"</f>
        <v>TEXAS LEGAL PROTECTION PLAN</v>
      </c>
    </row>
    <row r="2753" spans="1:8" x14ac:dyDescent="0.25">
      <c r="E2753" t="str">
        <f>"LGF201912113947"</f>
        <v>LGF201912113947</v>
      </c>
      <c r="F2753" t="str">
        <f>"TEXAS LEGAL PROTECTION PLAN"</f>
        <v>TEXAS LEGAL PROTECTION PLAN</v>
      </c>
      <c r="G2753" s="2">
        <v>488</v>
      </c>
      <c r="H2753" t="str">
        <f>"TEXAS LEGAL PROTECTION PLAN"</f>
        <v>TEXAS LEGAL PROTECTION PLAN</v>
      </c>
    </row>
    <row r="2754" spans="1:8" x14ac:dyDescent="0.25">
      <c r="E2754" t="str">
        <f>"LGF201912244290"</f>
        <v>LGF201912244290</v>
      </c>
      <c r="F2754" t="str">
        <f>"TEXAS LEGAL PROTECTION PLAN"</f>
        <v>TEXAS LEGAL PROTECTION PLAN</v>
      </c>
      <c r="G2754" s="2">
        <v>472</v>
      </c>
      <c r="H2754" t="str">
        <f>"TEXAS LEGAL PROTECTION PLAN"</f>
        <v>TEXAS LEGAL PROTECTION PLAN</v>
      </c>
    </row>
    <row r="2755" spans="1:8" x14ac:dyDescent="0.25">
      <c r="A2755" t="s">
        <v>570</v>
      </c>
      <c r="B2755">
        <v>47734</v>
      </c>
      <c r="C2755" s="2">
        <v>212.65</v>
      </c>
      <c r="D2755" s="1">
        <v>43812</v>
      </c>
      <c r="E2755" t="str">
        <f>"SL9201912113947"</f>
        <v>SL9201912113947</v>
      </c>
      <c r="F2755" t="str">
        <f>"STUDENT LOAN"</f>
        <v>STUDENT LOAN</v>
      </c>
      <c r="G2755" s="2">
        <v>212.65</v>
      </c>
      <c r="H2755" t="str">
        <f>"STUDENT LOAN"</f>
        <v>STUDENT LOAN</v>
      </c>
    </row>
    <row r="2756" spans="1:8" x14ac:dyDescent="0.25">
      <c r="A2756" t="s">
        <v>571</v>
      </c>
      <c r="B2756">
        <v>47748</v>
      </c>
      <c r="C2756" s="2">
        <v>219.67</v>
      </c>
      <c r="D2756" s="1">
        <v>43826</v>
      </c>
      <c r="E2756" t="str">
        <f>"S12201912244290"</f>
        <v>S12201912244290</v>
      </c>
      <c r="F2756" t="str">
        <f>"STUDENT LOAN"</f>
        <v>STUDENT LOAN</v>
      </c>
      <c r="G2756" s="2">
        <v>219.67</v>
      </c>
      <c r="H2756" t="str">
        <f>"STUDENT LOAN"</f>
        <v>STUDENT LOAN</v>
      </c>
    </row>
    <row r="2757" spans="1:8" x14ac:dyDescent="0.25">
      <c r="A2757" t="s">
        <v>570</v>
      </c>
      <c r="B2757">
        <v>47750</v>
      </c>
      <c r="C2757" s="2">
        <v>212.65</v>
      </c>
      <c r="D2757" s="1">
        <v>43826</v>
      </c>
      <c r="E2757" t="str">
        <f>"SL9201912244290"</f>
        <v>SL9201912244290</v>
      </c>
      <c r="F2757" t="str">
        <f>"STUDENT LOAN"</f>
        <v>STUDENT LOAN</v>
      </c>
      <c r="G2757" s="2">
        <v>212.65</v>
      </c>
      <c r="H2757" t="str">
        <f>"STUDENT LOAN"</f>
        <v>STUDENT LOAN</v>
      </c>
    </row>
    <row r="2758" spans="1:8" x14ac:dyDescent="0.25">
      <c r="B2758" s="3" t="s">
        <v>572</v>
      </c>
      <c r="C2758" s="2">
        <f>SUM(C2:C2757)</f>
        <v>4808764.3500000024</v>
      </c>
      <c r="D2758" s="1"/>
    </row>
    <row r="2759" spans="1:8" x14ac:dyDescent="0.25">
      <c r="D2759" s="1"/>
    </row>
    <row r="2761" spans="1:8" x14ac:dyDescent="0.25">
      <c r="D2761" s="1"/>
    </row>
    <row r="2762" spans="1:8" x14ac:dyDescent="0.25">
      <c r="D2762" s="1"/>
    </row>
    <row r="2763" spans="1:8" x14ac:dyDescent="0.25">
      <c r="D2763" s="1"/>
    </row>
    <row r="2764" spans="1:8" x14ac:dyDescent="0.25">
      <c r="D2764" s="1"/>
    </row>
    <row r="2765" spans="1:8" x14ac:dyDescent="0.25">
      <c r="D2765" s="1"/>
    </row>
    <row r="2766" spans="1:8" x14ac:dyDescent="0.25">
      <c r="D2766" s="1"/>
    </row>
    <row r="2767" spans="1:8" x14ac:dyDescent="0.25">
      <c r="D2767" s="1"/>
    </row>
    <row r="2768" spans="1:8" x14ac:dyDescent="0.25">
      <c r="D2768" s="1"/>
    </row>
    <row r="2769" spans="4:4" x14ac:dyDescent="0.25">
      <c r="D2769" s="1"/>
    </row>
    <row r="2770" spans="4:4" x14ac:dyDescent="0.25">
      <c r="D2770" s="1"/>
    </row>
    <row r="2771" spans="4:4" x14ac:dyDescent="0.25">
      <c r="D2771" s="1"/>
    </row>
    <row r="2774" spans="4:4" x14ac:dyDescent="0.25">
      <c r="D2774" s="1"/>
    </row>
    <row r="2775" spans="4:4" x14ac:dyDescent="0.25">
      <c r="D2775" s="1"/>
    </row>
    <row r="2776" spans="4:4" x14ac:dyDescent="0.25">
      <c r="D2776" s="1"/>
    </row>
    <row r="2777" spans="4:4" x14ac:dyDescent="0.25">
      <c r="D2777" s="1"/>
    </row>
    <row r="2778" spans="4:4" x14ac:dyDescent="0.25">
      <c r="D2778" s="1"/>
    </row>
    <row r="2780" spans="4:4" x14ac:dyDescent="0.25">
      <c r="D2780" s="1"/>
    </row>
    <row r="2781" spans="4:4" x14ac:dyDescent="0.25">
      <c r="D2781" s="1"/>
    </row>
    <row r="2782" spans="4:4" x14ac:dyDescent="0.25">
      <c r="D2782" s="1"/>
    </row>
    <row r="2783" spans="4:4" x14ac:dyDescent="0.25">
      <c r="D2783" s="1"/>
    </row>
    <row r="2784" spans="4:4" x14ac:dyDescent="0.25">
      <c r="D2784" s="1"/>
    </row>
    <row r="2785" spans="4:4" x14ac:dyDescent="0.25">
      <c r="D2785" s="1"/>
    </row>
    <row r="2786" spans="4:4" x14ac:dyDescent="0.25">
      <c r="D2786" s="1"/>
    </row>
    <row r="2787" spans="4:4" x14ac:dyDescent="0.25">
      <c r="D2787" s="1"/>
    </row>
    <row r="2788" spans="4:4" x14ac:dyDescent="0.25">
      <c r="D2788" s="1"/>
    </row>
    <row r="2789" spans="4:4" x14ac:dyDescent="0.25">
      <c r="D2789" s="1"/>
    </row>
    <row r="2790" spans="4:4" x14ac:dyDescent="0.25">
      <c r="D2790" s="1"/>
    </row>
    <row r="2791" spans="4:4" x14ac:dyDescent="0.25">
      <c r="D2791" s="1"/>
    </row>
    <row r="2792" spans="4:4" x14ac:dyDescent="0.25">
      <c r="D2792" s="1"/>
    </row>
    <row r="2793" spans="4:4" x14ac:dyDescent="0.25">
      <c r="D2793" s="1"/>
    </row>
    <row r="2794" spans="4:4" x14ac:dyDescent="0.25">
      <c r="D2794" s="1"/>
    </row>
    <row r="2795" spans="4:4" x14ac:dyDescent="0.25">
      <c r="D2795" s="1"/>
    </row>
    <row r="2796" spans="4:4" x14ac:dyDescent="0.25">
      <c r="D2796" s="1"/>
    </row>
    <row r="2797" spans="4:4" x14ac:dyDescent="0.25">
      <c r="D2797" s="1"/>
    </row>
    <row r="2798" spans="4:4" x14ac:dyDescent="0.25">
      <c r="D2798" s="1"/>
    </row>
    <row r="2799" spans="4:4" x14ac:dyDescent="0.25">
      <c r="D2799" s="1"/>
    </row>
    <row r="2800" spans="4:4" x14ac:dyDescent="0.25">
      <c r="D2800" s="1"/>
    </row>
    <row r="2801" spans="4:4" x14ac:dyDescent="0.25">
      <c r="D2801" s="1"/>
    </row>
    <row r="2802" spans="4:4" x14ac:dyDescent="0.25">
      <c r="D2802" s="1"/>
    </row>
    <row r="2803" spans="4:4" x14ac:dyDescent="0.25">
      <c r="D2803" s="1"/>
    </row>
    <row r="2804" spans="4:4" x14ac:dyDescent="0.25">
      <c r="D2804" s="1"/>
    </row>
    <row r="2805" spans="4:4" x14ac:dyDescent="0.25">
      <c r="D2805" s="1"/>
    </row>
    <row r="2806" spans="4:4" x14ac:dyDescent="0.25">
      <c r="D2806" s="1"/>
    </row>
    <row r="2807" spans="4:4" x14ac:dyDescent="0.25">
      <c r="D2807" s="1"/>
    </row>
    <row r="2808" spans="4:4" x14ac:dyDescent="0.25">
      <c r="D2808" s="1"/>
    </row>
    <row r="2809" spans="4:4" x14ac:dyDescent="0.25">
      <c r="D2809" s="1"/>
    </row>
    <row r="2810" spans="4:4" x14ac:dyDescent="0.25">
      <c r="D2810" s="1"/>
    </row>
    <row r="2811" spans="4:4" x14ac:dyDescent="0.25">
      <c r="D2811" s="1"/>
    </row>
    <row r="2812" spans="4:4" x14ac:dyDescent="0.25">
      <c r="D2812" s="1"/>
    </row>
    <row r="2813" spans="4:4" x14ac:dyDescent="0.25">
      <c r="D2813" s="1"/>
    </row>
    <row r="2814" spans="4:4" x14ac:dyDescent="0.25">
      <c r="D2814" s="1"/>
    </row>
    <row r="2815" spans="4:4" x14ac:dyDescent="0.25">
      <c r="D2815" s="1"/>
    </row>
    <row r="2816" spans="4:4" x14ac:dyDescent="0.25">
      <c r="D2816" s="1"/>
    </row>
    <row r="2817" spans="4:4" x14ac:dyDescent="0.25">
      <c r="D2817" s="1"/>
    </row>
    <row r="2818" spans="4:4" x14ac:dyDescent="0.25">
      <c r="D2818" s="1"/>
    </row>
    <row r="2819" spans="4:4" x14ac:dyDescent="0.25">
      <c r="D2819" s="1"/>
    </row>
    <row r="2820" spans="4:4" x14ac:dyDescent="0.25">
      <c r="D2820" s="1"/>
    </row>
    <row r="2821" spans="4:4" x14ac:dyDescent="0.25">
      <c r="D2821" s="1"/>
    </row>
    <row r="2822" spans="4:4" x14ac:dyDescent="0.25">
      <c r="D2822" s="1"/>
    </row>
    <row r="2823" spans="4:4" x14ac:dyDescent="0.25">
      <c r="D2823" s="1"/>
    </row>
    <row r="2824" spans="4:4" x14ac:dyDescent="0.25">
      <c r="D2824" s="1"/>
    </row>
    <row r="2825" spans="4:4" x14ac:dyDescent="0.25">
      <c r="D2825" s="1"/>
    </row>
    <row r="2826" spans="4:4" x14ac:dyDescent="0.25">
      <c r="D2826" s="1"/>
    </row>
    <row r="2827" spans="4:4" x14ac:dyDescent="0.25">
      <c r="D2827" s="1"/>
    </row>
    <row r="2828" spans="4:4" x14ac:dyDescent="0.25">
      <c r="D2828" s="1"/>
    </row>
    <row r="2829" spans="4:4" x14ac:dyDescent="0.25">
      <c r="D2829" s="1"/>
    </row>
    <row r="2830" spans="4:4" x14ac:dyDescent="0.25">
      <c r="D2830" s="1"/>
    </row>
    <row r="2831" spans="4:4" x14ac:dyDescent="0.25">
      <c r="D2831" s="1"/>
    </row>
    <row r="2832" spans="4:4" x14ac:dyDescent="0.25">
      <c r="D2832" s="1"/>
    </row>
    <row r="2833" spans="4:4" x14ac:dyDescent="0.25">
      <c r="D2833" s="1"/>
    </row>
    <row r="2834" spans="4:4" x14ac:dyDescent="0.25">
      <c r="D2834" s="1"/>
    </row>
    <row r="2835" spans="4:4" x14ac:dyDescent="0.25">
      <c r="D2835" s="1"/>
    </row>
    <row r="2836" spans="4:4" x14ac:dyDescent="0.25">
      <c r="D2836" s="1"/>
    </row>
    <row r="2837" spans="4:4" x14ac:dyDescent="0.25">
      <c r="D2837" s="1"/>
    </row>
    <row r="2838" spans="4:4" x14ac:dyDescent="0.25">
      <c r="D2838" s="1"/>
    </row>
    <row r="2839" spans="4:4" x14ac:dyDescent="0.25">
      <c r="D2839" s="1"/>
    </row>
    <row r="2840" spans="4:4" x14ac:dyDescent="0.25">
      <c r="D2840" s="1"/>
    </row>
    <row r="2841" spans="4:4" x14ac:dyDescent="0.25">
      <c r="D2841" s="1"/>
    </row>
    <row r="2842" spans="4:4" x14ac:dyDescent="0.25">
      <c r="D2842" s="1"/>
    </row>
    <row r="2843" spans="4:4" x14ac:dyDescent="0.25">
      <c r="D2843" s="1"/>
    </row>
    <row r="2844" spans="4:4" x14ac:dyDescent="0.25">
      <c r="D2844" s="1"/>
    </row>
    <row r="2845" spans="4:4" x14ac:dyDescent="0.25">
      <c r="D284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AP-CHK-RPT-20200508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Ingram</dc:creator>
  <cp:lastModifiedBy>Laurie Ingram</cp:lastModifiedBy>
  <dcterms:created xsi:type="dcterms:W3CDTF">2020-05-08T14:57:56Z</dcterms:created>
  <dcterms:modified xsi:type="dcterms:W3CDTF">2020-05-08T14:57:56Z</dcterms:modified>
</cp:coreProperties>
</file>